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énéral" sheetId="1" r:id="rId4"/>
    <sheet state="visible" name="H" sheetId="2" r:id="rId5"/>
    <sheet state="visible" name="F" sheetId="3" r:id="rId6"/>
    <sheet state="visible" name="SH" sheetId="4" r:id="rId7"/>
    <sheet state="visible" name="SF" sheetId="5" r:id="rId8"/>
    <sheet state="visible" name="MH" sheetId="6" r:id="rId9"/>
    <sheet state="visible" name="MF" sheetId="7" r:id="rId10"/>
  </sheets>
  <definedNames/>
  <calcPr/>
</workbook>
</file>

<file path=xl/sharedStrings.xml><?xml version="1.0" encoding="utf-8"?>
<sst xmlns="http://schemas.openxmlformats.org/spreadsheetml/2006/main" count="66" uniqueCount="11">
  <si>
    <t>Rang</t>
  </si>
  <si>
    <t>Dossard</t>
  </si>
  <si>
    <t>Nom</t>
  </si>
  <si>
    <t>Prénom</t>
  </si>
  <si>
    <t>Cat.</t>
  </si>
  <si>
    <t>Rang cat</t>
  </si>
  <si>
    <t>Temps final</t>
  </si>
  <si>
    <t>Temps nat</t>
  </si>
  <si>
    <t>Temps vélo</t>
  </si>
  <si>
    <t>Temps course</t>
  </si>
  <si>
    <t>Temps T1+T2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</si>
</sst>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b/>
      <sz val="9.0"/>
      <color theme="1"/>
      <name val="Arial"/>
    </font>
    <font>
      <sz val="9.0"/>
      <color theme="1"/>
      <name val="Arial"/>
    </font>
    <font>
      <b/>
      <sz val="11.0"/>
      <color rgb="FF000000"/>
      <name val="Calibri"/>
    </font>
    <font>
      <sz val="11.0"/>
      <color rgb="FF000000"/>
      <name val="Calibri"/>
    </font>
    <font>
      <sz val="10.0"/>
      <color rgb="FF000000"/>
      <name val="Arial"/>
    </font>
    <font>
      <sz val="9.0"/>
      <color rgb="FF000000"/>
      <name val="Arial"/>
    </font>
    <font>
      <b/>
      <sz val="9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C6EFCE"/>
        <bgColor rgb="FFC6EFCE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left style="thin">
        <color rgb="FF000000"/>
      </left>
      <right/>
      <bottom/>
    </border>
    <border>
      <left/>
      <right/>
      <bottom/>
    </border>
    <border>
      <right/>
      <bottom/>
    </border>
    <border>
      <bottom/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000000"/>
      </left>
      <right/>
      <top/>
      <bottom/>
    </border>
    <border>
      <left/>
      <right/>
      <top/>
      <bottom/>
    </border>
    <border>
      <left/>
      <top/>
      <bottom/>
    </border>
    <border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right/>
      <top/>
      <bottom style="thin">
        <color rgb="FF000000"/>
      </bottom>
    </border>
    <border>
      <left/>
      <top/>
      <bottom style="thin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0" xfId="0" applyAlignment="1" applyBorder="1" applyFont="1">
      <alignment shrinkToFit="0" vertical="center" wrapText="1"/>
    </xf>
    <xf borderId="1" fillId="2" fontId="1" numFmtId="45" xfId="0" applyAlignment="1" applyBorder="1" applyFont="1" applyNumberFormat="1">
      <alignment horizontal="center" shrinkToFit="0" vertical="center" wrapText="1"/>
    </xf>
    <xf borderId="2" fillId="0" fontId="2" numFmtId="0" xfId="0" applyAlignment="1" applyBorder="1" applyFont="1">
      <alignment shrinkToFit="0" vertical="center" wrapText="1"/>
    </xf>
    <xf borderId="3" fillId="0" fontId="2" numFmtId="0" xfId="0" applyAlignment="1" applyBorder="1" applyFont="1">
      <alignment shrinkToFit="0" vertical="center" wrapText="1"/>
    </xf>
    <xf borderId="4" fillId="3" fontId="3" numFmtId="0" xfId="0" applyAlignment="1" applyBorder="1" applyFill="1" applyFont="1">
      <alignment horizontal="center"/>
    </xf>
    <xf borderId="4" fillId="3" fontId="4" numFmtId="49" xfId="0" applyAlignment="1" applyBorder="1" applyFont="1" applyNumberFormat="1">
      <alignment horizontal="center"/>
    </xf>
    <xf borderId="4" fillId="3" fontId="4" numFmtId="49" xfId="0" applyBorder="1" applyFont="1" applyNumberFormat="1"/>
    <xf borderId="4" fillId="3" fontId="4" numFmtId="0" xfId="0" applyBorder="1" applyFont="1"/>
    <xf borderId="4" fillId="3" fontId="4" numFmtId="0" xfId="0" applyAlignment="1" applyBorder="1" applyFont="1">
      <alignment horizontal="center"/>
    </xf>
    <xf borderId="4" fillId="3" fontId="3" numFmtId="45" xfId="0" applyAlignment="1" applyBorder="1" applyFont="1" applyNumberFormat="1">
      <alignment horizontal="center"/>
    </xf>
    <xf borderId="4" fillId="3" fontId="4" numFmtId="45" xfId="0" applyAlignment="1" applyBorder="1" applyFont="1" applyNumberFormat="1">
      <alignment horizontal="center"/>
    </xf>
    <xf borderId="4" fillId="3" fontId="4" numFmtId="3" xfId="0" applyAlignment="1" applyBorder="1" applyFont="1" applyNumberFormat="1">
      <alignment horizontal="center"/>
    </xf>
    <xf borderId="3" fillId="0" fontId="4" numFmtId="0" xfId="0" applyBorder="1" applyFont="1"/>
    <xf borderId="3" fillId="4" fontId="3" numFmtId="0" xfId="0" applyAlignment="1" applyBorder="1" applyFill="1" applyFont="1">
      <alignment horizontal="center"/>
    </xf>
    <xf borderId="3" fillId="4" fontId="4" numFmtId="49" xfId="0" applyAlignment="1" applyBorder="1" applyFont="1" applyNumberFormat="1">
      <alignment horizontal="center"/>
    </xf>
    <xf borderId="3" fillId="4" fontId="4" numFmtId="49" xfId="0" applyBorder="1" applyFont="1" applyNumberFormat="1"/>
    <xf borderId="3" fillId="4" fontId="4" numFmtId="0" xfId="0" applyBorder="1" applyFont="1"/>
    <xf borderId="3" fillId="4" fontId="4" numFmtId="0" xfId="0" applyAlignment="1" applyBorder="1" applyFont="1">
      <alignment horizontal="center"/>
    </xf>
    <xf borderId="3" fillId="4" fontId="3" numFmtId="45" xfId="0" applyAlignment="1" applyBorder="1" applyFont="1" applyNumberFormat="1">
      <alignment horizontal="center"/>
    </xf>
    <xf borderId="3" fillId="4" fontId="4" numFmtId="45" xfId="0" applyAlignment="1" applyBorder="1" applyFont="1" applyNumberFormat="1">
      <alignment horizontal="center"/>
    </xf>
    <xf borderId="3" fillId="4" fontId="4" numFmtId="3" xfId="0" applyAlignment="1" applyBorder="1" applyFont="1" applyNumberFormat="1">
      <alignment horizontal="center"/>
    </xf>
    <xf borderId="3" fillId="3" fontId="3" numFmtId="0" xfId="0" applyAlignment="1" applyBorder="1" applyFont="1">
      <alignment horizontal="center"/>
    </xf>
    <xf borderId="3" fillId="3" fontId="4" numFmtId="49" xfId="0" applyAlignment="1" applyBorder="1" applyFont="1" applyNumberFormat="1">
      <alignment horizontal="center"/>
    </xf>
    <xf borderId="3" fillId="3" fontId="4" numFmtId="49" xfId="0" applyBorder="1" applyFont="1" applyNumberFormat="1"/>
    <xf borderId="3" fillId="3" fontId="4" numFmtId="0" xfId="0" applyBorder="1" applyFont="1"/>
    <xf borderId="3" fillId="3" fontId="4" numFmtId="0" xfId="0" applyAlignment="1" applyBorder="1" applyFont="1">
      <alignment horizontal="center"/>
    </xf>
    <xf borderId="3" fillId="3" fontId="3" numFmtId="45" xfId="0" applyAlignment="1" applyBorder="1" applyFont="1" applyNumberFormat="1">
      <alignment horizontal="center"/>
    </xf>
    <xf borderId="3" fillId="3" fontId="4" numFmtId="45" xfId="0" applyAlignment="1" applyBorder="1" applyFont="1" applyNumberFormat="1">
      <alignment horizontal="center"/>
    </xf>
    <xf borderId="3" fillId="3" fontId="4" numFmtId="3" xfId="0" applyAlignment="1" applyBorder="1" applyFont="1" applyNumberFormat="1">
      <alignment horizontal="center"/>
    </xf>
    <xf borderId="3" fillId="0" fontId="3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3" fillId="0" fontId="3" numFmtId="45" xfId="0" applyAlignment="1" applyBorder="1" applyFont="1" applyNumberFormat="1">
      <alignment horizontal="center"/>
    </xf>
    <xf borderId="3" fillId="0" fontId="4" numFmtId="45" xfId="0" applyAlignment="1" applyBorder="1" applyFont="1" applyNumberFormat="1">
      <alignment horizontal="center"/>
    </xf>
    <xf borderId="3" fillId="0" fontId="4" numFmtId="3" xfId="0" applyAlignment="1" applyBorder="1" applyFont="1" applyNumberFormat="1">
      <alignment horizontal="center"/>
    </xf>
    <xf borderId="3" fillId="0" fontId="1" numFmtId="0" xfId="0" applyAlignment="1" applyBorder="1" applyFont="1">
      <alignment horizontal="center"/>
    </xf>
    <xf borderId="3" fillId="0" fontId="2" numFmtId="0" xfId="0" applyAlignment="1" applyBorder="1" applyFont="1">
      <alignment horizontal="center"/>
    </xf>
    <xf borderId="3" fillId="0" fontId="2" numFmtId="0" xfId="0" applyBorder="1" applyFont="1"/>
    <xf borderId="1" fillId="2" fontId="5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horizontal="left" shrinkToFit="0" vertical="center" wrapText="1"/>
    </xf>
    <xf borderId="5" fillId="3" fontId="6" numFmtId="0" xfId="0" applyAlignment="1" applyBorder="1" applyFont="1">
      <alignment shrinkToFit="0" vertical="center" wrapText="0"/>
    </xf>
    <xf borderId="6" fillId="3" fontId="6" numFmtId="0" xfId="0" applyAlignment="1" applyBorder="1" applyFont="1">
      <alignment shrinkToFit="0" vertical="center" wrapText="0"/>
    </xf>
    <xf borderId="6" fillId="3" fontId="7" numFmtId="0" xfId="0" applyAlignment="1" applyBorder="1" applyFont="1">
      <alignment vertical="center"/>
    </xf>
    <xf borderId="4" fillId="3" fontId="7" numFmtId="0" xfId="0" applyAlignment="1" applyBorder="1" applyFont="1">
      <alignment vertical="center"/>
    </xf>
    <xf borderId="0" fillId="3" fontId="7" numFmtId="0" xfId="0" applyAlignment="1" applyFont="1">
      <alignment vertical="center"/>
    </xf>
    <xf borderId="0" fillId="0" fontId="7" numFmtId="0" xfId="0" applyAlignment="1" applyFont="1">
      <alignment vertical="center"/>
    </xf>
    <xf borderId="7" fillId="5" fontId="8" numFmtId="0" xfId="0" applyAlignment="1" applyBorder="1" applyFill="1" applyFont="1">
      <alignment horizontal="center" shrinkToFit="0" vertical="bottom" wrapText="1"/>
    </xf>
    <xf borderId="8" fillId="5" fontId="8" numFmtId="49" xfId="0" applyAlignment="1" applyBorder="1" applyFont="1" applyNumberFormat="1">
      <alignment horizontal="center" shrinkToFit="0" vertical="bottom" wrapText="1"/>
    </xf>
    <xf borderId="8" fillId="5" fontId="8" numFmtId="49" xfId="0" applyAlignment="1" applyBorder="1" applyFont="1" applyNumberFormat="1">
      <alignment horizontal="left" shrinkToFit="0" vertical="bottom" wrapText="1"/>
    </xf>
    <xf borderId="8" fillId="5" fontId="8" numFmtId="0" xfId="0" applyAlignment="1" applyBorder="1" applyFont="1">
      <alignment horizontal="left" shrinkToFit="0" vertical="bottom" wrapText="1"/>
    </xf>
    <xf borderId="8" fillId="5" fontId="8" numFmtId="0" xfId="0" applyAlignment="1" applyBorder="1" applyFont="1">
      <alignment horizontal="center" shrinkToFit="0" vertical="bottom" wrapText="1"/>
    </xf>
    <xf borderId="9" fillId="5" fontId="9" numFmtId="45" xfId="0" applyAlignment="1" applyBorder="1" applyFont="1" applyNumberFormat="1">
      <alignment horizontal="center" shrinkToFit="0" vertical="bottom" wrapText="1"/>
    </xf>
    <xf borderId="9" fillId="5" fontId="8" numFmtId="45" xfId="0" applyAlignment="1" applyBorder="1" applyFont="1" applyNumberFormat="1">
      <alignment horizontal="center" shrinkToFit="0" vertical="bottom" wrapText="1"/>
    </xf>
    <xf borderId="10" fillId="5" fontId="8" numFmtId="45" xfId="0" applyAlignment="1" applyBorder="1" applyFont="1" applyNumberFormat="1">
      <alignment horizontal="center" shrinkToFit="0" vertical="bottom" wrapText="1"/>
    </xf>
    <xf borderId="11" fillId="3" fontId="6" numFmtId="0" xfId="0" applyAlignment="1" applyBorder="1" applyFont="1">
      <alignment shrinkToFit="0" vertical="bottom" wrapText="0"/>
    </xf>
    <xf borderId="11" fillId="3" fontId="7" numFmtId="0" xfId="0" applyBorder="1" applyFont="1"/>
    <xf borderId="3" fillId="3" fontId="7" numFmtId="0" xfId="0" applyBorder="1" applyFont="1"/>
    <xf borderId="0" fillId="3" fontId="7" numFmtId="0" xfId="0" applyFont="1"/>
    <xf borderId="0" fillId="0" fontId="7" numFmtId="0" xfId="0" applyFont="1"/>
    <xf borderId="12" fillId="5" fontId="8" numFmtId="0" xfId="0" applyAlignment="1" applyBorder="1" applyFont="1">
      <alignment horizontal="center" shrinkToFit="0" vertical="bottom" wrapText="1"/>
    </xf>
    <xf borderId="13" fillId="5" fontId="8" numFmtId="49" xfId="0" applyAlignment="1" applyBorder="1" applyFont="1" applyNumberFormat="1">
      <alignment horizontal="center" shrinkToFit="0" vertical="bottom" wrapText="1"/>
    </xf>
    <xf borderId="13" fillId="5" fontId="8" numFmtId="49" xfId="0" applyAlignment="1" applyBorder="1" applyFont="1" applyNumberFormat="1">
      <alignment horizontal="left" shrinkToFit="0" vertical="bottom" wrapText="1"/>
    </xf>
    <xf borderId="13" fillId="5" fontId="8" numFmtId="0" xfId="0" applyAlignment="1" applyBorder="1" applyFont="1">
      <alignment horizontal="left" shrinkToFit="0" vertical="bottom" wrapText="1"/>
    </xf>
    <xf borderId="13" fillId="5" fontId="8" numFmtId="0" xfId="0" applyAlignment="1" applyBorder="1" applyFont="1">
      <alignment horizontal="center" shrinkToFit="0" vertical="bottom" wrapText="1"/>
    </xf>
    <xf borderId="12" fillId="3" fontId="8" numFmtId="0" xfId="0" applyAlignment="1" applyBorder="1" applyFont="1">
      <alignment horizontal="center" shrinkToFit="0" vertical="bottom" wrapText="1"/>
    </xf>
    <xf borderId="13" fillId="3" fontId="8" numFmtId="0" xfId="0" applyAlignment="1" applyBorder="1" applyFont="1">
      <alignment horizontal="center" shrinkToFit="0" vertical="bottom" wrapText="1"/>
    </xf>
    <xf borderId="13" fillId="3" fontId="8" numFmtId="0" xfId="0" applyAlignment="1" applyBorder="1" applyFont="1">
      <alignment horizontal="left" shrinkToFit="0" vertical="bottom" wrapText="1"/>
    </xf>
    <xf borderId="9" fillId="3" fontId="8" numFmtId="0" xfId="0" applyAlignment="1" applyBorder="1" applyFont="1">
      <alignment horizontal="center" shrinkToFit="0" vertical="bottom" wrapText="1"/>
    </xf>
    <xf borderId="14" fillId="3" fontId="8" numFmtId="0" xfId="0" applyAlignment="1" applyBorder="1" applyFont="1">
      <alignment horizontal="center" shrinkToFit="0" vertical="bottom" wrapText="1"/>
    </xf>
    <xf borderId="15" fillId="3" fontId="8" numFmtId="0" xfId="0" applyAlignment="1" applyBorder="1" applyFont="1">
      <alignment horizontal="center" shrinkToFit="0" vertical="bottom" wrapText="1"/>
    </xf>
    <xf borderId="16" fillId="3" fontId="8" numFmtId="0" xfId="0" applyAlignment="1" applyBorder="1" applyFont="1">
      <alignment horizontal="center" shrinkToFit="0" vertical="bottom" wrapText="1"/>
    </xf>
    <xf borderId="17" fillId="3" fontId="8" numFmtId="0" xfId="0" applyAlignment="1" applyBorder="1" applyFont="1">
      <alignment horizontal="center" shrinkToFit="0" vertical="bottom" wrapText="1"/>
    </xf>
    <xf borderId="17" fillId="3" fontId="8" numFmtId="0" xfId="0" applyAlignment="1" applyBorder="1" applyFont="1">
      <alignment horizontal="left" shrinkToFit="0" vertical="bottom" wrapText="1"/>
    </xf>
    <xf borderId="18" fillId="3" fontId="8" numFmtId="0" xfId="0" applyAlignment="1" applyBorder="1" applyFont="1">
      <alignment horizontal="center" shrinkToFit="0" vertical="bottom" wrapText="1"/>
    </xf>
    <xf borderId="19" fillId="3" fontId="8" numFmtId="0" xfId="0" applyAlignment="1" applyBorder="1" applyFont="1">
      <alignment horizontal="center" shrinkToFit="0" vertical="bottom" wrapText="1"/>
    </xf>
    <xf borderId="0" fillId="3" fontId="7" numFmtId="0" xfId="0" applyAlignment="1" applyFont="1">
      <alignment horizontal="center"/>
    </xf>
    <xf borderId="0" fillId="3" fontId="7" numFmtId="0" xfId="0" applyAlignment="1" applyFont="1">
      <alignment horizontal="left"/>
    </xf>
    <xf borderId="0" fillId="0" fontId="7" numFmtId="0" xfId="0" applyAlignment="1" applyFont="1">
      <alignment horizontal="center"/>
    </xf>
    <xf borderId="0" fillId="0" fontId="7" numFmtId="0" xfId="0" applyAlignment="1" applyFont="1">
      <alignment horizontal="left"/>
    </xf>
    <xf borderId="1" fillId="6" fontId="5" numFmtId="0" xfId="0" applyAlignment="1" applyBorder="1" applyFill="1" applyFont="1">
      <alignment horizontal="center" shrinkToFit="0" vertical="center" wrapText="1"/>
    </xf>
    <xf borderId="1" fillId="6" fontId="5" numFmtId="0" xfId="0" applyAlignment="1" applyBorder="1" applyFont="1">
      <alignment horizontal="left" shrinkToFit="0" vertical="center" wrapText="1"/>
    </xf>
    <xf borderId="9" fillId="5" fontId="8" numFmtId="0" xfId="0" applyAlignment="1" applyBorder="1" applyFont="1">
      <alignment horizontal="center" shrinkToFit="0" vertical="bottom" wrapText="1"/>
    </xf>
  </cellXfs>
  <cellStyles count="1">
    <cellStyle xfId="0" name="Normal" builtinId="0"/>
  </cellStyles>
  <dxfs count="5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6">
    <tableStyle count="3" pivot="0" name="H-style">
      <tableStyleElement dxfId="2" type="headerRow"/>
      <tableStyleElement dxfId="3" type="firstRowStripe"/>
      <tableStyleElement dxfId="4" type="secondRowStripe"/>
    </tableStyle>
    <tableStyle count="3" pivot="0" name="F-style">
      <tableStyleElement dxfId="2" type="headerRow"/>
      <tableStyleElement dxfId="3" type="firstRowStripe"/>
      <tableStyleElement dxfId="4" type="secondRowStripe"/>
    </tableStyle>
    <tableStyle count="3" pivot="0" name="SH-style">
      <tableStyleElement dxfId="2" type="headerRow"/>
      <tableStyleElement dxfId="3" type="firstRowStripe"/>
      <tableStyleElement dxfId="4" type="secondRowStripe"/>
    </tableStyle>
    <tableStyle count="3" pivot="0" name="SF-style">
      <tableStyleElement dxfId="2" type="headerRow"/>
      <tableStyleElement dxfId="3" type="firstRowStripe"/>
      <tableStyleElement dxfId="4" type="secondRowStripe"/>
    </tableStyle>
    <tableStyle count="3" pivot="0" name="MH-style">
      <tableStyleElement dxfId="2" type="headerRow"/>
      <tableStyleElement dxfId="3" type="firstRowStripe"/>
      <tableStyleElement dxfId="4" type="secondRowStripe"/>
    </tableStyle>
    <tableStyle count="3" pivot="0" name="MF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K180" displayName="Table_1" name="Table_1" id="1">
  <tableColumns count="11">
    <tableColumn name="Rang" id="1"/>
    <tableColumn name="Dossard" id="2"/>
    <tableColumn name="Nom" id="3"/>
    <tableColumn name="Prénom" id="4"/>
    <tableColumn name="Cat." id="5"/>
    <tableColumn name="Rang cat" id="6"/>
    <tableColumn name="Temps final" id="7"/>
    <tableColumn name="Temps nat" id="8"/>
    <tableColumn name="Temps vélo" id="9"/>
    <tableColumn name="Temps course" id="10"/>
    <tableColumn name="Temps T1+T2" id="11"/>
  </tableColumns>
  <tableStyleInfo name="H-style" showColumnStripes="0" showFirstColumn="1" showLastColumn="1" showRowStripes="1"/>
</table>
</file>

<file path=xl/tables/table2.xml><?xml version="1.0" encoding="utf-8"?>
<table xmlns="http://schemas.openxmlformats.org/spreadsheetml/2006/main" ref="A1:K180" displayName="Table_2" name="Table_2" id="2">
  <tableColumns count="11">
    <tableColumn name="Rang" id="1"/>
    <tableColumn name="Dossard" id="2"/>
    <tableColumn name="Nom" id="3"/>
    <tableColumn name="Prénom" id="4"/>
    <tableColumn name="Cat." id="5"/>
    <tableColumn name="Rang cat" id="6"/>
    <tableColumn name="Temps final" id="7"/>
    <tableColumn name="Temps nat" id="8"/>
    <tableColumn name="Temps vélo" id="9"/>
    <tableColumn name="Temps course" id="10"/>
    <tableColumn name="Temps T1+T2" id="11"/>
  </tableColumns>
  <tableStyleInfo name="F-style" showColumnStripes="0" showFirstColumn="1" showLastColumn="1" showRowStripes="1"/>
</table>
</file>

<file path=xl/tables/table3.xml><?xml version="1.0" encoding="utf-8"?>
<table xmlns="http://schemas.openxmlformats.org/spreadsheetml/2006/main" ref="A1:K180" displayName="Table_3" name="Table_3" id="3">
  <tableColumns count="11">
    <tableColumn name="Rang" id="1"/>
    <tableColumn name="Dossard" id="2"/>
    <tableColumn name="Nom" id="3"/>
    <tableColumn name="Prénom" id="4"/>
    <tableColumn name="Cat." id="5"/>
    <tableColumn name="Rang cat" id="6"/>
    <tableColumn name="Temps final" id="7"/>
    <tableColumn name="Temps nat" id="8"/>
    <tableColumn name="Temps vélo" id="9"/>
    <tableColumn name="Temps course" id="10"/>
    <tableColumn name="Temps T1+T2" id="11"/>
  </tableColumns>
  <tableStyleInfo name="SH-style" showColumnStripes="0" showFirstColumn="1" showLastColumn="1" showRowStripes="1"/>
</table>
</file>

<file path=xl/tables/table4.xml><?xml version="1.0" encoding="utf-8"?>
<table xmlns="http://schemas.openxmlformats.org/spreadsheetml/2006/main" ref="A1:K180" displayName="Table_4" name="Table_4" id="4">
  <tableColumns count="11">
    <tableColumn name="Rang" id="1"/>
    <tableColumn name="Dossard" id="2"/>
    <tableColumn name="Nom" id="3"/>
    <tableColumn name="Prénom" id="4"/>
    <tableColumn name="Cat." id="5"/>
    <tableColumn name="Rang cat" id="6"/>
    <tableColumn name="Temps final" id="7"/>
    <tableColumn name="Temps nat" id="8"/>
    <tableColumn name="Temps vélo" id="9"/>
    <tableColumn name="Temps course" id="10"/>
    <tableColumn name="Temps T1+T2" id="11"/>
  </tableColumns>
  <tableStyleInfo name="SF-style" showColumnStripes="0" showFirstColumn="1" showLastColumn="1" showRowStripes="1"/>
</table>
</file>

<file path=xl/tables/table5.xml><?xml version="1.0" encoding="utf-8"?>
<table xmlns="http://schemas.openxmlformats.org/spreadsheetml/2006/main" ref="A1:K180" displayName="Table_5" name="Table_5" id="5">
  <tableColumns count="11">
    <tableColumn name="Rang" id="1"/>
    <tableColumn name="Dossard" id="2"/>
    <tableColumn name="Nom" id="3"/>
    <tableColumn name="Prénom" id="4"/>
    <tableColumn name="Cat." id="5"/>
    <tableColumn name="Rang cat" id="6"/>
    <tableColumn name="Temps final" id="7"/>
    <tableColumn name="Temps nat" id="8"/>
    <tableColumn name="Temps vélo" id="9"/>
    <tableColumn name="Temps course" id="10"/>
    <tableColumn name="Temps T1+T2" id="11"/>
  </tableColumns>
  <tableStyleInfo name="MH-style" showColumnStripes="0" showFirstColumn="1" showLastColumn="1" showRowStripes="1"/>
</table>
</file>

<file path=xl/tables/table6.xml><?xml version="1.0" encoding="utf-8"?>
<table xmlns="http://schemas.openxmlformats.org/spreadsheetml/2006/main" ref="A1:K180" displayName="Table_6" name="Table_6" id="6">
  <tableColumns count="11">
    <tableColumn name="Rang" id="1"/>
    <tableColumn name="Dossard" id="2"/>
    <tableColumn name="Nom" id="3"/>
    <tableColumn name="Prénom" id="4"/>
    <tableColumn name="Cat." id="5"/>
    <tableColumn name="Rang cat" id="6"/>
    <tableColumn name="Temps final" id="7"/>
    <tableColumn name="Temps nat" id="8"/>
    <tableColumn name="Temps vélo" id="9"/>
    <tableColumn name="Temps course" id="10"/>
    <tableColumn name="Temps T1+T2" id="11"/>
  </tableColumns>
  <tableStyleInfo name="MF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3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4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5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5.5"/>
    <col customWidth="1" min="2" max="2" width="8.0"/>
    <col customWidth="1" min="3" max="3" width="14.38"/>
    <col customWidth="1" min="4" max="4" width="11.0"/>
    <col customWidth="1" min="5" max="5" width="5.75"/>
    <col customWidth="1" min="6" max="6" width="6.25"/>
    <col customWidth="1" min="7" max="7" width="10.5"/>
    <col customWidth="1" min="8" max="8" width="9.13"/>
    <col customWidth="1" min="9" max="9" width="7.25"/>
    <col customWidth="1" min="10" max="10" width="9.5"/>
    <col customWidth="1" min="11" max="11" width="5.5"/>
    <col customWidth="1" min="12" max="12" width="8.5"/>
    <col customWidth="1" min="13" max="13" width="5.0"/>
    <col customWidth="1" min="14" max="14" width="8.38"/>
    <col customWidth="1" min="15" max="15" width="5.0"/>
  </cols>
  <sheetData>
    <row r="1" ht="15.75" customHeight="1">
      <c r="A1" s="1" t="str">
        <f>IFERROR(__xludf.DUMMYFUNCTION("importrange(""https://docs.google.com/spreadsheets/d/1SneboWg5ForOUIMyz7kk7PNTpQ7WlnVISde0cc3ncMg/edit?gid=350079654#gid=350079654"",""Resultats_scratch!A1:O180"")"),"Rang")</f>
        <v>Rang</v>
      </c>
      <c r="B1" s="1" t="str">
        <f>IFERROR(__xludf.DUMMYFUNCTION("""COMPUTED_VALUE"""),"Dossard")</f>
        <v>Dossard</v>
      </c>
      <c r="C1" s="2" t="str">
        <f>IFERROR(__xludf.DUMMYFUNCTION("""COMPUTED_VALUE"""),"Nom")</f>
        <v>Nom</v>
      </c>
      <c r="D1" s="2" t="str">
        <f>IFERROR(__xludf.DUMMYFUNCTION("""COMPUTED_VALUE"""),"Prénom")</f>
        <v>Prénom</v>
      </c>
      <c r="E1" s="1" t="str">
        <f>IFERROR(__xludf.DUMMYFUNCTION("""COMPUTED_VALUE"""),"Cat.")</f>
        <v>Cat.</v>
      </c>
      <c r="F1" s="1" t="str">
        <f>IFERROR(__xludf.DUMMYFUNCTION("""COMPUTED_VALUE"""),"Rang cat")</f>
        <v>Rang cat</v>
      </c>
      <c r="G1" s="3" t="str">
        <f>IFERROR(__xludf.DUMMYFUNCTION("""COMPUTED_VALUE"""),"Temps final")</f>
        <v>Temps final</v>
      </c>
      <c r="H1" s="1" t="str">
        <f>IFERROR(__xludf.DUMMYFUNCTION("""COMPUTED_VALUE"""),"Temps nat")</f>
        <v>Temps nat</v>
      </c>
      <c r="I1" s="1" t="str">
        <f>IFERROR(__xludf.DUMMYFUNCTION("""COMPUTED_VALUE"""),"Rang nat")</f>
        <v>Rang nat</v>
      </c>
      <c r="J1" s="1" t="str">
        <f>IFERROR(__xludf.DUMMYFUNCTION("""COMPUTED_VALUE"""),"Temps vélo")</f>
        <v>Temps vélo</v>
      </c>
      <c r="K1" s="1" t="str">
        <f>IFERROR(__xludf.DUMMYFUNCTION("""COMPUTED_VALUE"""),"Rang vélo")</f>
        <v>Rang vélo</v>
      </c>
      <c r="L1" s="1" t="str">
        <f>IFERROR(__xludf.DUMMYFUNCTION("""COMPUTED_VALUE"""),"Temps course")</f>
        <v>Temps course</v>
      </c>
      <c r="M1" s="1" t="str">
        <f>IFERROR(__xludf.DUMMYFUNCTION("""COMPUTED_VALUE"""),"Rang cap")</f>
        <v>Rang cap</v>
      </c>
      <c r="N1" s="1" t="str">
        <f>IFERROR(__xludf.DUMMYFUNCTION("""COMPUTED_VALUE"""),"Temps T1+T2")</f>
        <v>Temps T1+T2</v>
      </c>
      <c r="O1" s="1" t="str">
        <f>IFERROR(__xludf.DUMMYFUNCTION("""COMPUTED_VALUE"""),"Rang T1/2")</f>
        <v>Rang T1/2</v>
      </c>
      <c r="P1" s="4"/>
      <c r="Q1" s="5"/>
      <c r="R1" s="5"/>
      <c r="S1" s="5"/>
      <c r="T1" s="5"/>
      <c r="U1" s="5"/>
      <c r="V1" s="5"/>
      <c r="W1" s="5"/>
      <c r="X1" s="5"/>
      <c r="Y1" s="5"/>
      <c r="Z1" s="5"/>
    </row>
    <row r="2" ht="15.75" customHeight="1">
      <c r="A2" s="6">
        <f>IFERROR(__xludf.DUMMYFUNCTION("""COMPUTED_VALUE"""),1.0)</f>
        <v>1</v>
      </c>
      <c r="B2" s="7" t="str">
        <f>IFERROR(__xludf.DUMMYFUNCTION("""COMPUTED_VALUE"""),"220")</f>
        <v>220</v>
      </c>
      <c r="C2" s="8" t="str">
        <f>IFERROR(__xludf.DUMMYFUNCTION("""COMPUTED_VALUE"""),"REGNIER")</f>
        <v>REGNIER</v>
      </c>
      <c r="D2" s="9" t="str">
        <f>IFERROR(__xludf.DUMMYFUNCTION("""COMPUTED_VALUE"""),"BENOIT")</f>
        <v>BENOIT</v>
      </c>
      <c r="E2" s="10" t="str">
        <f>IFERROR(__xludf.DUMMYFUNCTION("""COMPUTED_VALUE"""),"SH4")</f>
        <v>SH4</v>
      </c>
      <c r="F2" s="10">
        <f>IFERROR(__xludf.DUMMYFUNCTION("""COMPUTED_VALUE"""),1.0)</f>
        <v>1</v>
      </c>
      <c r="G2" s="11">
        <f>IFERROR(__xludf.DUMMYFUNCTION("""COMPUTED_VALUE"""),0.016342593717538826)</f>
        <v>0.01634259372</v>
      </c>
      <c r="H2" s="12">
        <f>IFERROR(__xludf.DUMMYFUNCTION("""COMPUTED_VALUE"""),0.002824074093448683)</f>
        <v>0.002824074093</v>
      </c>
      <c r="I2" s="13">
        <f>IFERROR(__xludf.DUMMYFUNCTION("""COMPUTED_VALUE"""),4.0)</f>
        <v>4</v>
      </c>
      <c r="J2" s="12">
        <f>IFERROR(__xludf.DUMMYFUNCTION("""COMPUTED_VALUE"""),0.007037037070367344)</f>
        <v>0.00703703707</v>
      </c>
      <c r="K2" s="13">
        <f>IFERROR(__xludf.DUMMYFUNCTION("""COMPUTED_VALUE"""),24.0)</f>
        <v>24</v>
      </c>
      <c r="L2" s="12">
        <f>IFERROR(__xludf.DUMMYFUNCTION("""COMPUTED_VALUE"""),0.005983797309151729)</f>
        <v>0.005983797309</v>
      </c>
      <c r="M2" s="13">
        <f>IFERROR(__xludf.DUMMYFUNCTION("""COMPUTED_VALUE"""),1.0)</f>
        <v>1</v>
      </c>
      <c r="N2" s="12">
        <f>IFERROR(__xludf.DUMMYFUNCTION("""COMPUTED_VALUE"""),4.976852445710694E-4)</f>
        <v>0.0004976852446</v>
      </c>
      <c r="O2" s="13">
        <f>IFERROR(__xludf.DUMMYFUNCTION("""COMPUTED_VALUE"""),5.0)</f>
        <v>5</v>
      </c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5.75" customHeight="1">
      <c r="A3" s="15">
        <f>IFERROR(__xludf.DUMMYFUNCTION("""COMPUTED_VALUE"""),2.0)</f>
        <v>2</v>
      </c>
      <c r="B3" s="16" t="str">
        <f>IFERROR(__xludf.DUMMYFUNCTION("""COMPUTED_VALUE"""),"192")</f>
        <v>192</v>
      </c>
      <c r="C3" s="17" t="str">
        <f>IFERROR(__xludf.DUMMYFUNCTION("""COMPUTED_VALUE"""),"LEVEL")</f>
        <v>LEVEL</v>
      </c>
      <c r="D3" s="18" t="str">
        <f>IFERROR(__xludf.DUMMYFUNCTION("""COMPUTED_VALUE"""),"ROMAIN")</f>
        <v>ROMAIN</v>
      </c>
      <c r="E3" s="19" t="str">
        <f>IFERROR(__xludf.DUMMYFUNCTION("""COMPUTED_VALUE"""),"SH4")</f>
        <v>SH4</v>
      </c>
      <c r="F3" s="19">
        <f>IFERROR(__xludf.DUMMYFUNCTION("""COMPUTED_VALUE"""),2.0)</f>
        <v>2</v>
      </c>
      <c r="G3" s="20">
        <f>IFERROR(__xludf.DUMMYFUNCTION("""COMPUTED_VALUE"""),0.01701388935534628)</f>
        <v>0.01701388936</v>
      </c>
      <c r="H3" s="21">
        <f>IFERROR(__xludf.DUMMYFUNCTION("""COMPUTED_VALUE"""),0.0029629630688226584)</f>
        <v>0.002962963069</v>
      </c>
      <c r="I3" s="22">
        <f>IFERROR(__xludf.DUMMYFUNCTION("""COMPUTED_VALUE"""),10.0)</f>
        <v>10</v>
      </c>
      <c r="J3" s="21">
        <f>IFERROR(__xludf.DUMMYFUNCTION("""COMPUTED_VALUE"""),0.006203703759525812)</f>
        <v>0.00620370376</v>
      </c>
      <c r="K3" s="22">
        <f>IFERROR(__xludf.DUMMYFUNCTION("""COMPUTED_VALUE"""),2.0)</f>
        <v>2</v>
      </c>
      <c r="L3" s="21">
        <f>IFERROR(__xludf.DUMMYFUNCTION("""COMPUTED_VALUE"""),0.007407407723074929)</f>
        <v>0.007407407723</v>
      </c>
      <c r="M3" s="22">
        <f>IFERROR(__xludf.DUMMYFUNCTION("""COMPUTED_VALUE"""),22.0)</f>
        <v>22</v>
      </c>
      <c r="N3" s="21">
        <f>IFERROR(__xludf.DUMMYFUNCTION("""COMPUTED_VALUE"""),4.3981480392288157E-4)</f>
        <v>0.0004398148039</v>
      </c>
      <c r="O3" s="22">
        <f>IFERROR(__xludf.DUMMYFUNCTION("""COMPUTED_VALUE"""),2.0)</f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5.75" customHeight="1">
      <c r="A4" s="23">
        <f>IFERROR(__xludf.DUMMYFUNCTION("""COMPUTED_VALUE"""),3.0)</f>
        <v>3</v>
      </c>
      <c r="B4" s="24" t="str">
        <f>IFERROR(__xludf.DUMMYFUNCTION("""COMPUTED_VALUE"""),"153")</f>
        <v>153</v>
      </c>
      <c r="C4" s="25" t="str">
        <f>IFERROR(__xludf.DUMMYFUNCTION("""COMPUTED_VALUE"""),"SAUVIAT")</f>
        <v>SAUVIAT</v>
      </c>
      <c r="D4" s="26" t="str">
        <f>IFERROR(__xludf.DUMMYFUNCTION("""COMPUTED_VALUE"""),"MARC-ANTOINE")</f>
        <v>MARC-ANTOINE</v>
      </c>
      <c r="E4" s="27" t="str">
        <f>IFERROR(__xludf.DUMMYFUNCTION("""COMPUTED_VALUE"""),"SH3")</f>
        <v>SH3</v>
      </c>
      <c r="F4" s="27">
        <f>IFERROR(__xludf.DUMMYFUNCTION("""COMPUTED_VALUE"""),1.0)</f>
        <v>1</v>
      </c>
      <c r="G4" s="28">
        <f>IFERROR(__xludf.DUMMYFUNCTION("""COMPUTED_VALUE"""),0.017326389722227546)</f>
        <v>0.01732638972</v>
      </c>
      <c r="H4" s="29">
        <f>IFERROR(__xludf.DUMMYFUNCTION("""COMPUTED_VALUE"""),0.0031018519120091016)</f>
        <v>0.003101851912</v>
      </c>
      <c r="I4" s="30">
        <f>IFERROR(__xludf.DUMMYFUNCTION("""COMPUTED_VALUE"""),16.0)</f>
        <v>16</v>
      </c>
      <c r="J4" s="29">
        <f>IFERROR(__xludf.DUMMYFUNCTION("""COMPUTED_VALUE"""),0.006967592611820918)</f>
        <v>0.006967592612</v>
      </c>
      <c r="K4" s="30">
        <f>IFERROR(__xludf.DUMMYFUNCTION("""COMPUTED_VALUE"""),17.0)</f>
        <v>17</v>
      </c>
      <c r="L4" s="29">
        <f>IFERROR(__xludf.DUMMYFUNCTION("""COMPUTED_VALUE"""),0.00675925896425341)</f>
        <v>0.006759258964</v>
      </c>
      <c r="M4" s="30">
        <f>IFERROR(__xludf.DUMMYFUNCTION("""COMPUTED_VALUE"""),5.0)</f>
        <v>5</v>
      </c>
      <c r="N4" s="29">
        <f>IFERROR(__xludf.DUMMYFUNCTION("""COMPUTED_VALUE"""),4.976862341441166E-4)</f>
        <v>0.0004976862341</v>
      </c>
      <c r="O4" s="30">
        <f>IFERROR(__xludf.DUMMYFUNCTION("""COMPUTED_VALUE"""),8.0)</f>
        <v>8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15.75" customHeight="1">
      <c r="A5" s="15">
        <f>IFERROR(__xludf.DUMMYFUNCTION("""COMPUTED_VALUE"""),4.0)</f>
        <v>4</v>
      </c>
      <c r="B5" s="16" t="str">
        <f>IFERROR(__xludf.DUMMYFUNCTION("""COMPUTED_VALUE"""),"221")</f>
        <v>221</v>
      </c>
      <c r="C5" s="17" t="str">
        <f>IFERROR(__xludf.DUMMYFUNCTION("""COMPUTED_VALUE"""),"FROMENTEAU")</f>
        <v>FROMENTEAU</v>
      </c>
      <c r="D5" s="18" t="str">
        <f>IFERROR(__xludf.DUMMYFUNCTION("""COMPUTED_VALUE"""),"MATTHIEU")</f>
        <v>MATTHIEU</v>
      </c>
      <c r="E5" s="19" t="str">
        <f>IFERROR(__xludf.DUMMYFUNCTION("""COMPUTED_VALUE"""),"SH3")</f>
        <v>SH3</v>
      </c>
      <c r="F5" s="19">
        <f>IFERROR(__xludf.DUMMYFUNCTION("""COMPUTED_VALUE"""),2.0)</f>
        <v>2</v>
      </c>
      <c r="G5" s="20">
        <f>IFERROR(__xludf.DUMMYFUNCTION("""COMPUTED_VALUE"""),0.017731481948815582)</f>
        <v>0.01773148195</v>
      </c>
      <c r="H5" s="21">
        <f>IFERROR(__xludf.DUMMYFUNCTION("""COMPUTED_VALUE"""),0.00292824083000961)</f>
        <v>0.00292824083</v>
      </c>
      <c r="I5" s="22">
        <f>IFERROR(__xludf.DUMMYFUNCTION("""COMPUTED_VALUE"""),9.0)</f>
        <v>9</v>
      </c>
      <c r="J5" s="21">
        <f>IFERROR(__xludf.DUMMYFUNCTION("""COMPUTED_VALUE"""),0.007002314898084527)</f>
        <v>0.007002314898</v>
      </c>
      <c r="K5" s="22">
        <f>IFERROR(__xludf.DUMMYFUNCTION("""COMPUTED_VALUE"""),23.0)</f>
        <v>23</v>
      </c>
      <c r="L5" s="21">
        <f>IFERROR(__xludf.DUMMYFUNCTION("""COMPUTED_VALUE"""),0.007395833104588707)</f>
        <v>0.007395833105</v>
      </c>
      <c r="M5" s="22">
        <f>IFERROR(__xludf.DUMMYFUNCTION("""COMPUTED_VALUE"""),20.0)</f>
        <v>20</v>
      </c>
      <c r="N5" s="21">
        <f>IFERROR(__xludf.DUMMYFUNCTION("""COMPUTED_VALUE"""),4.0509311613273844E-4)</f>
        <v>0.0004050931161</v>
      </c>
      <c r="O5" s="22">
        <f>IFERROR(__xludf.DUMMYFUNCTION("""COMPUTED_VALUE"""),1.0)</f>
        <v>1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5.75" customHeight="1">
      <c r="A6" s="23">
        <f>IFERROR(__xludf.DUMMYFUNCTION("""COMPUTED_VALUE"""),5.0)</f>
        <v>5</v>
      </c>
      <c r="B6" s="24" t="str">
        <f>IFERROR(__xludf.DUMMYFUNCTION("""COMPUTED_VALUE"""),"215")</f>
        <v>215</v>
      </c>
      <c r="C6" s="25" t="str">
        <f>IFERROR(__xludf.DUMMYFUNCTION("""COMPUTED_VALUE"""),"OUSTRY")</f>
        <v>OUSTRY</v>
      </c>
      <c r="D6" s="26" t="str">
        <f>IFERROR(__xludf.DUMMYFUNCTION("""COMPUTED_VALUE"""),"JULIEN")</f>
        <v>JULIEN</v>
      </c>
      <c r="E6" s="27" t="str">
        <f>IFERROR(__xludf.DUMMYFUNCTION("""COMPUTED_VALUE"""),"SH4")</f>
        <v>SH4</v>
      </c>
      <c r="F6" s="27">
        <f>IFERROR(__xludf.DUMMYFUNCTION("""COMPUTED_VALUE"""),3.0)</f>
        <v>3</v>
      </c>
      <c r="G6" s="28">
        <f>IFERROR(__xludf.DUMMYFUNCTION("""COMPUTED_VALUE"""),0.017870371419474763)</f>
        <v>0.01787037142</v>
      </c>
      <c r="H6" s="29">
        <f>IFERROR(__xludf.DUMMYFUNCTION("""COMPUTED_VALUE"""),0.002719907502794591)</f>
        <v>0.002719907503</v>
      </c>
      <c r="I6" s="30">
        <f>IFERROR(__xludf.DUMMYFUNCTION("""COMPUTED_VALUE"""),3.0)</f>
        <v>3</v>
      </c>
      <c r="J6" s="29">
        <f>IFERROR(__xludf.DUMMYFUNCTION("""COMPUTED_VALUE"""),0.00716435188884662)</f>
        <v>0.007164351889</v>
      </c>
      <c r="K6" s="30">
        <f>IFERROR(__xludf.DUMMYFUNCTION("""COMPUTED_VALUE"""),32.0)</f>
        <v>32</v>
      </c>
      <c r="L6" s="29">
        <f>IFERROR(__xludf.DUMMYFUNCTION("""COMPUTED_VALUE"""),0.007488426685071029)</f>
        <v>0.007488426685</v>
      </c>
      <c r="M6" s="30">
        <f>IFERROR(__xludf.DUMMYFUNCTION("""COMPUTED_VALUE"""),24.0)</f>
        <v>24</v>
      </c>
      <c r="N6" s="29">
        <f>IFERROR(__xludf.DUMMYFUNCTION("""COMPUTED_VALUE"""),4.97685342762524E-4)</f>
        <v>0.0004976853428</v>
      </c>
      <c r="O6" s="30">
        <f>IFERROR(__xludf.DUMMYFUNCTION("""COMPUTED_VALUE"""),6.0)</f>
        <v>6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15.75" customHeight="1">
      <c r="A7" s="15">
        <f>IFERROR(__xludf.DUMMYFUNCTION("""COMPUTED_VALUE"""),6.0)</f>
        <v>6</v>
      </c>
      <c r="B7" s="16" t="str">
        <f>IFERROR(__xludf.DUMMYFUNCTION("""COMPUTED_VALUE"""),"218")</f>
        <v>218</v>
      </c>
      <c r="C7" s="17" t="str">
        <f>IFERROR(__xludf.DUMMYFUNCTION("""COMPUTED_VALUE"""),"KERGOAT")</f>
        <v>KERGOAT</v>
      </c>
      <c r="D7" s="18" t="str">
        <f>IFERROR(__xludf.DUMMYFUNCTION("""COMPUTED_VALUE"""),"FRANCOIS")</f>
        <v>FRANCOIS</v>
      </c>
      <c r="E7" s="19" t="str">
        <f>IFERROR(__xludf.DUMMYFUNCTION("""COMPUTED_VALUE"""),"SH4")</f>
        <v>SH4</v>
      </c>
      <c r="F7" s="19">
        <f>IFERROR(__xludf.DUMMYFUNCTION("""COMPUTED_VALUE"""),4.0)</f>
        <v>4</v>
      </c>
      <c r="G7" s="20">
        <f>IFERROR(__xludf.DUMMYFUNCTION("""COMPUTED_VALUE"""),0.017893518664576866)</f>
        <v>0.01789351866</v>
      </c>
      <c r="H7" s="21">
        <f>IFERROR(__xludf.DUMMYFUNCTION("""COMPUTED_VALUE"""),0.002986111113312133)</f>
        <v>0.002986111113</v>
      </c>
      <c r="I7" s="22">
        <f>IFERROR(__xludf.DUMMYFUNCTION("""COMPUTED_VALUE"""),11.0)</f>
        <v>11</v>
      </c>
      <c r="J7" s="21">
        <f>IFERROR(__xludf.DUMMYFUNCTION("""COMPUTED_VALUE"""),0.007141203762140915)</f>
        <v>0.007141203762</v>
      </c>
      <c r="K7" s="22">
        <f>IFERROR(__xludf.DUMMYFUNCTION("""COMPUTED_VALUE"""),29.0)</f>
        <v>29</v>
      </c>
      <c r="L7" s="21">
        <f>IFERROR(__xludf.DUMMYFUNCTION("""COMPUTED_VALUE"""),0.006979166283490533)</f>
        <v>0.006979166283</v>
      </c>
      <c r="M7" s="22">
        <f>IFERROR(__xludf.DUMMYFUNCTION("""COMPUTED_VALUE"""),6.0)</f>
        <v>6</v>
      </c>
      <c r="N7" s="21">
        <f>IFERROR(__xludf.DUMMYFUNCTION("""COMPUTED_VALUE"""),7.870375056332848E-4)</f>
        <v>0.0007870375056</v>
      </c>
      <c r="O7" s="22">
        <f>IFERROR(__xludf.DUMMYFUNCTION("""COMPUTED_VALUE"""),34.0)</f>
        <v>34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5.75" customHeight="1">
      <c r="A8" s="23">
        <f>IFERROR(__xludf.DUMMYFUNCTION("""COMPUTED_VALUE"""),7.0)</f>
        <v>7</v>
      </c>
      <c r="B8" s="24" t="str">
        <f>IFERROR(__xludf.DUMMYFUNCTION("""COMPUTED_VALUE"""),"133")</f>
        <v>133</v>
      </c>
      <c r="C8" s="25" t="str">
        <f>IFERROR(__xludf.DUMMYFUNCTION("""COMPUTED_VALUE"""),"ROSANVALLON")</f>
        <v>ROSANVALLON</v>
      </c>
      <c r="D8" s="26" t="str">
        <f>IFERROR(__xludf.DUMMYFUNCTION("""COMPUTED_VALUE"""),"JÉRÉMIE")</f>
        <v>JÉRÉMIE</v>
      </c>
      <c r="E8" s="27" t="str">
        <f>IFERROR(__xludf.DUMMYFUNCTION("""COMPUTED_VALUE"""),"MH2")</f>
        <v>MH2</v>
      </c>
      <c r="F8" s="27">
        <f>IFERROR(__xludf.DUMMYFUNCTION("""COMPUTED_VALUE"""),1.0)</f>
        <v>1</v>
      </c>
      <c r="G8" s="28">
        <f>IFERROR(__xludf.DUMMYFUNCTION("""COMPUTED_VALUE"""),0.017974537292888285)</f>
        <v>0.01797453729</v>
      </c>
      <c r="H8" s="29">
        <f>IFERROR(__xludf.DUMMYFUNCTION("""COMPUTED_VALUE"""),0.0035995371434428677)</f>
        <v>0.003599537143</v>
      </c>
      <c r="I8" s="30">
        <f>IFERROR(__xludf.DUMMYFUNCTION("""COMPUTED_VALUE"""),37.0)</f>
        <v>37</v>
      </c>
      <c r="J8" s="29">
        <f>IFERROR(__xludf.DUMMYFUNCTION("""COMPUTED_VALUE"""),0.006053240790774919)</f>
        <v>0.006053240791</v>
      </c>
      <c r="K8" s="30">
        <f>IFERROR(__xludf.DUMMYFUNCTION("""COMPUTED_VALUE"""),1.0)</f>
        <v>1</v>
      </c>
      <c r="L8" s="29">
        <f>IFERROR(__xludf.DUMMYFUNCTION("""COMPUTED_VALUE"""),0.007743054866994234)</f>
        <v>0.007743054867</v>
      </c>
      <c r="M8" s="30">
        <f>IFERROR(__xludf.DUMMYFUNCTION("""COMPUTED_VALUE"""),31.0)</f>
        <v>31</v>
      </c>
      <c r="N8" s="29">
        <f>IFERROR(__xludf.DUMMYFUNCTION("""COMPUTED_VALUE"""),5.787044916762641E-4)</f>
        <v>0.0005787044917</v>
      </c>
      <c r="O8" s="30">
        <f>IFERROR(__xludf.DUMMYFUNCTION("""COMPUTED_VALUE"""),13.0)</f>
        <v>13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15.75" customHeight="1">
      <c r="A9" s="15">
        <f>IFERROR(__xludf.DUMMYFUNCTION("""COMPUTED_VALUE"""),8.0)</f>
        <v>8</v>
      </c>
      <c r="B9" s="16" t="str">
        <f>IFERROR(__xludf.DUMMYFUNCTION("""COMPUTED_VALUE"""),"132")</f>
        <v>132</v>
      </c>
      <c r="C9" s="17" t="str">
        <f>IFERROR(__xludf.DUMMYFUNCTION("""COMPUTED_VALUE"""),"LEDOUX")</f>
        <v>LEDOUX</v>
      </c>
      <c r="D9" s="18" t="str">
        <f>IFERROR(__xludf.DUMMYFUNCTION("""COMPUTED_VALUE"""),"VINCENT")</f>
        <v>VINCENT</v>
      </c>
      <c r="E9" s="19" t="str">
        <f>IFERROR(__xludf.DUMMYFUNCTION("""COMPUTED_VALUE"""),"SH3")</f>
        <v>SH3</v>
      </c>
      <c r="F9" s="19">
        <f>IFERROR(__xludf.DUMMYFUNCTION("""COMPUTED_VALUE"""),3.0)</f>
        <v>3</v>
      </c>
      <c r="G9" s="20">
        <f>IFERROR(__xludf.DUMMYFUNCTION("""COMPUTED_VALUE"""),0.017986112144996205)</f>
        <v>0.01798611214</v>
      </c>
      <c r="H9" s="21">
        <f>IFERROR(__xludf.DUMMYFUNCTION("""COMPUTED_VALUE"""),0.0034722222267817566)</f>
        <v>0.003472222227</v>
      </c>
      <c r="I9" s="22">
        <f>IFERROR(__xludf.DUMMYFUNCTION("""COMPUTED_VALUE"""),28.0)</f>
        <v>28</v>
      </c>
      <c r="J9" s="21">
        <f>IFERROR(__xludf.DUMMYFUNCTION("""COMPUTED_VALUE"""),0.006712962983883255)</f>
        <v>0.006712962984</v>
      </c>
      <c r="K9" s="22">
        <f>IFERROR(__xludf.DUMMYFUNCTION("""COMPUTED_VALUE"""),5.0)</f>
        <v>5</v>
      </c>
      <c r="L9" s="21">
        <f>IFERROR(__xludf.DUMMYFUNCTION("""COMPUTED_VALUE"""),0.00721064852974194)</f>
        <v>0.00721064853</v>
      </c>
      <c r="M9" s="22">
        <f>IFERROR(__xludf.DUMMYFUNCTION("""COMPUTED_VALUE"""),12.0)</f>
        <v>12</v>
      </c>
      <c r="N9" s="21">
        <f>IFERROR(__xludf.DUMMYFUNCTION("""COMPUTED_VALUE"""),5.902784045892537E-4)</f>
        <v>0.0005902784046</v>
      </c>
      <c r="O9" s="22">
        <f>IFERROR(__xludf.DUMMYFUNCTION("""COMPUTED_VALUE"""),14.0)</f>
        <v>14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15.75" customHeight="1">
      <c r="A10" s="23">
        <f>IFERROR(__xludf.DUMMYFUNCTION("""COMPUTED_VALUE"""),9.0)</f>
        <v>9</v>
      </c>
      <c r="B10" s="24" t="str">
        <f>IFERROR(__xludf.DUMMYFUNCTION("""COMPUTED_VALUE"""),"205")</f>
        <v>205</v>
      </c>
      <c r="C10" s="25" t="str">
        <f>IFERROR(__xludf.DUMMYFUNCTION("""COMPUTED_VALUE"""),"MARTIN")</f>
        <v>MARTIN</v>
      </c>
      <c r="D10" s="26" t="str">
        <f>IFERROR(__xludf.DUMMYFUNCTION("""COMPUTED_VALUE"""),"NICOLAS")</f>
        <v>NICOLAS</v>
      </c>
      <c r="E10" s="27" t="str">
        <f>IFERROR(__xludf.DUMMYFUNCTION("""COMPUTED_VALUE"""),"MH1")</f>
        <v>MH1</v>
      </c>
      <c r="F10" s="27">
        <f>IFERROR(__xludf.DUMMYFUNCTION("""COMPUTED_VALUE"""),1.0)</f>
        <v>1</v>
      </c>
      <c r="G10" s="28">
        <f>IFERROR(__xludf.DUMMYFUNCTION("""COMPUTED_VALUE"""),0.018159722436965547)</f>
        <v>0.01815972244</v>
      </c>
      <c r="H10" s="29">
        <f>IFERROR(__xludf.DUMMYFUNCTION("""COMPUTED_VALUE"""),0.003078703808924521)</f>
        <v>0.003078703809</v>
      </c>
      <c r="I10" s="30">
        <f>IFERROR(__xludf.DUMMYFUNCTION("""COMPUTED_VALUE"""),15.0)</f>
        <v>15</v>
      </c>
      <c r="J10" s="29">
        <f>IFERROR(__xludf.DUMMYFUNCTION("""COMPUTED_VALUE"""),0.007210648236009258)</f>
        <v>0.007210648236</v>
      </c>
      <c r="K10" s="30">
        <f>IFERROR(__xludf.DUMMYFUNCTION("""COMPUTED_VALUE"""),36.0)</f>
        <v>36</v>
      </c>
      <c r="L10" s="29">
        <f>IFERROR(__xludf.DUMMYFUNCTION("""COMPUTED_VALUE"""),0.00739583331789034)</f>
        <v>0.007395833318</v>
      </c>
      <c r="M10" s="30">
        <f>IFERROR(__xludf.DUMMYFUNCTION("""COMPUTED_VALUE"""),21.0)</f>
        <v>21</v>
      </c>
      <c r="N10" s="29">
        <f>IFERROR(__xludf.DUMMYFUNCTION("""COMPUTED_VALUE"""),4.745370741414275E-4)</f>
        <v>0.0004745370741</v>
      </c>
      <c r="O10" s="30">
        <f>IFERROR(__xludf.DUMMYFUNCTION("""COMPUTED_VALUE"""),3.0)</f>
        <v>3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5.75" customHeight="1">
      <c r="A11" s="15">
        <f>IFERROR(__xludf.DUMMYFUNCTION("""COMPUTED_VALUE"""),10.0)</f>
        <v>10</v>
      </c>
      <c r="B11" s="16" t="str">
        <f>IFERROR(__xludf.DUMMYFUNCTION("""COMPUTED_VALUE"""),"222")</f>
        <v>222</v>
      </c>
      <c r="C11" s="17" t="str">
        <f>IFERROR(__xludf.DUMMYFUNCTION("""COMPUTED_VALUE"""),"DECANTER")</f>
        <v>DECANTER</v>
      </c>
      <c r="D11" s="18" t="str">
        <f>IFERROR(__xludf.DUMMYFUNCTION("""COMPUTED_VALUE"""),"MATTHIAS")</f>
        <v>MATTHIAS</v>
      </c>
      <c r="E11" s="19" t="str">
        <f>IFERROR(__xludf.DUMMYFUNCTION("""COMPUTED_VALUE"""),"MH2")</f>
        <v>MH2</v>
      </c>
      <c r="F11" s="19">
        <f>IFERROR(__xludf.DUMMYFUNCTION("""COMPUTED_VALUE"""),2.0)</f>
        <v>2</v>
      </c>
      <c r="G11" s="20">
        <f>IFERROR(__xludf.DUMMYFUNCTION("""COMPUTED_VALUE"""),0.01831018621949648)</f>
        <v>0.01831018622</v>
      </c>
      <c r="H11" s="21">
        <f>IFERROR(__xludf.DUMMYFUNCTION("""COMPUTED_VALUE"""),0.002824074104806017)</f>
        <v>0.002824074105</v>
      </c>
      <c r="I11" s="22">
        <f>IFERROR(__xludf.DUMMYFUNCTION("""COMPUTED_VALUE"""),6.0)</f>
        <v>6</v>
      </c>
      <c r="J11" s="21">
        <f>IFERROR(__xludf.DUMMYFUNCTION("""COMPUTED_VALUE"""),0.00694444451822039)</f>
        <v>0.006944444518</v>
      </c>
      <c r="K11" s="22">
        <f>IFERROR(__xludf.DUMMYFUNCTION("""COMPUTED_VALUE"""),14.0)</f>
        <v>14</v>
      </c>
      <c r="L11" s="21">
        <f>IFERROR(__xludf.DUMMYFUNCTION("""COMPUTED_VALUE"""),0.007719907784390688)</f>
        <v>0.007719907784</v>
      </c>
      <c r="M11" s="22">
        <f>IFERROR(__xludf.DUMMYFUNCTION("""COMPUTED_VALUE"""),30.0)</f>
        <v>30</v>
      </c>
      <c r="N11" s="21">
        <f>IFERROR(__xludf.DUMMYFUNCTION("""COMPUTED_VALUE"""),8.217598120793842E-4)</f>
        <v>0.0008217598121</v>
      </c>
      <c r="O11" s="22">
        <f>IFERROR(__xludf.DUMMYFUNCTION("""COMPUTED_VALUE"""),40.0)</f>
        <v>40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5.75" customHeight="1">
      <c r="A12" s="23">
        <f>IFERROR(__xludf.DUMMYFUNCTION("""COMPUTED_VALUE"""),11.0)</f>
        <v>11</v>
      </c>
      <c r="B12" s="24" t="str">
        <f>IFERROR(__xludf.DUMMYFUNCTION("""COMPUTED_VALUE"""),"203")</f>
        <v>203</v>
      </c>
      <c r="C12" s="25" t="str">
        <f>IFERROR(__xludf.DUMMYFUNCTION("""COMPUTED_VALUE"""),"ELISA")</f>
        <v>ELISA</v>
      </c>
      <c r="D12" s="26" t="str">
        <f>IFERROR(__xludf.DUMMYFUNCTION("""COMPUTED_VALUE"""),"ANTOINE")</f>
        <v>ANTOINE</v>
      </c>
      <c r="E12" s="27" t="str">
        <f>IFERROR(__xludf.DUMMYFUNCTION("""COMPUTED_VALUE"""),"SH4")</f>
        <v>SH4</v>
      </c>
      <c r="F12" s="27">
        <f>IFERROR(__xludf.DUMMYFUNCTION("""COMPUTED_VALUE"""),5.0)</f>
        <v>5</v>
      </c>
      <c r="G12" s="28">
        <f>IFERROR(__xludf.DUMMYFUNCTION("""COMPUTED_VALUE"""),0.018437500331969735)</f>
        <v>0.01843750033</v>
      </c>
      <c r="H12" s="29">
        <f>IFERROR(__xludf.DUMMYFUNCTION("""COMPUTED_VALUE"""),0.0032638889396542294)</f>
        <v>0.00326388894</v>
      </c>
      <c r="I12" s="30">
        <f>IFERROR(__xludf.DUMMYFUNCTION("""COMPUTED_VALUE"""),20.0)</f>
        <v>20</v>
      </c>
      <c r="J12" s="29">
        <f>IFERROR(__xludf.DUMMYFUNCTION("""COMPUTED_VALUE"""),0.007175925930398353)</f>
        <v>0.00717592593</v>
      </c>
      <c r="K12" s="30">
        <f>IFERROR(__xludf.DUMMYFUNCTION("""COMPUTED_VALUE"""),33.0)</f>
        <v>33</v>
      </c>
      <c r="L12" s="29">
        <f>IFERROR(__xludf.DUMMYFUNCTION("""COMPUTED_VALUE"""),0.007094907049153431)</f>
        <v>0.007094907049</v>
      </c>
      <c r="M12" s="30">
        <f>IFERROR(__xludf.DUMMYFUNCTION("""COMPUTED_VALUE"""),9.0)</f>
        <v>9</v>
      </c>
      <c r="N12" s="29">
        <f>IFERROR(__xludf.DUMMYFUNCTION("""COMPUTED_VALUE"""),9.027784127637229E-4)</f>
        <v>0.0009027784128</v>
      </c>
      <c r="O12" s="30">
        <f>IFERROR(__xludf.DUMMYFUNCTION("""COMPUTED_VALUE"""),54.0)</f>
        <v>54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15.75" customHeight="1">
      <c r="A13" s="15">
        <f>IFERROR(__xludf.DUMMYFUNCTION("""COMPUTED_VALUE"""),12.0)</f>
        <v>12</v>
      </c>
      <c r="B13" s="16" t="str">
        <f>IFERROR(__xludf.DUMMYFUNCTION("""COMPUTED_VALUE"""),"178")</f>
        <v>178</v>
      </c>
      <c r="C13" s="17" t="str">
        <f>IFERROR(__xludf.DUMMYFUNCTION("""COMPUTED_VALUE"""),"ACHITE-HENNI")</f>
        <v>ACHITE-HENNI</v>
      </c>
      <c r="D13" s="18" t="str">
        <f>IFERROR(__xludf.DUMMYFUNCTION("""COMPUTED_VALUE"""),"SELIM")</f>
        <v>SELIM</v>
      </c>
      <c r="E13" s="19" t="str">
        <f>IFERROR(__xludf.DUMMYFUNCTION("""COMPUTED_VALUE"""),"SH3")</f>
        <v>SH3</v>
      </c>
      <c r="F13" s="19">
        <f>IFERROR(__xludf.DUMMYFUNCTION("""COMPUTED_VALUE"""),4.0)</f>
        <v>4</v>
      </c>
      <c r="G13" s="20">
        <f>IFERROR(__xludf.DUMMYFUNCTION("""COMPUTED_VALUE"""),0.018437500408239695)</f>
        <v>0.01843750041</v>
      </c>
      <c r="H13" s="21">
        <f>IFERROR(__xludf.DUMMYFUNCTION("""COMPUTED_VALUE"""),0.0034722222317054656)</f>
        <v>0.003472222232</v>
      </c>
      <c r="I13" s="22">
        <f>IFERROR(__xludf.DUMMYFUNCTION("""COMPUTED_VALUE"""),29.0)</f>
        <v>29</v>
      </c>
      <c r="J13" s="21">
        <f>IFERROR(__xludf.DUMMYFUNCTION("""COMPUTED_VALUE"""),0.006909722320446284)</f>
        <v>0.00690972232</v>
      </c>
      <c r="K13" s="22">
        <f>IFERROR(__xludf.DUMMYFUNCTION("""COMPUTED_VALUE"""),10.0)</f>
        <v>10</v>
      </c>
      <c r="L13" s="21">
        <f>IFERROR(__xludf.DUMMYFUNCTION("""COMPUTED_VALUE"""),0.0074305554383709334)</f>
        <v>0.007430555438</v>
      </c>
      <c r="M13" s="22">
        <f>IFERROR(__xludf.DUMMYFUNCTION("""COMPUTED_VALUE"""),23.0)</f>
        <v>23</v>
      </c>
      <c r="N13" s="21">
        <f>IFERROR(__xludf.DUMMYFUNCTION("""COMPUTED_VALUE"""),6.250004177170113E-4)</f>
        <v>0.0006250004177</v>
      </c>
      <c r="O13" s="22">
        <f>IFERROR(__xludf.DUMMYFUNCTION("""COMPUTED_VALUE"""),19.0)</f>
        <v>19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5.75" customHeight="1">
      <c r="A14" s="23">
        <f>IFERROR(__xludf.DUMMYFUNCTION("""COMPUTED_VALUE"""),13.0)</f>
        <v>13</v>
      </c>
      <c r="B14" s="24" t="str">
        <f>IFERROR(__xludf.DUMMYFUNCTION("""COMPUTED_VALUE"""),"179")</f>
        <v>179</v>
      </c>
      <c r="C14" s="25" t="str">
        <f>IFERROR(__xludf.DUMMYFUNCTION("""COMPUTED_VALUE"""),"ONALI")</f>
        <v>ONALI</v>
      </c>
      <c r="D14" s="26" t="str">
        <f>IFERROR(__xludf.DUMMYFUNCTION("""COMPUTED_VALUE"""),"GEORGES LUCIEN")</f>
        <v>GEORGES LUCIEN</v>
      </c>
      <c r="E14" s="27" t="str">
        <f>IFERROR(__xludf.DUMMYFUNCTION("""COMPUTED_VALUE"""),"MH4")</f>
        <v>MH4</v>
      </c>
      <c r="F14" s="27">
        <f>IFERROR(__xludf.DUMMYFUNCTION("""COMPUTED_VALUE"""),1.0)</f>
        <v>1</v>
      </c>
      <c r="G14" s="28">
        <f>IFERROR(__xludf.DUMMYFUNCTION("""COMPUTED_VALUE"""),0.01853009310707559)</f>
        <v>0.01853009311</v>
      </c>
      <c r="H14" s="29">
        <f>IFERROR(__xludf.DUMMYFUNCTION("""COMPUTED_VALUE"""),0.003321759336733525)</f>
        <v>0.003321759337</v>
      </c>
      <c r="I14" s="30">
        <f>IFERROR(__xludf.DUMMYFUNCTION("""COMPUTED_VALUE"""),23.0)</f>
        <v>23</v>
      </c>
      <c r="J14" s="29">
        <f>IFERROR(__xludf.DUMMYFUNCTION("""COMPUTED_VALUE"""),0.006863425965849519)</f>
        <v>0.006863425966</v>
      </c>
      <c r="K14" s="30">
        <f>IFERROR(__xludf.DUMMYFUNCTION("""COMPUTED_VALUE"""),9.0)</f>
        <v>9</v>
      </c>
      <c r="L14" s="29">
        <f>IFERROR(__xludf.DUMMYFUNCTION("""COMPUTED_VALUE"""),0.007511573884827746)</f>
        <v>0.007511573885</v>
      </c>
      <c r="M14" s="30">
        <f>IFERROR(__xludf.DUMMYFUNCTION("""COMPUTED_VALUE"""),25.0)</f>
        <v>25</v>
      </c>
      <c r="N14" s="29">
        <f>IFERROR(__xludf.DUMMYFUNCTION("""COMPUTED_VALUE"""),8.333339196647991E-4)</f>
        <v>0.0008333339197</v>
      </c>
      <c r="O14" s="30">
        <f>IFERROR(__xludf.DUMMYFUNCTION("""COMPUTED_VALUE"""),42.0)</f>
        <v>42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15.75" customHeight="1">
      <c r="A15" s="15">
        <f>IFERROR(__xludf.DUMMYFUNCTION("""COMPUTED_VALUE"""),14.0)</f>
        <v>14</v>
      </c>
      <c r="B15" s="16" t="str">
        <f>IFERROR(__xludf.DUMMYFUNCTION("""COMPUTED_VALUE"""),"136")</f>
        <v>136</v>
      </c>
      <c r="C15" s="17" t="str">
        <f>IFERROR(__xludf.DUMMYFUNCTION("""COMPUTED_VALUE"""),"PUISAIS-HEE")</f>
        <v>PUISAIS-HEE</v>
      </c>
      <c r="D15" s="18" t="str">
        <f>IFERROR(__xludf.DUMMYFUNCTION("""COMPUTED_VALUE"""),"LUC")</f>
        <v>LUC</v>
      </c>
      <c r="E15" s="19" t="str">
        <f>IFERROR(__xludf.DUMMYFUNCTION("""COMPUTED_VALUE"""),"MH1")</f>
        <v>MH1</v>
      </c>
      <c r="F15" s="19">
        <f>IFERROR(__xludf.DUMMYFUNCTION("""COMPUTED_VALUE"""),2.0)</f>
        <v>2</v>
      </c>
      <c r="G15" s="20">
        <f>IFERROR(__xludf.DUMMYFUNCTION("""COMPUTED_VALUE"""),0.018530093513289977)</f>
        <v>0.01853009351</v>
      </c>
      <c r="H15" s="21">
        <f>IFERROR(__xludf.DUMMYFUNCTION("""COMPUTED_VALUE"""),0.0037500000759284912)</f>
        <v>0.003750000076</v>
      </c>
      <c r="I15" s="22">
        <f>IFERROR(__xludf.DUMMYFUNCTION("""COMPUTED_VALUE"""),49.0)</f>
        <v>49</v>
      </c>
      <c r="J15" s="21">
        <f>IFERROR(__xludf.DUMMYFUNCTION("""COMPUTED_VALUE"""),0.007916666762610694)</f>
        <v>0.007916666763</v>
      </c>
      <c r="K15" s="22">
        <f>IFERROR(__xludf.DUMMYFUNCTION("""COMPUTED_VALUE"""),71.0)</f>
        <v>71</v>
      </c>
      <c r="L15" s="21">
        <f>IFERROR(__xludf.DUMMYFUNCTION("""COMPUTED_VALUE"""),0.006076389041790668)</f>
        <v>0.006076389042</v>
      </c>
      <c r="M15" s="22">
        <f>IFERROR(__xludf.DUMMYFUNCTION("""COMPUTED_VALUE"""),2.0)</f>
        <v>2</v>
      </c>
      <c r="N15" s="21">
        <f>IFERROR(__xludf.DUMMYFUNCTION("""COMPUTED_VALUE"""),7.87037632960124E-4)</f>
        <v>0.000787037633</v>
      </c>
      <c r="O15" s="22">
        <f>IFERROR(__xludf.DUMMYFUNCTION("""COMPUTED_VALUE"""),35.0)</f>
        <v>35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15.75" customHeight="1">
      <c r="A16" s="23">
        <f>IFERROR(__xludf.DUMMYFUNCTION("""COMPUTED_VALUE"""),15.0)</f>
        <v>15</v>
      </c>
      <c r="B16" s="24" t="str">
        <f>IFERROR(__xludf.DUMMYFUNCTION("""COMPUTED_VALUE"""),"202")</f>
        <v>202</v>
      </c>
      <c r="C16" s="25" t="str">
        <f>IFERROR(__xludf.DUMMYFUNCTION("""COMPUTED_VALUE"""),"CAYROU")</f>
        <v>CAYROU</v>
      </c>
      <c r="D16" s="26" t="str">
        <f>IFERROR(__xludf.DUMMYFUNCTION("""COMPUTED_VALUE"""),"BENJAMIN")</f>
        <v>BENJAMIN</v>
      </c>
      <c r="E16" s="27" t="str">
        <f>IFERROR(__xludf.DUMMYFUNCTION("""COMPUTED_VALUE"""),"MH2")</f>
        <v>MH2</v>
      </c>
      <c r="F16" s="27">
        <f>IFERROR(__xludf.DUMMYFUNCTION("""COMPUTED_VALUE"""),3.0)</f>
        <v>3</v>
      </c>
      <c r="G16" s="28">
        <f>IFERROR(__xludf.DUMMYFUNCTION("""COMPUTED_VALUE"""),0.01856481524108823)</f>
        <v>0.01856481524</v>
      </c>
      <c r="H16" s="29">
        <f>IFERROR(__xludf.DUMMYFUNCTION("""COMPUTED_VALUE"""),0.0034259260094017894)</f>
        <v>0.003425926009</v>
      </c>
      <c r="I16" s="30">
        <f>IFERROR(__xludf.DUMMYFUNCTION("""COMPUTED_VALUE"""),27.0)</f>
        <v>27</v>
      </c>
      <c r="J16" s="29">
        <f>IFERROR(__xludf.DUMMYFUNCTION("""COMPUTED_VALUE"""),0.006840277792998613)</f>
        <v>0.006840277793</v>
      </c>
      <c r="K16" s="30">
        <f>IFERROR(__xludf.DUMMYFUNCTION("""COMPUTED_VALUE"""),7.0)</f>
        <v>7</v>
      </c>
      <c r="L16" s="29">
        <f>IFERROR(__xludf.DUMMYFUNCTION("""COMPUTED_VALUE"""),0.007719907073908922)</f>
        <v>0.007719907074</v>
      </c>
      <c r="M16" s="30">
        <f>IFERROR(__xludf.DUMMYFUNCTION("""COMPUTED_VALUE"""),29.0)</f>
        <v>29</v>
      </c>
      <c r="N16" s="29">
        <f>IFERROR(__xludf.DUMMYFUNCTION("""COMPUTED_VALUE"""),5.787043647789069E-4)</f>
        <v>0.0005787043648</v>
      </c>
      <c r="O16" s="30">
        <f>IFERROR(__xludf.DUMMYFUNCTION("""COMPUTED_VALUE"""),12.0)</f>
        <v>12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15.75" customHeight="1">
      <c r="A17" s="15">
        <f>IFERROR(__xludf.DUMMYFUNCTION("""COMPUTED_VALUE"""),16.0)</f>
        <v>16</v>
      </c>
      <c r="B17" s="16" t="str">
        <f>IFERROR(__xludf.DUMMYFUNCTION("""COMPUTED_VALUE"""),"216")</f>
        <v>216</v>
      </c>
      <c r="C17" s="17" t="str">
        <f>IFERROR(__xludf.DUMMYFUNCTION("""COMPUTED_VALUE"""),"GRAZIANI")</f>
        <v>GRAZIANI</v>
      </c>
      <c r="D17" s="18" t="str">
        <f>IFERROR(__xludf.DUMMYFUNCTION("""COMPUTED_VALUE"""),"LEO")</f>
        <v>LEO</v>
      </c>
      <c r="E17" s="19" t="str">
        <f>IFERROR(__xludf.DUMMYFUNCTION("""COMPUTED_VALUE"""),"SH3")</f>
        <v>SH3</v>
      </c>
      <c r="F17" s="19">
        <f>IFERROR(__xludf.DUMMYFUNCTION("""COMPUTED_VALUE"""),5.0)</f>
        <v>5</v>
      </c>
      <c r="G17" s="20">
        <f>IFERROR(__xludf.DUMMYFUNCTION("""COMPUTED_VALUE"""),0.0185763889037024)</f>
        <v>0.0185763889</v>
      </c>
      <c r="H17" s="21">
        <f>IFERROR(__xludf.DUMMYFUNCTION("""COMPUTED_VALUE"""),0.003796296332868693)</f>
        <v>0.003796296333</v>
      </c>
      <c r="I17" s="22">
        <f>IFERROR(__xludf.DUMMYFUNCTION("""COMPUTED_VALUE"""),53.0)</f>
        <v>53</v>
      </c>
      <c r="J17" s="21">
        <f>IFERROR(__xludf.DUMMYFUNCTION("""COMPUTED_VALUE"""),0.006307870464210046)</f>
        <v>0.006307870464</v>
      </c>
      <c r="K17" s="22">
        <f>IFERROR(__xludf.DUMMYFUNCTION("""COMPUTED_VALUE"""),3.0)</f>
        <v>3</v>
      </c>
      <c r="L17" s="21">
        <f>IFERROR(__xludf.DUMMYFUNCTION("""COMPUTED_VALUE"""),0.007870369338382376)</f>
        <v>0.007870369338</v>
      </c>
      <c r="M17" s="22">
        <f>IFERROR(__xludf.DUMMYFUNCTION("""COMPUTED_VALUE"""),36.0)</f>
        <v>36</v>
      </c>
      <c r="N17" s="21">
        <f>IFERROR(__xludf.DUMMYFUNCTION("""COMPUTED_VALUE"""),6.018527682412848E-4)</f>
        <v>0.0006018527682</v>
      </c>
      <c r="O17" s="22">
        <f>IFERROR(__xludf.DUMMYFUNCTION("""COMPUTED_VALUE"""),17.0)</f>
        <v>17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15.75" customHeight="1">
      <c r="A18" s="23">
        <f>IFERROR(__xludf.DUMMYFUNCTION("""COMPUTED_VALUE"""),17.0)</f>
        <v>17</v>
      </c>
      <c r="B18" s="24" t="str">
        <f>IFERROR(__xludf.DUMMYFUNCTION("""COMPUTED_VALUE"""),"120")</f>
        <v>120</v>
      </c>
      <c r="C18" s="25" t="str">
        <f>IFERROR(__xludf.DUMMYFUNCTION("""COMPUTED_VALUE"""),"CAMPAIN")</f>
        <v>CAMPAIN</v>
      </c>
      <c r="D18" s="26" t="str">
        <f>IFERROR(__xludf.DUMMYFUNCTION("""COMPUTED_VALUE"""),"TIMOTHEE")</f>
        <v>TIMOTHEE</v>
      </c>
      <c r="E18" s="27" t="str">
        <f>IFERROR(__xludf.DUMMYFUNCTION("""COMPUTED_VALUE"""),"SH3")</f>
        <v>SH3</v>
      </c>
      <c r="F18" s="27">
        <f>IFERROR(__xludf.DUMMYFUNCTION("""COMPUTED_VALUE"""),6.0)</f>
        <v>6</v>
      </c>
      <c r="G18" s="28">
        <f>IFERROR(__xludf.DUMMYFUNCTION("""COMPUTED_VALUE"""),0.01864583334569759)</f>
        <v>0.01864583335</v>
      </c>
      <c r="H18" s="29">
        <f>IFERROR(__xludf.DUMMYFUNCTION("""COMPUTED_VALUE"""),0.0028587963586603825)</f>
        <v>0.002858796359</v>
      </c>
      <c r="I18" s="30">
        <f>IFERROR(__xludf.DUMMYFUNCTION("""COMPUTED_VALUE"""),7.0)</f>
        <v>7</v>
      </c>
      <c r="J18" s="29">
        <f>IFERROR(__xludf.DUMMYFUNCTION("""COMPUTED_VALUE"""),0.007106481575496299)</f>
        <v>0.007106481575</v>
      </c>
      <c r="K18" s="30">
        <f>IFERROR(__xludf.DUMMYFUNCTION("""COMPUTED_VALUE"""),27.0)</f>
        <v>27</v>
      </c>
      <c r="L18" s="29">
        <f>IFERROR(__xludf.DUMMYFUNCTION("""COMPUTED_VALUE"""),0.007870369695256924)</f>
        <v>0.007870369695</v>
      </c>
      <c r="M18" s="30">
        <f>IFERROR(__xludf.DUMMYFUNCTION("""COMPUTED_VALUE"""),37.0)</f>
        <v>37</v>
      </c>
      <c r="N18" s="29">
        <f>IFERROR(__xludf.DUMMYFUNCTION("""COMPUTED_VALUE"""),8.101857162839845E-4)</f>
        <v>0.0008101857163</v>
      </c>
      <c r="O18" s="30">
        <f>IFERROR(__xludf.DUMMYFUNCTION("""COMPUTED_VALUE"""),37.0)</f>
        <v>37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15.75" customHeight="1">
      <c r="A19" s="15">
        <f>IFERROR(__xludf.DUMMYFUNCTION("""COMPUTED_VALUE"""),18.0)</f>
        <v>18</v>
      </c>
      <c r="B19" s="16" t="str">
        <f>IFERROR(__xludf.DUMMYFUNCTION("""COMPUTED_VALUE"""),"204")</f>
        <v>204</v>
      </c>
      <c r="C19" s="17" t="str">
        <f>IFERROR(__xludf.DUMMYFUNCTION("""COMPUTED_VALUE"""),"BULMAN")</f>
        <v>BULMAN</v>
      </c>
      <c r="D19" s="18" t="str">
        <f>IFERROR(__xludf.DUMMYFUNCTION("""COMPUTED_VALUE"""),"TIMOTHY")</f>
        <v>TIMOTHY</v>
      </c>
      <c r="E19" s="19" t="str">
        <f>IFERROR(__xludf.DUMMYFUNCTION("""COMPUTED_VALUE"""),"MH2")</f>
        <v>MH2</v>
      </c>
      <c r="F19" s="19">
        <f>IFERROR(__xludf.DUMMYFUNCTION("""COMPUTED_VALUE"""),4.0)</f>
        <v>4</v>
      </c>
      <c r="G19" s="20">
        <f>IFERROR(__xludf.DUMMYFUNCTION("""COMPUTED_VALUE"""),0.01864583417188145)</f>
        <v>0.01864583417</v>
      </c>
      <c r="H19" s="21">
        <f>IFERROR(__xludf.DUMMYFUNCTION("""COMPUTED_VALUE"""),0.003344907419976169)</f>
        <v>0.00334490742</v>
      </c>
      <c r="I19" s="22">
        <f>IFERROR(__xludf.DUMMYFUNCTION("""COMPUTED_VALUE"""),24.0)</f>
        <v>24</v>
      </c>
      <c r="J19" s="21">
        <f>IFERROR(__xludf.DUMMYFUNCTION("""COMPUTED_VALUE"""),0.007280092704143038)</f>
        <v>0.007280092704</v>
      </c>
      <c r="K19" s="22">
        <f>IFERROR(__xludf.DUMMYFUNCTION("""COMPUTED_VALUE"""),39.0)</f>
        <v>39</v>
      </c>
      <c r="L19" s="21">
        <f>IFERROR(__xludf.DUMMYFUNCTION("""COMPUTED_VALUE"""),0.007199074875754248)</f>
        <v>0.007199074876</v>
      </c>
      <c r="M19" s="22">
        <f>IFERROR(__xludf.DUMMYFUNCTION("""COMPUTED_VALUE"""),10.0)</f>
        <v>10</v>
      </c>
      <c r="N19" s="21">
        <f>IFERROR(__xludf.DUMMYFUNCTION("""COMPUTED_VALUE"""),8.217591720079943E-4)</f>
        <v>0.000821759172</v>
      </c>
      <c r="O19" s="22">
        <f>IFERROR(__xludf.DUMMYFUNCTION("""COMPUTED_VALUE"""),39.0)</f>
        <v>39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15.75" customHeight="1">
      <c r="A20" s="23">
        <f>IFERROR(__xludf.DUMMYFUNCTION("""COMPUTED_VALUE"""),19.0)</f>
        <v>19</v>
      </c>
      <c r="B20" s="24" t="str">
        <f>IFERROR(__xludf.DUMMYFUNCTION("""COMPUTED_VALUE"""),"200")</f>
        <v>200</v>
      </c>
      <c r="C20" s="25" t="str">
        <f>IFERROR(__xludf.DUMMYFUNCTION("""COMPUTED_VALUE"""),"RELLA")</f>
        <v>RELLA</v>
      </c>
      <c r="D20" s="26" t="str">
        <f>IFERROR(__xludf.DUMMYFUNCTION("""COMPUTED_VALUE"""),"MATHIEU")</f>
        <v>MATHIEU</v>
      </c>
      <c r="E20" s="27" t="str">
        <f>IFERROR(__xludf.DUMMYFUNCTION("""COMPUTED_VALUE"""),"SH3")</f>
        <v>SH3</v>
      </c>
      <c r="F20" s="27">
        <f>IFERROR(__xludf.DUMMYFUNCTION("""COMPUTED_VALUE"""),7.0)</f>
        <v>7</v>
      </c>
      <c r="G20" s="28">
        <f>IFERROR(__xludf.DUMMYFUNCTION("""COMPUTED_VALUE"""),0.018703703719431176)</f>
        <v>0.01870370372</v>
      </c>
      <c r="H20" s="29">
        <f>IFERROR(__xludf.DUMMYFUNCTION("""COMPUTED_VALUE"""),0.003888888940403438)</f>
        <v>0.00388888894</v>
      </c>
      <c r="I20" s="30">
        <f>IFERROR(__xludf.DUMMYFUNCTION("""COMPUTED_VALUE"""),59.0)</f>
        <v>59</v>
      </c>
      <c r="J20" s="29">
        <f>IFERROR(__xludf.DUMMYFUNCTION("""COMPUTED_VALUE"""),0.00740740746007617)</f>
        <v>0.00740740746</v>
      </c>
      <c r="K20" s="30">
        <f>IFERROR(__xludf.DUMMYFUNCTION("""COMPUTED_VALUE"""),45.0)</f>
        <v>45</v>
      </c>
      <c r="L20" s="29">
        <f>IFERROR(__xludf.DUMMYFUNCTION("""COMPUTED_VALUE"""),0.0066782403180138655)</f>
        <v>0.006678240318</v>
      </c>
      <c r="M20" s="30">
        <f>IFERROR(__xludf.DUMMYFUNCTION("""COMPUTED_VALUE"""),3.0)</f>
        <v>3</v>
      </c>
      <c r="N20" s="29">
        <f>IFERROR(__xludf.DUMMYFUNCTION("""COMPUTED_VALUE"""),7.291670009377028E-4)</f>
        <v>0.0007291670009</v>
      </c>
      <c r="O20" s="30">
        <f>IFERROR(__xludf.DUMMYFUNCTION("""COMPUTED_VALUE"""),29.0)</f>
        <v>29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15.75" customHeight="1">
      <c r="A21" s="15">
        <f>IFERROR(__xludf.DUMMYFUNCTION("""COMPUTED_VALUE"""),20.0)</f>
        <v>20</v>
      </c>
      <c r="B21" s="16" t="str">
        <f>IFERROR(__xludf.DUMMYFUNCTION("""COMPUTED_VALUE"""),"209")</f>
        <v>209</v>
      </c>
      <c r="C21" s="17" t="str">
        <f>IFERROR(__xludf.DUMMYFUNCTION("""COMPUTED_VALUE"""),"FARINOLE")</f>
        <v>FARINOLE</v>
      </c>
      <c r="D21" s="18" t="str">
        <f>IFERROR(__xludf.DUMMYFUNCTION("""COMPUTED_VALUE"""),"BENOIT")</f>
        <v>BENOIT</v>
      </c>
      <c r="E21" s="19" t="str">
        <f>IFERROR(__xludf.DUMMYFUNCTION("""COMPUTED_VALUE"""),"SH4")</f>
        <v>SH4</v>
      </c>
      <c r="F21" s="19">
        <f>IFERROR(__xludf.DUMMYFUNCTION("""COMPUTED_VALUE"""),6.0)</f>
        <v>6</v>
      </c>
      <c r="G21" s="20">
        <f>IFERROR(__xludf.DUMMYFUNCTION("""COMPUTED_VALUE"""),0.018715277871790833)</f>
        <v>0.01871527787</v>
      </c>
      <c r="H21" s="21">
        <f>IFERROR(__xludf.DUMMYFUNCTION("""COMPUTED_VALUE"""),0.0026736111457445555)</f>
        <v>0.002673611146</v>
      </c>
      <c r="I21" s="22">
        <f>IFERROR(__xludf.DUMMYFUNCTION("""COMPUTED_VALUE"""),1.0)</f>
        <v>1</v>
      </c>
      <c r="J21" s="21">
        <f>IFERROR(__xludf.DUMMYFUNCTION("""COMPUTED_VALUE"""),0.008171296369360096)</f>
        <v>0.008171296369</v>
      </c>
      <c r="K21" s="22">
        <f>IFERROR(__xludf.DUMMYFUNCTION("""COMPUTED_VALUE"""),83.0)</f>
        <v>83</v>
      </c>
      <c r="L21" s="21">
        <f>IFERROR(__xludf.DUMMYFUNCTION("""COMPUTED_VALUE"""),0.007291666109411147)</f>
        <v>0.007291666109</v>
      </c>
      <c r="M21" s="22">
        <f>IFERROR(__xludf.DUMMYFUNCTION("""COMPUTED_VALUE"""),14.0)</f>
        <v>14</v>
      </c>
      <c r="N21" s="21">
        <f>IFERROR(__xludf.DUMMYFUNCTION("""COMPUTED_VALUE"""),5.78704247275034E-4)</f>
        <v>0.0005787042473</v>
      </c>
      <c r="O21" s="22">
        <f>IFERROR(__xludf.DUMMYFUNCTION("""COMPUTED_VALUE"""),11.0)</f>
        <v>11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15.75" customHeight="1">
      <c r="A22" s="23">
        <f>IFERROR(__xludf.DUMMYFUNCTION("""COMPUTED_VALUE"""),21.0)</f>
        <v>21</v>
      </c>
      <c r="B22" s="24" t="str">
        <f>IFERROR(__xludf.DUMMYFUNCTION("""COMPUTED_VALUE"""),"224")</f>
        <v>224</v>
      </c>
      <c r="C22" s="25" t="str">
        <f>IFERROR(__xludf.DUMMYFUNCTION("""COMPUTED_VALUE"""),"TELLIER")</f>
        <v>TELLIER</v>
      </c>
      <c r="D22" s="26" t="str">
        <f>IFERROR(__xludf.DUMMYFUNCTION("""COMPUTED_VALUE"""),"MAXIME")</f>
        <v>MAXIME</v>
      </c>
      <c r="E22" s="27" t="str">
        <f>IFERROR(__xludf.DUMMYFUNCTION("""COMPUTED_VALUE"""),"MH1")</f>
        <v>MH1</v>
      </c>
      <c r="F22" s="27">
        <f>IFERROR(__xludf.DUMMYFUNCTION("""COMPUTED_VALUE"""),3.0)</f>
        <v>3</v>
      </c>
      <c r="G22" s="28">
        <f>IFERROR(__xludf.DUMMYFUNCTION("""COMPUTED_VALUE"""),0.018715278537950686)</f>
        <v>0.01871527854</v>
      </c>
      <c r="H22" s="29">
        <f>IFERROR(__xludf.DUMMYFUNCTION("""COMPUTED_VALUE"""),0.0027199074887920417)</f>
        <v>0.002719907489</v>
      </c>
      <c r="I22" s="30">
        <f>IFERROR(__xludf.DUMMYFUNCTION("""COMPUTED_VALUE"""),2.0)</f>
        <v>2</v>
      </c>
      <c r="J22" s="29">
        <f>IFERROR(__xludf.DUMMYFUNCTION("""COMPUTED_VALUE"""),0.00730324080945092)</f>
        <v>0.007303240809</v>
      </c>
      <c r="K22" s="30">
        <f>IFERROR(__xludf.DUMMYFUNCTION("""COMPUTED_VALUE"""),40.0)</f>
        <v>40</v>
      </c>
      <c r="L22" s="29">
        <f>IFERROR(__xludf.DUMMYFUNCTION("""COMPUTED_VALUE"""),0.007800925673427238)</f>
        <v>0.007800925673</v>
      </c>
      <c r="M22" s="30">
        <f>IFERROR(__xludf.DUMMYFUNCTION("""COMPUTED_VALUE"""),32.0)</f>
        <v>32</v>
      </c>
      <c r="N22" s="29">
        <f>IFERROR(__xludf.DUMMYFUNCTION("""COMPUTED_VALUE"""),8.912045662804861E-4)</f>
        <v>0.0008912045663</v>
      </c>
      <c r="O22" s="30">
        <f>IFERROR(__xludf.DUMMYFUNCTION("""COMPUTED_VALUE"""),52.0)</f>
        <v>52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15.75" customHeight="1">
      <c r="A23" s="15">
        <f>IFERROR(__xludf.DUMMYFUNCTION("""COMPUTED_VALUE"""),22.0)</f>
        <v>22</v>
      </c>
      <c r="B23" s="16" t="str">
        <f>IFERROR(__xludf.DUMMYFUNCTION("""COMPUTED_VALUE"""),"211")</f>
        <v>211</v>
      </c>
      <c r="C23" s="17" t="str">
        <f>IFERROR(__xludf.DUMMYFUNCTION("""COMPUTED_VALUE"""),"PASQUIER")</f>
        <v>PASQUIER</v>
      </c>
      <c r="D23" s="18" t="str">
        <f>IFERROR(__xludf.DUMMYFUNCTION("""COMPUTED_VALUE"""),"FÉLIX")</f>
        <v>FÉLIX</v>
      </c>
      <c r="E23" s="19" t="str">
        <f>IFERROR(__xludf.DUMMYFUNCTION("""COMPUTED_VALUE"""),"SH2")</f>
        <v>SH2</v>
      </c>
      <c r="F23" s="19">
        <f>IFERROR(__xludf.DUMMYFUNCTION("""COMPUTED_VALUE"""),1.0)</f>
        <v>1</v>
      </c>
      <c r="G23" s="20">
        <f>IFERROR(__xludf.DUMMYFUNCTION("""COMPUTED_VALUE"""),0.018715278747514257)</f>
        <v>0.01871527875</v>
      </c>
      <c r="H23" s="21">
        <f>IFERROR(__xludf.DUMMYFUNCTION("""COMPUTED_VALUE"""),0.0036111111930372942)</f>
        <v>0.003611111193</v>
      </c>
      <c r="I23" s="22">
        <f>IFERROR(__xludf.DUMMYFUNCTION("""COMPUTED_VALUE"""),39.0)</f>
        <v>39</v>
      </c>
      <c r="J23" s="21">
        <f>IFERROR(__xludf.DUMMYFUNCTION("""COMPUTED_VALUE"""),0.007569444558629553)</f>
        <v>0.007569444559</v>
      </c>
      <c r="K23" s="22">
        <f>IFERROR(__xludf.DUMMYFUNCTION("""COMPUTED_VALUE"""),49.0)</f>
        <v>49</v>
      </c>
      <c r="L23" s="21">
        <f>IFERROR(__xludf.DUMMYFUNCTION("""COMPUTED_VALUE"""),0.00672453751531457)</f>
        <v>0.006724537515</v>
      </c>
      <c r="M23" s="22">
        <f>IFERROR(__xludf.DUMMYFUNCTION("""COMPUTED_VALUE"""),4.0)</f>
        <v>4</v>
      </c>
      <c r="N23" s="21">
        <f>IFERROR(__xludf.DUMMYFUNCTION("""COMPUTED_VALUE"""),8.101854805328402E-4)</f>
        <v>0.0008101854805</v>
      </c>
      <c r="O23" s="22">
        <f>IFERROR(__xludf.DUMMYFUNCTION("""COMPUTED_VALUE"""),36.0)</f>
        <v>36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15.75" customHeight="1">
      <c r="A24" s="23">
        <f>IFERROR(__xludf.DUMMYFUNCTION("""COMPUTED_VALUE"""),23.0)</f>
        <v>23</v>
      </c>
      <c r="B24" s="24" t="str">
        <f>IFERROR(__xludf.DUMMYFUNCTION("""COMPUTED_VALUE"""),"105")</f>
        <v>105</v>
      </c>
      <c r="C24" s="25" t="str">
        <f>IFERROR(__xludf.DUMMYFUNCTION("""COMPUTED_VALUE"""),"DE PORTU")</f>
        <v>DE PORTU</v>
      </c>
      <c r="D24" s="26" t="str">
        <f>IFERROR(__xludf.DUMMYFUNCTION("""COMPUTED_VALUE"""),"SIMON")</f>
        <v>SIMON</v>
      </c>
      <c r="E24" s="27" t="str">
        <f>IFERROR(__xludf.DUMMYFUNCTION("""COMPUTED_VALUE"""),"SH2")</f>
        <v>SH2</v>
      </c>
      <c r="F24" s="27">
        <f>IFERROR(__xludf.DUMMYFUNCTION("""COMPUTED_VALUE"""),2.0)</f>
        <v>2</v>
      </c>
      <c r="G24" s="28">
        <f>IFERROR(__xludf.DUMMYFUNCTION("""COMPUTED_VALUE"""),0.018877315069487588)</f>
        <v>0.01887731507</v>
      </c>
      <c r="H24" s="29">
        <f>IFERROR(__xludf.DUMMYFUNCTION("""COMPUTED_VALUE"""),0.003958333448762198)</f>
        <v>0.003958333449</v>
      </c>
      <c r="I24" s="30">
        <f>IFERROR(__xludf.DUMMYFUNCTION("""COMPUTED_VALUE"""),64.0)</f>
        <v>64</v>
      </c>
      <c r="J24" s="29">
        <f>IFERROR(__xludf.DUMMYFUNCTION("""COMPUTED_VALUE"""),0.006956018533413025)</f>
        <v>0.006956018533</v>
      </c>
      <c r="K24" s="30">
        <f>IFERROR(__xludf.DUMMYFUNCTION("""COMPUTED_VALUE"""),16.0)</f>
        <v>16</v>
      </c>
      <c r="L24" s="29">
        <f>IFERROR(__xludf.DUMMYFUNCTION("""COMPUTED_VALUE"""),0.007210647729012778)</f>
        <v>0.007210647729</v>
      </c>
      <c r="M24" s="30">
        <f>IFERROR(__xludf.DUMMYFUNCTION("""COMPUTED_VALUE"""),11.0)</f>
        <v>11</v>
      </c>
      <c r="N24" s="29">
        <f>IFERROR(__xludf.DUMMYFUNCTION("""COMPUTED_VALUE"""),7.52315358299587E-4)</f>
        <v>0.0007523153583</v>
      </c>
      <c r="O24" s="30">
        <f>IFERROR(__xludf.DUMMYFUNCTION("""COMPUTED_VALUE"""),31.0)</f>
        <v>31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15.75" customHeight="1">
      <c r="A25" s="15">
        <f>IFERROR(__xludf.DUMMYFUNCTION("""COMPUTED_VALUE"""),24.0)</f>
        <v>24</v>
      </c>
      <c r="B25" s="16" t="str">
        <f>IFERROR(__xludf.DUMMYFUNCTION("""COMPUTED_VALUE"""),"150")</f>
        <v>150</v>
      </c>
      <c r="C25" s="17" t="str">
        <f>IFERROR(__xludf.DUMMYFUNCTION("""COMPUTED_VALUE"""),"MORET")</f>
        <v>MORET</v>
      </c>
      <c r="D25" s="18" t="str">
        <f>IFERROR(__xludf.DUMMYFUNCTION("""COMPUTED_VALUE"""),"QUENTIN")</f>
        <v>QUENTIN</v>
      </c>
      <c r="E25" s="19" t="str">
        <f>IFERROR(__xludf.DUMMYFUNCTION("""COMPUTED_VALUE"""),"SH3")</f>
        <v>SH3</v>
      </c>
      <c r="F25" s="19">
        <f>IFERROR(__xludf.DUMMYFUNCTION("""COMPUTED_VALUE"""),8.0)</f>
        <v>8</v>
      </c>
      <c r="G25" s="20">
        <f>IFERROR(__xludf.DUMMYFUNCTION("""COMPUTED_VALUE"""),0.018888889464911632)</f>
        <v>0.01888888946</v>
      </c>
      <c r="H25" s="21">
        <f>IFERROR(__xludf.DUMMYFUNCTION("""COMPUTED_VALUE"""),0.003657407413547919)</f>
        <v>0.003657407414</v>
      </c>
      <c r="I25" s="22">
        <f>IFERROR(__xludf.DUMMYFUNCTION("""COMPUTED_VALUE"""),41.0)</f>
        <v>41</v>
      </c>
      <c r="J25" s="21">
        <f>IFERROR(__xludf.DUMMYFUNCTION("""COMPUTED_VALUE"""),0.007060185210199816)</f>
        <v>0.00706018521</v>
      </c>
      <c r="K25" s="22">
        <f>IFERROR(__xludf.DUMMYFUNCTION("""COMPUTED_VALUE"""),25.0)</f>
        <v>25</v>
      </c>
      <c r="L25" s="21">
        <f>IFERROR(__xludf.DUMMYFUNCTION("""COMPUTED_VALUE"""),0.007222222480068362)</f>
        <v>0.00722222248</v>
      </c>
      <c r="M25" s="22">
        <f>IFERROR(__xludf.DUMMYFUNCTION("""COMPUTED_VALUE"""),13.0)</f>
        <v>13</v>
      </c>
      <c r="N25" s="21">
        <f>IFERROR(__xludf.DUMMYFUNCTION("""COMPUTED_VALUE"""),9.490743610955353E-4)</f>
        <v>0.0009490743611</v>
      </c>
      <c r="O25" s="22">
        <f>IFERROR(__xludf.DUMMYFUNCTION("""COMPUTED_VALUE"""),62.0)</f>
        <v>62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5.75" customHeight="1">
      <c r="A26" s="23">
        <f>IFERROR(__xludf.DUMMYFUNCTION("""COMPUTED_VALUE"""),25.0)</f>
        <v>25</v>
      </c>
      <c r="B26" s="24" t="str">
        <f>IFERROR(__xludf.DUMMYFUNCTION("""COMPUTED_VALUE"""),"190")</f>
        <v>190</v>
      </c>
      <c r="C26" s="25" t="str">
        <f>IFERROR(__xludf.DUMMYFUNCTION("""COMPUTED_VALUE"""),"BOYER")</f>
        <v>BOYER</v>
      </c>
      <c r="D26" s="26" t="str">
        <f>IFERROR(__xludf.DUMMYFUNCTION("""COMPUTED_VALUE"""),"MATTHIEU")</f>
        <v>MATTHIEU</v>
      </c>
      <c r="E26" s="27" t="str">
        <f>IFERROR(__xludf.DUMMYFUNCTION("""COMPUTED_VALUE"""),"SH4")</f>
        <v>SH4</v>
      </c>
      <c r="F26" s="27">
        <f>IFERROR(__xludf.DUMMYFUNCTION("""COMPUTED_VALUE"""),7.0)</f>
        <v>7</v>
      </c>
      <c r="G26" s="28">
        <f>IFERROR(__xludf.DUMMYFUNCTION("""COMPUTED_VALUE"""),0.018935186111913964)</f>
        <v>0.01893518611</v>
      </c>
      <c r="H26" s="29">
        <f>IFERROR(__xludf.DUMMYFUNCTION("""COMPUTED_VALUE"""),0.0032870370431747438)</f>
        <v>0.003287037043</v>
      </c>
      <c r="I26" s="30">
        <f>IFERROR(__xludf.DUMMYFUNCTION("""COMPUTED_VALUE"""),21.0)</f>
        <v>21</v>
      </c>
      <c r="J26" s="29">
        <f>IFERROR(__xludf.DUMMYFUNCTION("""COMPUTED_VALUE"""),0.007638888888965918)</f>
        <v>0.007638888889</v>
      </c>
      <c r="K26" s="30">
        <f>IFERROR(__xludf.DUMMYFUNCTION("""COMPUTED_VALUE"""),54.0)</f>
        <v>54</v>
      </c>
      <c r="L26" s="29">
        <f>IFERROR(__xludf.DUMMYFUNCTION("""COMPUTED_VALUE"""),0.007384259138585569)</f>
        <v>0.007384259139</v>
      </c>
      <c r="M26" s="30">
        <f>IFERROR(__xludf.DUMMYFUNCTION("""COMPUTED_VALUE"""),19.0)</f>
        <v>19</v>
      </c>
      <c r="N26" s="29">
        <f>IFERROR(__xludf.DUMMYFUNCTION("""COMPUTED_VALUE"""),6.250010411877329E-4)</f>
        <v>0.0006250010412</v>
      </c>
      <c r="O26" s="30">
        <f>IFERROR(__xludf.DUMMYFUNCTION("""COMPUTED_VALUE"""),20.0)</f>
        <v>20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15.75" customHeight="1">
      <c r="A27" s="15">
        <f>IFERROR(__xludf.DUMMYFUNCTION("""COMPUTED_VALUE"""),26.0)</f>
        <v>26</v>
      </c>
      <c r="B27" s="16" t="str">
        <f>IFERROR(__xludf.DUMMYFUNCTION("""COMPUTED_VALUE"""),"196")</f>
        <v>196</v>
      </c>
      <c r="C27" s="17" t="str">
        <f>IFERROR(__xludf.DUMMYFUNCTION("""COMPUTED_VALUE"""),"GIFFARD")</f>
        <v>GIFFARD</v>
      </c>
      <c r="D27" s="18" t="str">
        <f>IFERROR(__xludf.DUMMYFUNCTION("""COMPUTED_VALUE"""),"ROMAIN")</f>
        <v>ROMAIN</v>
      </c>
      <c r="E27" s="19" t="str">
        <f>IFERROR(__xludf.DUMMYFUNCTION("""COMPUTED_VALUE"""),"MH3")</f>
        <v>MH3</v>
      </c>
      <c r="F27" s="19">
        <f>IFERROR(__xludf.DUMMYFUNCTION("""COMPUTED_VALUE"""),1.0)</f>
        <v>1</v>
      </c>
      <c r="G27" s="20">
        <f>IFERROR(__xludf.DUMMYFUNCTION("""COMPUTED_VALUE"""),0.018981482623531262)</f>
        <v>0.01898148262</v>
      </c>
      <c r="H27" s="21">
        <f>IFERROR(__xludf.DUMMYFUNCTION("""COMPUTED_VALUE"""),0.003483796332700576)</f>
        <v>0.003483796333</v>
      </c>
      <c r="I27" s="22">
        <f>IFERROR(__xludf.DUMMYFUNCTION("""COMPUTED_VALUE"""),33.0)</f>
        <v>33</v>
      </c>
      <c r="J27" s="21">
        <f>IFERROR(__xludf.DUMMYFUNCTION("""COMPUTED_VALUE"""),0.007326388895028072)</f>
        <v>0.007326388895</v>
      </c>
      <c r="K27" s="22">
        <f>IFERROR(__xludf.DUMMYFUNCTION("""COMPUTED_VALUE"""),41.0)</f>
        <v>41</v>
      </c>
      <c r="L27" s="21">
        <f>IFERROR(__xludf.DUMMYFUNCTION("""COMPUTED_VALUE"""),0.0076967601122504975)</f>
        <v>0.007696760112</v>
      </c>
      <c r="M27" s="22">
        <f>IFERROR(__xludf.DUMMYFUNCTION("""COMPUTED_VALUE"""),28.0)</f>
        <v>28</v>
      </c>
      <c r="N27" s="21">
        <f>IFERROR(__xludf.DUMMYFUNCTION("""COMPUTED_VALUE"""),4.745372835521168E-4)</f>
        <v>0.0004745372836</v>
      </c>
      <c r="O27" s="22">
        <f>IFERROR(__xludf.DUMMYFUNCTION("""COMPUTED_VALUE"""),4.0)</f>
        <v>4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5.75" customHeight="1">
      <c r="A28" s="23">
        <f>IFERROR(__xludf.DUMMYFUNCTION("""COMPUTED_VALUE"""),27.0)</f>
        <v>27</v>
      </c>
      <c r="B28" s="24" t="str">
        <f>IFERROR(__xludf.DUMMYFUNCTION("""COMPUTED_VALUE"""),"195")</f>
        <v>195</v>
      </c>
      <c r="C28" s="25" t="str">
        <f>IFERROR(__xludf.DUMMYFUNCTION("""COMPUTED_VALUE"""),"DELOUX")</f>
        <v>DELOUX</v>
      </c>
      <c r="D28" s="26" t="str">
        <f>IFERROR(__xludf.DUMMYFUNCTION("""COMPUTED_VALUE"""),"ROBIN")</f>
        <v>ROBIN</v>
      </c>
      <c r="E28" s="27" t="str">
        <f>IFERROR(__xludf.DUMMYFUNCTION("""COMPUTED_VALUE"""),"SH4")</f>
        <v>SH4</v>
      </c>
      <c r="F28" s="27">
        <f>IFERROR(__xludf.DUMMYFUNCTION("""COMPUTED_VALUE"""),8.0)</f>
        <v>8</v>
      </c>
      <c r="G28" s="28">
        <f>IFERROR(__xludf.DUMMYFUNCTION("""COMPUTED_VALUE"""),0.019050926761839414)</f>
        <v>0.01905092676</v>
      </c>
      <c r="H28" s="29">
        <f>IFERROR(__xludf.DUMMYFUNCTION("""COMPUTED_VALUE"""),0.0036458333832737836)</f>
        <v>0.003645833383</v>
      </c>
      <c r="I28" s="30">
        <f>IFERROR(__xludf.DUMMYFUNCTION("""COMPUTED_VALUE"""),40.0)</f>
        <v>40</v>
      </c>
      <c r="J28" s="29">
        <f>IFERROR(__xludf.DUMMYFUNCTION("""COMPUTED_VALUE"""),0.007164351874991509)</f>
        <v>0.007164351875</v>
      </c>
      <c r="K28" s="30">
        <f>IFERROR(__xludf.DUMMYFUNCTION("""COMPUTED_VALUE"""),31.0)</f>
        <v>31</v>
      </c>
      <c r="L28" s="29">
        <f>IFERROR(__xludf.DUMMYFUNCTION("""COMPUTED_VALUE"""),0.007361111442708072)</f>
        <v>0.007361111443</v>
      </c>
      <c r="M28" s="30">
        <f>IFERROR(__xludf.DUMMYFUNCTION("""COMPUTED_VALUE"""),18.0)</f>
        <v>18</v>
      </c>
      <c r="N28" s="29">
        <f>IFERROR(__xludf.DUMMYFUNCTION("""COMPUTED_VALUE"""),8.796300608660493E-4)</f>
        <v>0.0008796300609</v>
      </c>
      <c r="O28" s="30">
        <f>IFERROR(__xludf.DUMMYFUNCTION("""COMPUTED_VALUE"""),49.0)</f>
        <v>49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5.75" customHeight="1">
      <c r="A29" s="15">
        <f>IFERROR(__xludf.DUMMYFUNCTION("""COMPUTED_VALUE"""),28.0)</f>
        <v>28</v>
      </c>
      <c r="B29" s="16" t="str">
        <f>IFERROR(__xludf.DUMMYFUNCTION("""COMPUTED_VALUE"""),"104")</f>
        <v>104</v>
      </c>
      <c r="C29" s="17" t="str">
        <f>IFERROR(__xludf.DUMMYFUNCTION("""COMPUTED_VALUE"""),"LARNICOL")</f>
        <v>LARNICOL</v>
      </c>
      <c r="D29" s="18" t="str">
        <f>IFERROR(__xludf.DUMMYFUNCTION("""COMPUTED_VALUE"""),"OLIVIER")</f>
        <v>OLIVIER</v>
      </c>
      <c r="E29" s="19" t="str">
        <f>IFERROR(__xludf.DUMMYFUNCTION("""COMPUTED_VALUE"""),"SH4")</f>
        <v>SH4</v>
      </c>
      <c r="F29" s="19">
        <f>IFERROR(__xludf.DUMMYFUNCTION("""COMPUTED_VALUE"""),9.0)</f>
        <v>9</v>
      </c>
      <c r="G29" s="20">
        <f>IFERROR(__xludf.DUMMYFUNCTION("""COMPUTED_VALUE"""),0.019155092933555832)</f>
        <v>0.01915509293</v>
      </c>
      <c r="H29" s="21">
        <f>IFERROR(__xludf.DUMMYFUNCTION("""COMPUTED_VALUE"""),0.003611111187584643)</f>
        <v>0.003611111188</v>
      </c>
      <c r="I29" s="22">
        <f>IFERROR(__xludf.DUMMYFUNCTION("""COMPUTED_VALUE"""),38.0)</f>
        <v>38</v>
      </c>
      <c r="J29" s="21">
        <f>IFERROR(__xludf.DUMMYFUNCTION("""COMPUTED_VALUE"""),0.006944444474821563)</f>
        <v>0.006944444475</v>
      </c>
      <c r="K29" s="22">
        <f>IFERROR(__xludf.DUMMYFUNCTION("""COMPUTED_VALUE"""),13.0)</f>
        <v>13</v>
      </c>
      <c r="L29" s="21">
        <f>IFERROR(__xludf.DUMMYFUNCTION("""COMPUTED_VALUE"""),0.007951388155715064)</f>
        <v>0.007951388156</v>
      </c>
      <c r="M29" s="22">
        <f>IFERROR(__xludf.DUMMYFUNCTION("""COMPUTED_VALUE"""),43.0)</f>
        <v>43</v>
      </c>
      <c r="N29" s="21">
        <f>IFERROR(__xludf.DUMMYFUNCTION("""COMPUTED_VALUE"""),6.481491154345614E-4)</f>
        <v>0.0006481491154</v>
      </c>
      <c r="O29" s="22">
        <f>IFERROR(__xludf.DUMMYFUNCTION("""COMPUTED_VALUE"""),22.0)</f>
        <v>22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15.75" customHeight="1">
      <c r="A30" s="23">
        <f>IFERROR(__xludf.DUMMYFUNCTION("""COMPUTED_VALUE"""),29.0)</f>
        <v>29</v>
      </c>
      <c r="B30" s="24" t="str">
        <f>IFERROR(__xludf.DUMMYFUNCTION("""COMPUTED_VALUE"""),"131")</f>
        <v>131</v>
      </c>
      <c r="C30" s="25" t="str">
        <f>IFERROR(__xludf.DUMMYFUNCTION("""COMPUTED_VALUE"""),"TERRIER")</f>
        <v>TERRIER</v>
      </c>
      <c r="D30" s="26" t="str">
        <f>IFERROR(__xludf.DUMMYFUNCTION("""COMPUTED_VALUE"""),"EMMANUEL")</f>
        <v>EMMANUEL</v>
      </c>
      <c r="E30" s="27" t="str">
        <f>IFERROR(__xludf.DUMMYFUNCTION("""COMPUTED_VALUE"""),"MH4")</f>
        <v>MH4</v>
      </c>
      <c r="F30" s="27">
        <f>IFERROR(__xludf.DUMMYFUNCTION("""COMPUTED_VALUE"""),2.0)</f>
        <v>2</v>
      </c>
      <c r="G30" s="28">
        <f>IFERROR(__xludf.DUMMYFUNCTION("""COMPUTED_VALUE"""),0.019201389320085843)</f>
        <v>0.01920138932</v>
      </c>
      <c r="H30" s="29">
        <f>IFERROR(__xludf.DUMMYFUNCTION("""COMPUTED_VALUE"""),0.0034259259965479317)</f>
        <v>0.003425925997</v>
      </c>
      <c r="I30" s="30">
        <f>IFERROR(__xludf.DUMMYFUNCTION("""COMPUTED_VALUE"""),26.0)</f>
        <v>26</v>
      </c>
      <c r="J30" s="29">
        <f>IFERROR(__xludf.DUMMYFUNCTION("""COMPUTED_VALUE"""),0.007152777874789598)</f>
        <v>0.007152777875</v>
      </c>
      <c r="K30" s="30">
        <f>IFERROR(__xludf.DUMMYFUNCTION("""COMPUTED_VALUE"""),30.0)</f>
        <v>30</v>
      </c>
      <c r="L30" s="29">
        <f>IFERROR(__xludf.DUMMYFUNCTION("""COMPUTED_VALUE"""),0.007858796262918005)</f>
        <v>0.007858796263</v>
      </c>
      <c r="M30" s="30">
        <f>IFERROR(__xludf.DUMMYFUNCTION("""COMPUTED_VALUE"""),35.0)</f>
        <v>35</v>
      </c>
      <c r="N30" s="29">
        <f>IFERROR(__xludf.DUMMYFUNCTION("""COMPUTED_VALUE"""),7.63889185830308E-4)</f>
        <v>0.0007638891858</v>
      </c>
      <c r="O30" s="30">
        <f>IFERROR(__xludf.DUMMYFUNCTION("""COMPUTED_VALUE"""),32.0)</f>
        <v>32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5.75" customHeight="1">
      <c r="A31" s="15">
        <f>IFERROR(__xludf.DUMMYFUNCTION("""COMPUTED_VALUE"""),30.0)</f>
        <v>30</v>
      </c>
      <c r="B31" s="16" t="str">
        <f>IFERROR(__xludf.DUMMYFUNCTION("""COMPUTED_VALUE"""),"118")</f>
        <v>118</v>
      </c>
      <c r="C31" s="17" t="str">
        <f>IFERROR(__xludf.DUMMYFUNCTION("""COMPUTED_VALUE"""),"LEGROS")</f>
        <v>LEGROS</v>
      </c>
      <c r="D31" s="18" t="str">
        <f>IFERROR(__xludf.DUMMYFUNCTION("""COMPUTED_VALUE"""),"ANTOINE")</f>
        <v>ANTOINE</v>
      </c>
      <c r="E31" s="19" t="str">
        <f>IFERROR(__xludf.DUMMYFUNCTION("""COMPUTED_VALUE"""),"MH1")</f>
        <v>MH1</v>
      </c>
      <c r="F31" s="19">
        <f>IFERROR(__xludf.DUMMYFUNCTION("""COMPUTED_VALUE"""),4.0)</f>
        <v>4</v>
      </c>
      <c r="G31" s="20">
        <f>IFERROR(__xludf.DUMMYFUNCTION("""COMPUTED_VALUE"""),0.019201389825209504)</f>
        <v>0.01920138983</v>
      </c>
      <c r="H31" s="21">
        <f>IFERROR(__xludf.DUMMYFUNCTION("""COMPUTED_VALUE"""),0.0030092593497521463)</f>
        <v>0.00300925935</v>
      </c>
      <c r="I31" s="22">
        <f>IFERROR(__xludf.DUMMYFUNCTION("""COMPUTED_VALUE"""),13.0)</f>
        <v>13</v>
      </c>
      <c r="J31" s="21">
        <f>IFERROR(__xludf.DUMMYFUNCTION("""COMPUTED_VALUE"""),0.006944444530552776)</f>
        <v>0.006944444531</v>
      </c>
      <c r="K31" s="22">
        <f>IFERROR(__xludf.DUMMYFUNCTION("""COMPUTED_VALUE"""),15.0)</f>
        <v>15</v>
      </c>
      <c r="L31" s="21">
        <f>IFERROR(__xludf.DUMMYFUNCTION("""COMPUTED_VALUE"""),0.008344907424932803)</f>
        <v>0.008344907425</v>
      </c>
      <c r="M31" s="22">
        <f>IFERROR(__xludf.DUMMYFUNCTION("""COMPUTED_VALUE"""),57.0)</f>
        <v>57</v>
      </c>
      <c r="N31" s="21">
        <f>IFERROR(__xludf.DUMMYFUNCTION("""COMPUTED_VALUE"""),9.027785199717787E-4)</f>
        <v>0.00090277852</v>
      </c>
      <c r="O31" s="22">
        <f>IFERROR(__xludf.DUMMYFUNCTION("""COMPUTED_VALUE"""),56.0)</f>
        <v>56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5.75" customHeight="1">
      <c r="A32" s="23">
        <f>IFERROR(__xludf.DUMMYFUNCTION("""COMPUTED_VALUE"""),31.0)</f>
        <v>31</v>
      </c>
      <c r="B32" s="24" t="str">
        <f>IFERROR(__xludf.DUMMYFUNCTION("""COMPUTED_VALUE"""),"154")</f>
        <v>154</v>
      </c>
      <c r="C32" s="25" t="str">
        <f>IFERROR(__xludf.DUMMYFUNCTION("""COMPUTED_VALUE"""),"NOÉ")</f>
        <v>NOÉ</v>
      </c>
      <c r="D32" s="26" t="str">
        <f>IFERROR(__xludf.DUMMYFUNCTION("""COMPUTED_VALUE"""),"LILIAN")</f>
        <v>LILIAN</v>
      </c>
      <c r="E32" s="27" t="str">
        <f>IFERROR(__xludf.DUMMYFUNCTION("""COMPUTED_VALUE"""),"SH2")</f>
        <v>SH2</v>
      </c>
      <c r="F32" s="27">
        <f>IFERROR(__xludf.DUMMYFUNCTION("""COMPUTED_VALUE"""),3.0)</f>
        <v>3</v>
      </c>
      <c r="G32" s="28">
        <f>IFERROR(__xludf.DUMMYFUNCTION("""COMPUTED_VALUE"""),0.019224537472947)</f>
        <v>0.01922453747</v>
      </c>
      <c r="H32" s="29">
        <f>IFERROR(__xludf.DUMMYFUNCTION("""COMPUTED_VALUE"""),0.0036805556572243295)</f>
        <v>0.003680555657</v>
      </c>
      <c r="I32" s="30">
        <f>IFERROR(__xludf.DUMMYFUNCTION("""COMPUTED_VALUE"""),44.0)</f>
        <v>44</v>
      </c>
      <c r="J32" s="29">
        <f>IFERROR(__xludf.DUMMYFUNCTION("""COMPUTED_VALUE"""),0.007002314868091556)</f>
        <v>0.007002314868</v>
      </c>
      <c r="K32" s="30">
        <f>IFERROR(__xludf.DUMMYFUNCTION("""COMPUTED_VALUE"""),21.0)</f>
        <v>21</v>
      </c>
      <c r="L32" s="29">
        <f>IFERROR(__xludf.DUMMYFUNCTION("""COMPUTED_VALUE"""),0.007893518103149278)</f>
        <v>0.007893518103</v>
      </c>
      <c r="M32" s="30">
        <f>IFERROR(__xludf.DUMMYFUNCTION("""COMPUTED_VALUE"""),38.0)</f>
        <v>38</v>
      </c>
      <c r="N32" s="29">
        <f>IFERROR(__xludf.DUMMYFUNCTION("""COMPUTED_VALUE"""),6.481488444818376E-4)</f>
        <v>0.0006481488445</v>
      </c>
      <c r="O32" s="30">
        <f>IFERROR(__xludf.DUMMYFUNCTION("""COMPUTED_VALUE"""),21.0)</f>
        <v>21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5.75" customHeight="1">
      <c r="A33" s="15">
        <f>IFERROR(__xludf.DUMMYFUNCTION("""COMPUTED_VALUE"""),32.0)</f>
        <v>32</v>
      </c>
      <c r="B33" s="16" t="str">
        <f>IFERROR(__xludf.DUMMYFUNCTION("""COMPUTED_VALUE"""),"146")</f>
        <v>146</v>
      </c>
      <c r="C33" s="17" t="str">
        <f>IFERROR(__xludf.DUMMYFUNCTION("""COMPUTED_VALUE"""),"SAMATEY")</f>
        <v>SAMATEY</v>
      </c>
      <c r="D33" s="18" t="str">
        <f>IFERROR(__xludf.DUMMYFUNCTION("""COMPUTED_VALUE"""),"YOHAN")</f>
        <v>YOHAN</v>
      </c>
      <c r="E33" s="19" t="str">
        <f>IFERROR(__xludf.DUMMYFUNCTION("""COMPUTED_VALUE"""),"SH3")</f>
        <v>SH3</v>
      </c>
      <c r="F33" s="19">
        <f>IFERROR(__xludf.DUMMYFUNCTION("""COMPUTED_VALUE"""),9.0)</f>
        <v>9</v>
      </c>
      <c r="G33" s="20">
        <f>IFERROR(__xludf.DUMMYFUNCTION("""COMPUTED_VALUE"""),0.019270833896510582)</f>
        <v>0.0192708339</v>
      </c>
      <c r="H33" s="21">
        <f>IFERROR(__xludf.DUMMYFUNCTION("""COMPUTED_VALUE"""),0.004710648219947143)</f>
        <v>0.00471064822</v>
      </c>
      <c r="I33" s="22">
        <f>IFERROR(__xludf.DUMMYFUNCTION("""COMPUTED_VALUE"""),108.0)</f>
        <v>108</v>
      </c>
      <c r="J33" s="21">
        <f>IFERROR(__xludf.DUMMYFUNCTION("""COMPUTED_VALUE"""),0.006944444473484106)</f>
        <v>0.006944444473</v>
      </c>
      <c r="K33" s="22">
        <f>IFERROR(__xludf.DUMMYFUNCTION("""COMPUTED_VALUE"""),12.0)</f>
        <v>12</v>
      </c>
      <c r="L33" s="21">
        <f>IFERROR(__xludf.DUMMYFUNCTION("""COMPUTED_VALUE"""),0.0070833330760552305)</f>
        <v>0.007083333076</v>
      </c>
      <c r="M33" s="22">
        <f>IFERROR(__xludf.DUMMYFUNCTION("""COMPUTED_VALUE"""),8.0)</f>
        <v>8</v>
      </c>
      <c r="N33" s="21">
        <f>IFERROR(__xludf.DUMMYFUNCTION("""COMPUTED_VALUE"""),5.32408127024102E-4)</f>
        <v>0.000532408127</v>
      </c>
      <c r="O33" s="22">
        <f>IFERROR(__xludf.DUMMYFUNCTION("""COMPUTED_VALUE"""),9.0)</f>
        <v>9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15.75" customHeight="1">
      <c r="A34" s="23">
        <f>IFERROR(__xludf.DUMMYFUNCTION("""COMPUTED_VALUE"""),33.0)</f>
        <v>33</v>
      </c>
      <c r="B34" s="24" t="str">
        <f>IFERROR(__xludf.DUMMYFUNCTION("""COMPUTED_VALUE"""),"92")</f>
        <v>92</v>
      </c>
      <c r="C34" s="25" t="str">
        <f>IFERROR(__xludf.DUMMYFUNCTION("""COMPUTED_VALUE"""),"PLAFORET")</f>
        <v>PLAFORET</v>
      </c>
      <c r="D34" s="26" t="str">
        <f>IFERROR(__xludf.DUMMYFUNCTION("""COMPUTED_VALUE"""),"VINCENT")</f>
        <v>VINCENT</v>
      </c>
      <c r="E34" s="27" t="str">
        <f>IFERROR(__xludf.DUMMYFUNCTION("""COMPUTED_VALUE"""),"SH3")</f>
        <v>SH3</v>
      </c>
      <c r="F34" s="27">
        <f>IFERROR(__xludf.DUMMYFUNCTION("""COMPUTED_VALUE"""),10.0)</f>
        <v>10</v>
      </c>
      <c r="G34" s="28">
        <f>IFERROR(__xludf.DUMMYFUNCTION("""COMPUTED_VALUE"""),0.019282407782098103)</f>
        <v>0.01928240778</v>
      </c>
      <c r="H34" s="29">
        <f>IFERROR(__xludf.DUMMYFUNCTION("""COMPUTED_VALUE"""),0.003831018582500281)</f>
        <v>0.003831018583</v>
      </c>
      <c r="I34" s="30">
        <f>IFERROR(__xludf.DUMMYFUNCTION("""COMPUTED_VALUE"""),57.0)</f>
        <v>57</v>
      </c>
      <c r="J34" s="29">
        <f>IFERROR(__xludf.DUMMYFUNCTION("""COMPUTED_VALUE"""),0.006747685213994656)</f>
        <v>0.006747685214</v>
      </c>
      <c r="K34" s="30">
        <f>IFERROR(__xludf.DUMMYFUNCTION("""COMPUTED_VALUE"""),6.0)</f>
        <v>6</v>
      </c>
      <c r="L34" s="29">
        <f>IFERROR(__xludf.DUMMYFUNCTION("""COMPUTED_VALUE"""),0.008032407631624328)</f>
        <v>0.008032407632</v>
      </c>
      <c r="M34" s="30">
        <f>IFERROR(__xludf.DUMMYFUNCTION("""COMPUTED_VALUE"""),47.0)</f>
        <v>47</v>
      </c>
      <c r="N34" s="29">
        <f>IFERROR(__xludf.DUMMYFUNCTION("""COMPUTED_VALUE"""),6.712963539788385E-4)</f>
        <v>0.000671296354</v>
      </c>
      <c r="O34" s="30">
        <f>IFERROR(__xludf.DUMMYFUNCTION("""COMPUTED_VALUE"""),26.0)</f>
        <v>26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15.75" customHeight="1">
      <c r="A35" s="15">
        <f>IFERROR(__xludf.DUMMYFUNCTION("""COMPUTED_VALUE"""),34.0)</f>
        <v>34</v>
      </c>
      <c r="B35" s="16" t="str">
        <f>IFERROR(__xludf.DUMMYFUNCTION("""COMPUTED_VALUE"""),"191")</f>
        <v>191</v>
      </c>
      <c r="C35" s="17" t="str">
        <f>IFERROR(__xludf.DUMMYFUNCTION("""COMPUTED_VALUE"""),"MERLEY")</f>
        <v>MERLEY</v>
      </c>
      <c r="D35" s="18" t="str">
        <f>IFERROR(__xludf.DUMMYFUNCTION("""COMPUTED_VALUE"""),"MAXENCE")</f>
        <v>MAXENCE</v>
      </c>
      <c r="E35" s="19" t="str">
        <f>IFERROR(__xludf.DUMMYFUNCTION("""COMPUTED_VALUE"""),"SH4")</f>
        <v>SH4</v>
      </c>
      <c r="F35" s="19">
        <f>IFERROR(__xludf.DUMMYFUNCTION("""COMPUTED_VALUE"""),10.0)</f>
        <v>10</v>
      </c>
      <c r="G35" s="20">
        <f>IFERROR(__xludf.DUMMYFUNCTION("""COMPUTED_VALUE"""),0.01930555638848809)</f>
        <v>0.01930555639</v>
      </c>
      <c r="H35" s="21">
        <f>IFERROR(__xludf.DUMMYFUNCTION("""COMPUTED_VALUE"""),0.003182870387524252)</f>
        <v>0.003182870388</v>
      </c>
      <c r="I35" s="22">
        <f>IFERROR(__xludf.DUMMYFUNCTION("""COMPUTED_VALUE"""),19.0)</f>
        <v>19</v>
      </c>
      <c r="J35" s="21">
        <f>IFERROR(__xludf.DUMMYFUNCTION("""COMPUTED_VALUE"""),0.006701388932743377)</f>
        <v>0.006701388933</v>
      </c>
      <c r="K35" s="22">
        <f>IFERROR(__xludf.DUMMYFUNCTION("""COMPUTED_VALUE"""),4.0)</f>
        <v>4</v>
      </c>
      <c r="L35" s="21">
        <f>IFERROR(__xludf.DUMMYFUNCTION("""COMPUTED_VALUE"""),0.008819445264456022)</f>
        <v>0.008819445264</v>
      </c>
      <c r="M35" s="22">
        <f>IFERROR(__xludf.DUMMYFUNCTION("""COMPUTED_VALUE"""),75.0)</f>
        <v>75</v>
      </c>
      <c r="N35" s="21">
        <f>IFERROR(__xludf.DUMMYFUNCTION("""COMPUTED_VALUE"""),6.018518037644396E-4)</f>
        <v>0.0006018518038</v>
      </c>
      <c r="O35" s="22">
        <f>IFERROR(__xludf.DUMMYFUNCTION("""COMPUTED_VALUE"""),15.0)</f>
        <v>15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15.75" customHeight="1">
      <c r="A36" s="23">
        <f>IFERROR(__xludf.DUMMYFUNCTION("""COMPUTED_VALUE"""),35.0)</f>
        <v>35</v>
      </c>
      <c r="B36" s="24" t="str">
        <f>IFERROR(__xludf.DUMMYFUNCTION("""COMPUTED_VALUE"""),"102")</f>
        <v>102</v>
      </c>
      <c r="C36" s="25" t="str">
        <f>IFERROR(__xludf.DUMMYFUNCTION("""COMPUTED_VALUE"""),"BRUNET")</f>
        <v>BRUNET</v>
      </c>
      <c r="D36" s="26" t="str">
        <f>IFERROR(__xludf.DUMMYFUNCTION("""COMPUTED_VALUE"""),"FRANCK")</f>
        <v>FRANCK</v>
      </c>
      <c r="E36" s="27" t="str">
        <f>IFERROR(__xludf.DUMMYFUNCTION("""COMPUTED_VALUE"""),"MH3")</f>
        <v>MH3</v>
      </c>
      <c r="F36" s="27">
        <f>IFERROR(__xludf.DUMMYFUNCTION("""COMPUTED_VALUE"""),2.0)</f>
        <v>2</v>
      </c>
      <c r="G36" s="28">
        <f>IFERROR(__xludf.DUMMYFUNCTION("""COMPUTED_VALUE"""),0.019386575192867052)</f>
        <v>0.01938657519</v>
      </c>
      <c r="H36" s="29">
        <f>IFERROR(__xludf.DUMMYFUNCTION("""COMPUTED_VALUE"""),0.0037847222673043717)</f>
        <v>0.003784722267</v>
      </c>
      <c r="I36" s="30">
        <f>IFERROR(__xludf.DUMMYFUNCTION("""COMPUTED_VALUE"""),52.0)</f>
        <v>52</v>
      </c>
      <c r="J36" s="29">
        <f>IFERROR(__xludf.DUMMYFUNCTION("""COMPUTED_VALUE"""),0.007615740775335122)</f>
        <v>0.007615740775</v>
      </c>
      <c r="K36" s="30">
        <f>IFERROR(__xludf.DUMMYFUNCTION("""COMPUTED_VALUE"""),52.0)</f>
        <v>52</v>
      </c>
      <c r="L36" s="29">
        <f>IFERROR(__xludf.DUMMYFUNCTION("""COMPUTED_VALUE"""),0.007291667048622889)</f>
        <v>0.007291667049</v>
      </c>
      <c r="M36" s="30">
        <f>IFERROR(__xludf.DUMMYFUNCTION("""COMPUTED_VALUE"""),15.0)</f>
        <v>15</v>
      </c>
      <c r="N36" s="29">
        <f>IFERROR(__xludf.DUMMYFUNCTION("""COMPUTED_VALUE"""),6.944451016046697E-4)</f>
        <v>0.0006944451016</v>
      </c>
      <c r="O36" s="30">
        <f>IFERROR(__xludf.DUMMYFUNCTION("""COMPUTED_VALUE"""),28.0)</f>
        <v>28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15.75" customHeight="1">
      <c r="A37" s="15">
        <f>IFERROR(__xludf.DUMMYFUNCTION("""COMPUTED_VALUE"""),36.0)</f>
        <v>36</v>
      </c>
      <c r="B37" s="16" t="str">
        <f>IFERROR(__xludf.DUMMYFUNCTION("""COMPUTED_VALUE"""),"135")</f>
        <v>135</v>
      </c>
      <c r="C37" s="17" t="str">
        <f>IFERROR(__xludf.DUMMYFUNCTION("""COMPUTED_VALUE"""),"SERNA")</f>
        <v>SERNA</v>
      </c>
      <c r="D37" s="18" t="str">
        <f>IFERROR(__xludf.DUMMYFUNCTION("""COMPUTED_VALUE"""),"SIMON")</f>
        <v>SIMON</v>
      </c>
      <c r="E37" s="19" t="str">
        <f>IFERROR(__xludf.DUMMYFUNCTION("""COMPUTED_VALUE"""),"SH4")</f>
        <v>SH4</v>
      </c>
      <c r="F37" s="19">
        <f>IFERROR(__xludf.DUMMYFUNCTION("""COMPUTED_VALUE"""),11.0)</f>
        <v>11</v>
      </c>
      <c r="G37" s="20">
        <f>IFERROR(__xludf.DUMMYFUNCTION("""COMPUTED_VALUE"""),0.01943287102220292)</f>
        <v>0.01943287102</v>
      </c>
      <c r="H37" s="21">
        <f>IFERROR(__xludf.DUMMYFUNCTION("""COMPUTED_VALUE"""),0.0035300926516430306)</f>
        <v>0.003530092652</v>
      </c>
      <c r="I37" s="22">
        <f>IFERROR(__xludf.DUMMYFUNCTION("""COMPUTED_VALUE"""),34.0)</f>
        <v>34</v>
      </c>
      <c r="J37" s="21">
        <f>IFERROR(__xludf.DUMMYFUNCTION("""COMPUTED_VALUE"""),0.007210648172214345)</f>
        <v>0.007210648172</v>
      </c>
      <c r="K37" s="22">
        <f>IFERROR(__xludf.DUMMYFUNCTION("""COMPUTED_VALUE"""),35.0)</f>
        <v>35</v>
      </c>
      <c r="L37" s="21">
        <f>IFERROR(__xludf.DUMMYFUNCTION("""COMPUTED_VALUE"""),0.008032407831215225)</f>
        <v>0.008032407831</v>
      </c>
      <c r="M37" s="22">
        <f>IFERROR(__xludf.DUMMYFUNCTION("""COMPUTED_VALUE"""),48.0)</f>
        <v>48</v>
      </c>
      <c r="N37" s="21">
        <f>IFERROR(__xludf.DUMMYFUNCTION("""COMPUTED_VALUE"""),6.597223671303198E-4)</f>
        <v>0.0006597223671</v>
      </c>
      <c r="O37" s="22">
        <f>IFERROR(__xludf.DUMMYFUNCTION("""COMPUTED_VALUE"""),23.0)</f>
        <v>23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15.75" customHeight="1">
      <c r="A38" s="23">
        <f>IFERROR(__xludf.DUMMYFUNCTION("""COMPUTED_VALUE"""),37.0)</f>
        <v>37</v>
      </c>
      <c r="B38" s="24" t="str">
        <f>IFERROR(__xludf.DUMMYFUNCTION("""COMPUTED_VALUE"""),"75")</f>
        <v>75</v>
      </c>
      <c r="C38" s="25" t="str">
        <f>IFERROR(__xludf.DUMMYFUNCTION("""COMPUTED_VALUE"""),"BELLEGO")</f>
        <v>BELLEGO</v>
      </c>
      <c r="D38" s="26" t="str">
        <f>IFERROR(__xludf.DUMMYFUNCTION("""COMPUTED_VALUE"""),"CORENTIN")</f>
        <v>CORENTIN</v>
      </c>
      <c r="E38" s="27" t="str">
        <f>IFERROR(__xludf.DUMMYFUNCTION("""COMPUTED_VALUE"""),"SH3")</f>
        <v>SH3</v>
      </c>
      <c r="F38" s="27">
        <f>IFERROR(__xludf.DUMMYFUNCTION("""COMPUTED_VALUE"""),11.0)</f>
        <v>11</v>
      </c>
      <c r="G38" s="28">
        <f>IFERROR(__xludf.DUMMYFUNCTION("""COMPUTED_VALUE"""),0.019444444462097348)</f>
        <v>0.01944444446</v>
      </c>
      <c r="H38" s="29">
        <f>IFERROR(__xludf.DUMMYFUNCTION("""COMPUTED_VALUE"""),0.004259259266399106)</f>
        <v>0.004259259266</v>
      </c>
      <c r="I38" s="30">
        <f>IFERROR(__xludf.DUMMYFUNCTION("""COMPUTED_VALUE"""),82.0)</f>
        <v>82</v>
      </c>
      <c r="J38" s="29">
        <f>IFERROR(__xludf.DUMMYFUNCTION("""COMPUTED_VALUE"""),0.006990740828635707)</f>
        <v>0.006990740829</v>
      </c>
      <c r="K38" s="30">
        <f>IFERROR(__xludf.DUMMYFUNCTION("""COMPUTED_VALUE"""),20.0)</f>
        <v>20</v>
      </c>
      <c r="L38" s="29">
        <f>IFERROR(__xludf.DUMMYFUNCTION("""COMPUTED_VALUE"""),0.0070370365179516885)</f>
        <v>0.007037036518</v>
      </c>
      <c r="M38" s="30">
        <f>IFERROR(__xludf.DUMMYFUNCTION("""COMPUTED_VALUE"""),7.0)</f>
        <v>7</v>
      </c>
      <c r="N38" s="29">
        <f>IFERROR(__xludf.DUMMYFUNCTION("""COMPUTED_VALUE"""),0.001157407849110846)</f>
        <v>0.001157407849</v>
      </c>
      <c r="O38" s="30">
        <f>IFERROR(__xludf.DUMMYFUNCTION("""COMPUTED_VALUE"""),81.0)</f>
        <v>81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15.75" customHeight="1">
      <c r="A39" s="15">
        <f>IFERROR(__xludf.DUMMYFUNCTION("""COMPUTED_VALUE"""),38.0)</f>
        <v>38</v>
      </c>
      <c r="B39" s="16" t="str">
        <f>IFERROR(__xludf.DUMMYFUNCTION("""COMPUTED_VALUE"""),"188")</f>
        <v>188</v>
      </c>
      <c r="C39" s="17" t="str">
        <f>IFERROR(__xludf.DUMMYFUNCTION("""COMPUTED_VALUE"""),"ARMAROLI")</f>
        <v>ARMAROLI</v>
      </c>
      <c r="D39" s="18" t="str">
        <f>IFERROR(__xludf.DUMMYFUNCTION("""COMPUTED_VALUE"""),"ENZO")</f>
        <v>ENZO</v>
      </c>
      <c r="E39" s="19" t="str">
        <f>IFERROR(__xludf.DUMMYFUNCTION("""COMPUTED_VALUE"""),"SH3")</f>
        <v>SH3</v>
      </c>
      <c r="F39" s="19">
        <f>IFERROR(__xludf.DUMMYFUNCTION("""COMPUTED_VALUE"""),12.0)</f>
        <v>12</v>
      </c>
      <c r="G39" s="20">
        <f>IFERROR(__xludf.DUMMYFUNCTION("""COMPUTED_VALUE"""),0.01969907514029776)</f>
        <v>0.01969907514</v>
      </c>
      <c r="H39" s="21">
        <f>IFERROR(__xludf.DUMMYFUNCTION("""COMPUTED_VALUE"""),0.003472222256705909)</f>
        <v>0.003472222257</v>
      </c>
      <c r="I39" s="22">
        <f>IFERROR(__xludf.DUMMYFUNCTION("""COMPUTED_VALUE"""),30.0)</f>
        <v>30</v>
      </c>
      <c r="J39" s="21">
        <f>IFERROR(__xludf.DUMMYFUNCTION("""COMPUTED_VALUE"""),0.006967592672347594)</f>
        <v>0.006967592672</v>
      </c>
      <c r="K39" s="22">
        <f>IFERROR(__xludf.DUMMYFUNCTION("""COMPUTED_VALUE"""),18.0)</f>
        <v>18</v>
      </c>
      <c r="L39" s="21">
        <f>IFERROR(__xludf.DUMMYFUNCTION("""COMPUTED_VALUE"""),0.007905093075825046)</f>
        <v>0.007905093076</v>
      </c>
      <c r="M39" s="22">
        <f>IFERROR(__xludf.DUMMYFUNCTION("""COMPUTED_VALUE"""),39.0)</f>
        <v>39</v>
      </c>
      <c r="N39" s="21">
        <f>IFERROR(__xludf.DUMMYFUNCTION("""COMPUTED_VALUE"""),0.00135416713541921)</f>
        <v>0.001354167135</v>
      </c>
      <c r="O39" s="22">
        <f>IFERROR(__xludf.DUMMYFUNCTION("""COMPUTED_VALUE"""),109.0)</f>
        <v>109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5.75" customHeight="1">
      <c r="A40" s="23">
        <f>IFERROR(__xludf.DUMMYFUNCTION("""COMPUTED_VALUE"""),39.0)</f>
        <v>39</v>
      </c>
      <c r="B40" s="24" t="str">
        <f>IFERROR(__xludf.DUMMYFUNCTION("""COMPUTED_VALUE"""),"173")</f>
        <v>173</v>
      </c>
      <c r="C40" s="25" t="str">
        <f>IFERROR(__xludf.DUMMYFUNCTION("""COMPUTED_VALUE"""),"BENALI KAHLOUL")</f>
        <v>BENALI KAHLOUL</v>
      </c>
      <c r="D40" s="26" t="str">
        <f>IFERROR(__xludf.DUMMYFUNCTION("""COMPUTED_VALUE"""),"ABDELLAH")</f>
        <v>ABDELLAH</v>
      </c>
      <c r="E40" s="27" t="str">
        <f>IFERROR(__xludf.DUMMYFUNCTION("""COMPUTED_VALUE"""),"MH3")</f>
        <v>MH3</v>
      </c>
      <c r="F40" s="27">
        <f>IFERROR(__xludf.DUMMYFUNCTION("""COMPUTED_VALUE"""),3.0)</f>
        <v>3</v>
      </c>
      <c r="G40" s="28">
        <f>IFERROR(__xludf.DUMMYFUNCTION("""COMPUTED_VALUE"""),0.019722222985463094)</f>
        <v>0.01972222299</v>
      </c>
      <c r="H40" s="29">
        <f>IFERROR(__xludf.DUMMYFUNCTION("""COMPUTED_VALUE"""),0.0038541666899286112)</f>
        <v>0.00385416669</v>
      </c>
      <c r="I40" s="30">
        <f>IFERROR(__xludf.DUMMYFUNCTION("""COMPUTED_VALUE"""),58.0)</f>
        <v>58</v>
      </c>
      <c r="J40" s="29">
        <f>IFERROR(__xludf.DUMMYFUNCTION("""COMPUTED_VALUE"""),0.006979166710565356)</f>
        <v>0.006979166711</v>
      </c>
      <c r="K40" s="30">
        <f>IFERROR(__xludf.DUMMYFUNCTION("""COMPUTED_VALUE"""),19.0)</f>
        <v>19</v>
      </c>
      <c r="L40" s="29">
        <f>IFERROR(__xludf.DUMMYFUNCTION("""COMPUTED_VALUE"""),0.008344907592024609)</f>
        <v>0.008344907592</v>
      </c>
      <c r="M40" s="30">
        <f>IFERROR(__xludf.DUMMYFUNCTION("""COMPUTED_VALUE"""),58.0)</f>
        <v>58</v>
      </c>
      <c r="N40" s="29">
        <f>IFERROR(__xludf.DUMMYFUNCTION("""COMPUTED_VALUE"""),5.439819929445185E-4)</f>
        <v>0.0005439819929</v>
      </c>
      <c r="O40" s="30">
        <f>IFERROR(__xludf.DUMMYFUNCTION("""COMPUTED_VALUE"""),10.0)</f>
        <v>10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5.75" customHeight="1">
      <c r="A41" s="15">
        <f>IFERROR(__xludf.DUMMYFUNCTION("""COMPUTED_VALUE"""),40.0)</f>
        <v>40</v>
      </c>
      <c r="B41" s="16" t="str">
        <f>IFERROR(__xludf.DUMMYFUNCTION("""COMPUTED_VALUE"""),"119")</f>
        <v>119</v>
      </c>
      <c r="C41" s="17" t="str">
        <f>IFERROR(__xludf.DUMMYFUNCTION("""COMPUTED_VALUE"""),"BOUISSET")</f>
        <v>BOUISSET</v>
      </c>
      <c r="D41" s="18" t="str">
        <f>IFERROR(__xludf.DUMMYFUNCTION("""COMPUTED_VALUE"""),"LUDOVIC")</f>
        <v>LUDOVIC</v>
      </c>
      <c r="E41" s="19" t="str">
        <f>IFERROR(__xludf.DUMMYFUNCTION("""COMPUTED_VALUE"""),"MH1")</f>
        <v>MH1</v>
      </c>
      <c r="F41" s="19">
        <f>IFERROR(__xludf.DUMMYFUNCTION("""COMPUTED_VALUE"""),5.0)</f>
        <v>5</v>
      </c>
      <c r="G41" s="20">
        <f>IFERROR(__xludf.DUMMYFUNCTION("""COMPUTED_VALUE"""),0.01993055556130249)</f>
        <v>0.01993055556</v>
      </c>
      <c r="H41" s="21">
        <f>IFERROR(__xludf.DUMMYFUNCTION("""COMPUTED_VALUE"""),0.003043981593506543)</f>
        <v>0.003043981594</v>
      </c>
      <c r="I41" s="22">
        <f>IFERROR(__xludf.DUMMYFUNCTION("""COMPUTED_VALUE"""),14.0)</f>
        <v>14</v>
      </c>
      <c r="J41" s="21">
        <f>IFERROR(__xludf.DUMMYFUNCTION("""COMPUTED_VALUE"""),0.007731481552912405)</f>
        <v>0.007731481553</v>
      </c>
      <c r="K41" s="22">
        <f>IFERROR(__xludf.DUMMYFUNCTION("""COMPUTED_VALUE"""),60.0)</f>
        <v>60</v>
      </c>
      <c r="L41" s="21">
        <f>IFERROR(__xludf.DUMMYFUNCTION("""COMPUTED_VALUE"""),0.008379629332695473)</f>
        <v>0.008379629333</v>
      </c>
      <c r="M41" s="22">
        <f>IFERROR(__xludf.DUMMYFUNCTION("""COMPUTED_VALUE"""),60.0)</f>
        <v>60</v>
      </c>
      <c r="N41" s="21">
        <f>IFERROR(__xludf.DUMMYFUNCTION("""COMPUTED_VALUE"""),7.754630821880685E-4)</f>
        <v>0.0007754630822</v>
      </c>
      <c r="O41" s="22">
        <f>IFERROR(__xludf.DUMMYFUNCTION("""COMPUTED_VALUE"""),33.0)</f>
        <v>33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15.75" customHeight="1">
      <c r="A42" s="23">
        <f>IFERROR(__xludf.DUMMYFUNCTION("""COMPUTED_VALUE"""),41.0)</f>
        <v>41</v>
      </c>
      <c r="B42" s="24" t="str">
        <f>IFERROR(__xludf.DUMMYFUNCTION("""COMPUTED_VALUE"""),"137")</f>
        <v>137</v>
      </c>
      <c r="C42" s="25" t="str">
        <f>IFERROR(__xludf.DUMMYFUNCTION("""COMPUTED_VALUE"""),"DAVOUST")</f>
        <v>DAVOUST</v>
      </c>
      <c r="D42" s="26" t="str">
        <f>IFERROR(__xludf.DUMMYFUNCTION("""COMPUTED_VALUE"""),"FRÉDÉRIC")</f>
        <v>FRÉDÉRIC</v>
      </c>
      <c r="E42" s="27" t="str">
        <f>IFERROR(__xludf.DUMMYFUNCTION("""COMPUTED_VALUE"""),"MH2")</f>
        <v>MH2</v>
      </c>
      <c r="F42" s="27">
        <f>IFERROR(__xludf.DUMMYFUNCTION("""COMPUTED_VALUE"""),5.0)</f>
        <v>5</v>
      </c>
      <c r="G42" s="28">
        <f>IFERROR(__xludf.DUMMYFUNCTION("""COMPUTED_VALUE"""),0.020057870873821784)</f>
        <v>0.02005787087</v>
      </c>
      <c r="H42" s="29">
        <f>IFERROR(__xludf.DUMMYFUNCTION("""COMPUTED_VALUE"""),0.0031250000980364715)</f>
        <v>0.003125000098</v>
      </c>
      <c r="I42" s="30">
        <f>IFERROR(__xludf.DUMMYFUNCTION("""COMPUTED_VALUE"""),17.0)</f>
        <v>17</v>
      </c>
      <c r="J42" s="29">
        <f>IFERROR(__xludf.DUMMYFUNCTION("""COMPUTED_VALUE"""),0.007002314884065881)</f>
        <v>0.007002314884</v>
      </c>
      <c r="K42" s="30">
        <f>IFERROR(__xludf.DUMMYFUNCTION("""COMPUTED_VALUE"""),22.0)</f>
        <v>22</v>
      </c>
      <c r="L42" s="29">
        <f>IFERROR(__xludf.DUMMYFUNCTION("""COMPUTED_VALUE"""),0.008703703643071572)</f>
        <v>0.008703703643</v>
      </c>
      <c r="M42" s="30">
        <f>IFERROR(__xludf.DUMMYFUNCTION("""COMPUTED_VALUE"""),70.0)</f>
        <v>70</v>
      </c>
      <c r="N42" s="29">
        <f>IFERROR(__xludf.DUMMYFUNCTION("""COMPUTED_VALUE"""),0.0012268522486478597)</f>
        <v>0.001226852249</v>
      </c>
      <c r="O42" s="30">
        <f>IFERROR(__xludf.DUMMYFUNCTION("""COMPUTED_VALUE"""),99.0)</f>
        <v>99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15.75" customHeight="1">
      <c r="A43" s="15">
        <f>IFERROR(__xludf.DUMMYFUNCTION("""COMPUTED_VALUE"""),42.0)</f>
        <v>42</v>
      </c>
      <c r="B43" s="16" t="str">
        <f>IFERROR(__xludf.DUMMYFUNCTION("""COMPUTED_VALUE"""),"214")</f>
        <v>214</v>
      </c>
      <c r="C43" s="17" t="str">
        <f>IFERROR(__xludf.DUMMYFUNCTION("""COMPUTED_VALUE"""),"BOURCIER")</f>
        <v>BOURCIER</v>
      </c>
      <c r="D43" s="18" t="str">
        <f>IFERROR(__xludf.DUMMYFUNCTION("""COMPUTED_VALUE"""),"FLORIAN")</f>
        <v>FLORIAN</v>
      </c>
      <c r="E43" s="19" t="str">
        <f>IFERROR(__xludf.DUMMYFUNCTION("""COMPUTED_VALUE"""),"SH4")</f>
        <v>SH4</v>
      </c>
      <c r="F43" s="19">
        <f>IFERROR(__xludf.DUMMYFUNCTION("""COMPUTED_VALUE"""),12.0)</f>
        <v>12</v>
      </c>
      <c r="G43" s="20">
        <f>IFERROR(__xludf.DUMMYFUNCTION("""COMPUTED_VALUE"""),0.020081018662153925)</f>
        <v>0.02008101866</v>
      </c>
      <c r="H43" s="21">
        <f>IFERROR(__xludf.DUMMYFUNCTION("""COMPUTED_VALUE"""),0.0032986112013834957)</f>
        <v>0.003298611201</v>
      </c>
      <c r="I43" s="22">
        <f>IFERROR(__xludf.DUMMYFUNCTION("""COMPUTED_VALUE"""),22.0)</f>
        <v>22</v>
      </c>
      <c r="J43" s="21">
        <f>IFERROR(__xludf.DUMMYFUNCTION("""COMPUTED_VALUE"""),0.007268518630952805)</f>
        <v>0.007268518631</v>
      </c>
      <c r="K43" s="22">
        <f>IFERROR(__xludf.DUMMYFUNCTION("""COMPUTED_VALUE"""),38.0)</f>
        <v>38</v>
      </c>
      <c r="L43" s="21">
        <f>IFERROR(__xludf.DUMMYFUNCTION("""COMPUTED_VALUE"""),0.008622684336997533)</f>
        <v>0.008622684337</v>
      </c>
      <c r="M43" s="22">
        <f>IFERROR(__xludf.DUMMYFUNCTION("""COMPUTED_VALUE"""),67.0)</f>
        <v>67</v>
      </c>
      <c r="N43" s="21">
        <f>IFERROR(__xludf.DUMMYFUNCTION("""COMPUTED_VALUE"""),8.912044928200916E-4)</f>
        <v>0.0008912044928</v>
      </c>
      <c r="O43" s="22">
        <f>IFERROR(__xludf.DUMMYFUNCTION("""COMPUTED_VALUE"""),51.0)</f>
        <v>51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15.75" customHeight="1">
      <c r="A44" s="23">
        <f>IFERROR(__xludf.DUMMYFUNCTION("""COMPUTED_VALUE"""),43.0)</f>
        <v>43</v>
      </c>
      <c r="B44" s="24" t="str">
        <f>IFERROR(__xludf.DUMMYFUNCTION("""COMPUTED_VALUE"""),"212")</f>
        <v>212</v>
      </c>
      <c r="C44" s="25" t="str">
        <f>IFERROR(__xludf.DUMMYFUNCTION("""COMPUTED_VALUE"""),"PIPITONE FEDERICO")</f>
        <v>PIPITONE FEDERICO</v>
      </c>
      <c r="D44" s="26" t="str">
        <f>IFERROR(__xludf.DUMMYFUNCTION("""COMPUTED_VALUE"""),"ALESSANDRA")</f>
        <v>ALESSANDRA</v>
      </c>
      <c r="E44" s="27" t="str">
        <f>IFERROR(__xludf.DUMMYFUNCTION("""COMPUTED_VALUE"""),"SF4")</f>
        <v>SF4</v>
      </c>
      <c r="F44" s="27">
        <f>IFERROR(__xludf.DUMMYFUNCTION("""COMPUTED_VALUE"""),1.0)</f>
        <v>1</v>
      </c>
      <c r="G44" s="28">
        <f>IFERROR(__xludf.DUMMYFUNCTION("""COMPUTED_VALUE"""),0.020289352603728297)</f>
        <v>0.0202893526</v>
      </c>
      <c r="H44" s="29">
        <f>IFERROR(__xludf.DUMMYFUNCTION("""COMPUTED_VALUE"""),0.0035763888963144066)</f>
        <v>0.003576388896</v>
      </c>
      <c r="I44" s="30">
        <f>IFERROR(__xludf.DUMMYFUNCTION("""COMPUTED_VALUE"""),36.0)</f>
        <v>36</v>
      </c>
      <c r="J44" s="29">
        <f>IFERROR(__xludf.DUMMYFUNCTION("""COMPUTED_VALUE"""),0.007731481575510772)</f>
        <v>0.007731481576</v>
      </c>
      <c r="K44" s="30">
        <f>IFERROR(__xludf.DUMMYFUNCTION("""COMPUTED_VALUE"""),61.0)</f>
        <v>61</v>
      </c>
      <c r="L44" s="29">
        <f>IFERROR(__xludf.DUMMYFUNCTION("""COMPUTED_VALUE"""),0.008148148643911746)</f>
        <v>0.008148148644</v>
      </c>
      <c r="M44" s="30">
        <f>IFERROR(__xludf.DUMMYFUNCTION("""COMPUTED_VALUE"""),50.0)</f>
        <v>50</v>
      </c>
      <c r="N44" s="29">
        <f>IFERROR(__xludf.DUMMYFUNCTION("""COMPUTED_VALUE"""),8.33333487991372E-4)</f>
        <v>0.000833333488</v>
      </c>
      <c r="O44" s="30">
        <f>IFERROR(__xludf.DUMMYFUNCTION("""COMPUTED_VALUE"""),41.0)</f>
        <v>41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15.75" customHeight="1">
      <c r="A45" s="15">
        <f>IFERROR(__xludf.DUMMYFUNCTION("""COMPUTED_VALUE"""),44.0)</f>
        <v>44</v>
      </c>
      <c r="B45" s="16" t="str">
        <f>IFERROR(__xludf.DUMMYFUNCTION("""COMPUTED_VALUE"""),"189")</f>
        <v>189</v>
      </c>
      <c r="C45" s="17" t="str">
        <f>IFERROR(__xludf.DUMMYFUNCTION("""COMPUTED_VALUE"""),"GONZALEZ DE CABO")</f>
        <v>GONZALEZ DE CABO</v>
      </c>
      <c r="D45" s="18" t="str">
        <f>IFERROR(__xludf.DUMMYFUNCTION("""COMPUTED_VALUE"""),"DAVID")</f>
        <v>DAVID</v>
      </c>
      <c r="E45" s="19" t="str">
        <f>IFERROR(__xludf.DUMMYFUNCTION("""COMPUTED_VALUE"""),"SH4")</f>
        <v>SH4</v>
      </c>
      <c r="F45" s="19">
        <f>IFERROR(__xludf.DUMMYFUNCTION("""COMPUTED_VALUE"""),13.0)</f>
        <v>13</v>
      </c>
      <c r="G45" s="20">
        <f>IFERROR(__xludf.DUMMYFUNCTION("""COMPUTED_VALUE"""),0.020335649260114913)</f>
        <v>0.02033564926</v>
      </c>
      <c r="H45" s="21">
        <f>IFERROR(__xludf.DUMMYFUNCTION("""COMPUTED_VALUE"""),0.0037847222570010393)</f>
        <v>0.003784722257</v>
      </c>
      <c r="I45" s="22">
        <f>IFERROR(__xludf.DUMMYFUNCTION("""COMPUTED_VALUE"""),51.0)</f>
        <v>51</v>
      </c>
      <c r="J45" s="21">
        <f>IFERROR(__xludf.DUMMYFUNCTION("""COMPUTED_VALUE"""),0.007129629678946536)</f>
        <v>0.007129629679</v>
      </c>
      <c r="K45" s="22">
        <f>IFERROR(__xludf.DUMMYFUNCTION("""COMPUTED_VALUE"""),28.0)</f>
        <v>28</v>
      </c>
      <c r="L45" s="21">
        <f>IFERROR(__xludf.DUMMYFUNCTION("""COMPUTED_VALUE"""),0.008217593585364542)</f>
        <v>0.008217593585</v>
      </c>
      <c r="M45" s="22">
        <f>IFERROR(__xludf.DUMMYFUNCTION("""COMPUTED_VALUE"""),52.0)</f>
        <v>52</v>
      </c>
      <c r="N45" s="21">
        <f>IFERROR(__xludf.DUMMYFUNCTION("""COMPUTED_VALUE"""),0.0012037037388027954)</f>
        <v>0.001203703739</v>
      </c>
      <c r="O45" s="22">
        <f>IFERROR(__xludf.DUMMYFUNCTION("""COMPUTED_VALUE"""),93.0)</f>
        <v>93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15.75" customHeight="1">
      <c r="A46" s="23">
        <f>IFERROR(__xludf.DUMMYFUNCTION("""COMPUTED_VALUE"""),45.0)</f>
        <v>45</v>
      </c>
      <c r="B46" s="24" t="str">
        <f>IFERROR(__xludf.DUMMYFUNCTION("""COMPUTED_VALUE"""),"89")</f>
        <v>89</v>
      </c>
      <c r="C46" s="25" t="str">
        <f>IFERROR(__xludf.DUMMYFUNCTION("""COMPUTED_VALUE"""),"CHAZY")</f>
        <v>CHAZY</v>
      </c>
      <c r="D46" s="26" t="str">
        <f>IFERROR(__xludf.DUMMYFUNCTION("""COMPUTED_VALUE"""),"FRANÇOIS")</f>
        <v>FRANÇOIS</v>
      </c>
      <c r="E46" s="27" t="str">
        <f>IFERROR(__xludf.DUMMYFUNCTION("""COMPUTED_VALUE"""),"MH5")</f>
        <v>MH5</v>
      </c>
      <c r="F46" s="27">
        <f>IFERROR(__xludf.DUMMYFUNCTION("""COMPUTED_VALUE"""),1.0)</f>
        <v>1</v>
      </c>
      <c r="G46" s="28">
        <f>IFERROR(__xludf.DUMMYFUNCTION("""COMPUTED_VALUE"""),0.020451389324410152)</f>
        <v>0.02045138932</v>
      </c>
      <c r="H46" s="29">
        <f>IFERROR(__xludf.DUMMYFUNCTION("""COMPUTED_VALUE"""),0.00396990741702607)</f>
        <v>0.003969907417</v>
      </c>
      <c r="I46" s="30">
        <f>IFERROR(__xludf.DUMMYFUNCTION("""COMPUTED_VALUE"""),65.0)</f>
        <v>65</v>
      </c>
      <c r="J46" s="29">
        <f>IFERROR(__xludf.DUMMYFUNCTION("""COMPUTED_VALUE"""),0.007106481515820638)</f>
        <v>0.007106481516</v>
      </c>
      <c r="K46" s="30">
        <f>IFERROR(__xludf.DUMMYFUNCTION("""COMPUTED_VALUE"""),26.0)</f>
        <v>26</v>
      </c>
      <c r="L46" s="29">
        <f>IFERROR(__xludf.DUMMYFUNCTION("""COMPUTED_VALUE"""),0.008564814541898051)</f>
        <v>0.008564814542</v>
      </c>
      <c r="M46" s="30">
        <f>IFERROR(__xludf.DUMMYFUNCTION("""COMPUTED_VALUE"""),63.0)</f>
        <v>63</v>
      </c>
      <c r="N46" s="29">
        <f>IFERROR(__xludf.DUMMYFUNCTION("""COMPUTED_VALUE"""),8.101858496653925E-4)</f>
        <v>0.0008101858497</v>
      </c>
      <c r="O46" s="30">
        <f>IFERROR(__xludf.DUMMYFUNCTION("""COMPUTED_VALUE"""),38.0)</f>
        <v>38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15.75" customHeight="1">
      <c r="A47" s="15">
        <f>IFERROR(__xludf.DUMMYFUNCTION("""COMPUTED_VALUE"""),46.0)</f>
        <v>46</v>
      </c>
      <c r="B47" s="16" t="str">
        <f>IFERROR(__xludf.DUMMYFUNCTION("""COMPUTED_VALUE"""),"210")</f>
        <v>210</v>
      </c>
      <c r="C47" s="17" t="str">
        <f>IFERROR(__xludf.DUMMYFUNCTION("""COMPUTED_VALUE"""),"MOREIRA")</f>
        <v>MOREIRA</v>
      </c>
      <c r="D47" s="18" t="str">
        <f>IFERROR(__xludf.DUMMYFUNCTION("""COMPUTED_VALUE"""),"THOMAS")</f>
        <v>THOMAS</v>
      </c>
      <c r="E47" s="19" t="str">
        <f>IFERROR(__xludf.DUMMYFUNCTION("""COMPUTED_VALUE"""),"SH2")</f>
        <v>SH2</v>
      </c>
      <c r="F47" s="19">
        <f>IFERROR(__xludf.DUMMYFUNCTION("""COMPUTED_VALUE"""),4.0)</f>
        <v>4</v>
      </c>
      <c r="G47" s="20">
        <f>IFERROR(__xludf.DUMMYFUNCTION("""COMPUTED_VALUE"""),0.020567130471619035)</f>
        <v>0.02056713047</v>
      </c>
      <c r="H47" s="21">
        <f>IFERROR(__xludf.DUMMYFUNCTION("""COMPUTED_VALUE"""),0.0029050926206600756)</f>
        <v>0.002905092621</v>
      </c>
      <c r="I47" s="22">
        <f>IFERROR(__xludf.DUMMYFUNCTION("""COMPUTED_VALUE"""),8.0)</f>
        <v>8</v>
      </c>
      <c r="J47" s="21">
        <f>IFERROR(__xludf.DUMMYFUNCTION("""COMPUTED_VALUE"""),0.009618055596290871)</f>
        <v>0.009618055596</v>
      </c>
      <c r="K47" s="22">
        <f>IFERROR(__xludf.DUMMYFUNCTION("""COMPUTED_VALUE"""),144.0)</f>
        <v>144</v>
      </c>
      <c r="L47" s="21">
        <f>IFERROR(__xludf.DUMMYFUNCTION("""COMPUTED_VALUE"""),0.007303241106348042)</f>
        <v>0.007303241106</v>
      </c>
      <c r="M47" s="22">
        <f>IFERROR(__xludf.DUMMYFUNCTION("""COMPUTED_VALUE"""),17.0)</f>
        <v>17</v>
      </c>
      <c r="N47" s="21">
        <f>IFERROR(__xludf.DUMMYFUNCTION("""COMPUTED_VALUE"""),7.407411483200464E-4)</f>
        <v>0.0007407411483</v>
      </c>
      <c r="O47" s="22">
        <f>IFERROR(__xludf.DUMMYFUNCTION("""COMPUTED_VALUE"""),30.0)</f>
        <v>30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15.75" customHeight="1">
      <c r="A48" s="23">
        <f>IFERROR(__xludf.DUMMYFUNCTION("""COMPUTED_VALUE"""),47.0)</f>
        <v>47</v>
      </c>
      <c r="B48" s="24" t="str">
        <f>IFERROR(__xludf.DUMMYFUNCTION("""COMPUTED_VALUE"""),"194")</f>
        <v>194</v>
      </c>
      <c r="C48" s="25" t="str">
        <f>IFERROR(__xludf.DUMMYFUNCTION("""COMPUTED_VALUE"""),"TAFSI")</f>
        <v>TAFSI</v>
      </c>
      <c r="D48" s="26" t="str">
        <f>IFERROR(__xludf.DUMMYFUNCTION("""COMPUTED_VALUE"""),"OMAR")</f>
        <v>OMAR</v>
      </c>
      <c r="E48" s="27" t="str">
        <f>IFERROR(__xludf.DUMMYFUNCTION("""COMPUTED_VALUE"""),"SH2")</f>
        <v>SH2</v>
      </c>
      <c r="F48" s="27">
        <f>IFERROR(__xludf.DUMMYFUNCTION("""COMPUTED_VALUE"""),5.0)</f>
        <v>5</v>
      </c>
      <c r="G48" s="28">
        <f>IFERROR(__xludf.DUMMYFUNCTION("""COMPUTED_VALUE"""),0.02059027823261312)</f>
        <v>0.02059027823</v>
      </c>
      <c r="H48" s="29">
        <f>IFERROR(__xludf.DUMMYFUNCTION("""COMPUTED_VALUE"""),0.003993055578602643)</f>
        <v>0.003993055579</v>
      </c>
      <c r="I48" s="30">
        <f>IFERROR(__xludf.DUMMYFUNCTION("""COMPUTED_VALUE"""),67.0)</f>
        <v>67</v>
      </c>
      <c r="J48" s="29">
        <f>IFERROR(__xludf.DUMMYFUNCTION("""COMPUTED_VALUE"""),0.00692129635294278)</f>
        <v>0.006921296353</v>
      </c>
      <c r="K48" s="30">
        <f>IFERROR(__xludf.DUMMYFUNCTION("""COMPUTED_VALUE"""),11.0)</f>
        <v>11</v>
      </c>
      <c r="L48" s="29">
        <f>IFERROR(__xludf.DUMMYFUNCTION("""COMPUTED_VALUE"""),0.008634259108538943)</f>
        <v>0.008634259109</v>
      </c>
      <c r="M48" s="30">
        <f>IFERROR(__xludf.DUMMYFUNCTION("""COMPUTED_VALUE"""),68.0)</f>
        <v>68</v>
      </c>
      <c r="N48" s="29">
        <f>IFERROR(__xludf.DUMMYFUNCTION("""COMPUTED_VALUE"""),0.001041667192528753)</f>
        <v>0.001041667193</v>
      </c>
      <c r="O48" s="30">
        <f>IFERROR(__xludf.DUMMYFUNCTION("""COMPUTED_VALUE"""),70.0)</f>
        <v>70</v>
      </c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15.75" customHeight="1">
      <c r="A49" s="15">
        <f>IFERROR(__xludf.DUMMYFUNCTION("""COMPUTED_VALUE"""),48.0)</f>
        <v>48</v>
      </c>
      <c r="B49" s="16" t="str">
        <f>IFERROR(__xludf.DUMMYFUNCTION("""COMPUTED_VALUE"""),"109")</f>
        <v>109</v>
      </c>
      <c r="C49" s="17" t="str">
        <f>IFERROR(__xludf.DUMMYFUNCTION("""COMPUTED_VALUE"""),"HEROGUEZ")</f>
        <v>HEROGUEZ</v>
      </c>
      <c r="D49" s="18" t="str">
        <f>IFERROR(__xludf.DUMMYFUNCTION("""COMPUTED_VALUE"""),"NICOLAS")</f>
        <v>NICOLAS</v>
      </c>
      <c r="E49" s="19" t="str">
        <f>IFERROR(__xludf.DUMMYFUNCTION("""COMPUTED_VALUE"""),"MH3")</f>
        <v>MH3</v>
      </c>
      <c r="F49" s="19">
        <f>IFERROR(__xludf.DUMMYFUNCTION("""COMPUTED_VALUE"""),4.0)</f>
        <v>4</v>
      </c>
      <c r="G49" s="20">
        <f>IFERROR(__xludf.DUMMYFUNCTION("""COMPUTED_VALUE"""),0.020625000349576705)</f>
        <v>0.02062500035</v>
      </c>
      <c r="H49" s="21">
        <f>IFERROR(__xludf.DUMMYFUNCTION("""COMPUTED_VALUE"""),0.004421296305886976)</f>
        <v>0.004421296306</v>
      </c>
      <c r="I49" s="22">
        <f>IFERROR(__xludf.DUMMYFUNCTION("""COMPUTED_VALUE"""),93.0)</f>
        <v>93</v>
      </c>
      <c r="J49" s="21">
        <f>IFERROR(__xludf.DUMMYFUNCTION("""COMPUTED_VALUE"""),0.007372685207393592)</f>
        <v>0.007372685207</v>
      </c>
      <c r="K49" s="22">
        <f>IFERROR(__xludf.DUMMYFUNCTION("""COMPUTED_VALUE"""),44.0)</f>
        <v>44</v>
      </c>
      <c r="L49" s="21">
        <f>IFERROR(__xludf.DUMMYFUNCTION("""COMPUTED_VALUE"""),0.007951388957402161)</f>
        <v>0.007951388957</v>
      </c>
      <c r="M49" s="22">
        <f>IFERROR(__xludf.DUMMYFUNCTION("""COMPUTED_VALUE"""),44.0)</f>
        <v>44</v>
      </c>
      <c r="N49" s="21">
        <f>IFERROR(__xludf.DUMMYFUNCTION("""COMPUTED_VALUE"""),8.796298788939757E-4)</f>
        <v>0.0008796298789</v>
      </c>
      <c r="O49" s="22">
        <f>IFERROR(__xludf.DUMMYFUNCTION("""COMPUTED_VALUE"""),48.0)</f>
        <v>48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15.75" customHeight="1">
      <c r="A50" s="23">
        <f>IFERROR(__xludf.DUMMYFUNCTION("""COMPUTED_VALUE"""),49.0)</f>
        <v>49</v>
      </c>
      <c r="B50" s="24" t="str">
        <f>IFERROR(__xludf.DUMMYFUNCTION("""COMPUTED_VALUE"""),"193")</f>
        <v>193</v>
      </c>
      <c r="C50" s="25" t="str">
        <f>IFERROR(__xludf.DUMMYFUNCTION("""COMPUTED_VALUE"""),"ROUSSEAU")</f>
        <v>ROUSSEAU</v>
      </c>
      <c r="D50" s="26" t="str">
        <f>IFERROR(__xludf.DUMMYFUNCTION("""COMPUTED_VALUE"""),"THOMAS")</f>
        <v>THOMAS</v>
      </c>
      <c r="E50" s="27" t="str">
        <f>IFERROR(__xludf.DUMMYFUNCTION("""COMPUTED_VALUE"""),"SH3")</f>
        <v>SH3</v>
      </c>
      <c r="F50" s="27">
        <f>IFERROR(__xludf.DUMMYFUNCTION("""COMPUTED_VALUE"""),13.0)</f>
        <v>13</v>
      </c>
      <c r="G50" s="28">
        <f>IFERROR(__xludf.DUMMYFUNCTION("""COMPUTED_VALUE"""),0.02064814878576802)</f>
        <v>0.02064814879</v>
      </c>
      <c r="H50" s="29">
        <f>IFERROR(__xludf.DUMMYFUNCTION("""COMPUTED_VALUE"""),0.004236111193935369)</f>
        <v>0.004236111194</v>
      </c>
      <c r="I50" s="30">
        <f>IFERROR(__xludf.DUMMYFUNCTION("""COMPUTED_VALUE"""),80.0)</f>
        <v>80</v>
      </c>
      <c r="J50" s="29">
        <f>IFERROR(__xludf.DUMMYFUNCTION("""COMPUTED_VALUE"""),0.007488425966152335)</f>
        <v>0.007488425966</v>
      </c>
      <c r="K50" s="30">
        <f>IFERROR(__xludf.DUMMYFUNCTION("""COMPUTED_VALUE"""),46.0)</f>
        <v>46</v>
      </c>
      <c r="L50" s="29">
        <f>IFERROR(__xludf.DUMMYFUNCTION("""COMPUTED_VALUE"""),0.008252315404655377)</f>
        <v>0.008252315405</v>
      </c>
      <c r="M50" s="30">
        <f>IFERROR(__xludf.DUMMYFUNCTION("""COMPUTED_VALUE"""),53.0)</f>
        <v>53</v>
      </c>
      <c r="N50" s="29">
        <f>IFERROR(__xludf.DUMMYFUNCTION("""COMPUTED_VALUE"""),6.712962210249406E-4)</f>
        <v>0.000671296221</v>
      </c>
      <c r="O50" s="30">
        <f>IFERROR(__xludf.DUMMYFUNCTION("""COMPUTED_VALUE"""),25.0)</f>
        <v>25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15.75" customHeight="1">
      <c r="A51" s="15">
        <f>IFERROR(__xludf.DUMMYFUNCTION("""COMPUTED_VALUE"""),50.0)</f>
        <v>50</v>
      </c>
      <c r="B51" s="16" t="str">
        <f>IFERROR(__xludf.DUMMYFUNCTION("""COMPUTED_VALUE"""),"197")</f>
        <v>197</v>
      </c>
      <c r="C51" s="17" t="str">
        <f>IFERROR(__xludf.DUMMYFUNCTION("""COMPUTED_VALUE"""),"LI")</f>
        <v>LI</v>
      </c>
      <c r="D51" s="18" t="str">
        <f>IFERROR(__xludf.DUMMYFUNCTION("""COMPUTED_VALUE"""),"MICHAEL")</f>
        <v>MICHAEL</v>
      </c>
      <c r="E51" s="19" t="str">
        <f>IFERROR(__xludf.DUMMYFUNCTION("""COMPUTED_VALUE"""),"SH2")</f>
        <v>SH2</v>
      </c>
      <c r="F51" s="19">
        <f>IFERROR(__xludf.DUMMYFUNCTION("""COMPUTED_VALUE"""),6.0)</f>
        <v>6</v>
      </c>
      <c r="G51" s="20">
        <f>IFERROR(__xludf.DUMMYFUNCTION("""COMPUTED_VALUE"""),0.020659722524237208)</f>
        <v>0.02065972252</v>
      </c>
      <c r="H51" s="21">
        <f>IFERROR(__xludf.DUMMYFUNCTION("""COMPUTED_VALUE"""),0.00317129632679981)</f>
        <v>0.003171296327</v>
      </c>
      <c r="I51" s="22">
        <f>IFERROR(__xludf.DUMMYFUNCTION("""COMPUTED_VALUE"""),18.0)</f>
        <v>18</v>
      </c>
      <c r="J51" s="21">
        <f>IFERROR(__xludf.DUMMYFUNCTION("""COMPUTED_VALUE"""),0.007592592680941413)</f>
        <v>0.007592592681</v>
      </c>
      <c r="K51" s="22">
        <f>IFERROR(__xludf.DUMMYFUNCTION("""COMPUTED_VALUE"""),51.0)</f>
        <v>51</v>
      </c>
      <c r="L51" s="21">
        <f>IFERROR(__xludf.DUMMYFUNCTION("""COMPUTED_VALUE"""),0.008113425477594745)</f>
        <v>0.008113425478</v>
      </c>
      <c r="M51" s="22">
        <f>IFERROR(__xludf.DUMMYFUNCTION("""COMPUTED_VALUE"""),49.0)</f>
        <v>49</v>
      </c>
      <c r="N51" s="21">
        <f>IFERROR(__xludf.DUMMYFUNCTION("""COMPUTED_VALUE"""),0.001782408038901239)</f>
        <v>0.001782408039</v>
      </c>
      <c r="O51" s="22">
        <f>IFERROR(__xludf.DUMMYFUNCTION("""COMPUTED_VALUE"""),139.0)</f>
        <v>139</v>
      </c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15.75" customHeight="1">
      <c r="A52" s="23">
        <f>IFERROR(__xludf.DUMMYFUNCTION("""COMPUTED_VALUE"""),51.0)</f>
        <v>51</v>
      </c>
      <c r="B52" s="24" t="str">
        <f>IFERROR(__xludf.DUMMYFUNCTION("""COMPUTED_VALUE"""),"73")</f>
        <v>73</v>
      </c>
      <c r="C52" s="25" t="str">
        <f>IFERROR(__xludf.DUMMYFUNCTION("""COMPUTED_VALUE"""),"MEYRUEY")</f>
        <v>MEYRUEY</v>
      </c>
      <c r="D52" s="26" t="str">
        <f>IFERROR(__xludf.DUMMYFUNCTION("""COMPUTED_VALUE"""),"ETIENNE")</f>
        <v>ETIENNE</v>
      </c>
      <c r="E52" s="27" t="str">
        <f>IFERROR(__xludf.DUMMYFUNCTION("""COMPUTED_VALUE"""),"SH3")</f>
        <v>SH3</v>
      </c>
      <c r="F52" s="27">
        <f>IFERROR(__xludf.DUMMYFUNCTION("""COMPUTED_VALUE"""),14.0)</f>
        <v>14</v>
      </c>
      <c r="G52" s="28">
        <f>IFERROR(__xludf.DUMMYFUNCTION("""COMPUTED_VALUE"""),0.02067129654107898)</f>
        <v>0.02067129654</v>
      </c>
      <c r="H52" s="29">
        <f>IFERROR(__xludf.DUMMYFUNCTION("""COMPUTED_VALUE"""),0.0045833333607618485)</f>
        <v>0.004583333361</v>
      </c>
      <c r="I52" s="30">
        <f>IFERROR(__xludf.DUMMYFUNCTION("""COMPUTED_VALUE"""),106.0)</f>
        <v>106</v>
      </c>
      <c r="J52" s="29">
        <f>IFERROR(__xludf.DUMMYFUNCTION("""COMPUTED_VALUE"""),0.007245370453516609)</f>
        <v>0.007245370454</v>
      </c>
      <c r="K52" s="30">
        <f>IFERROR(__xludf.DUMMYFUNCTION("""COMPUTED_VALUE"""),37.0)</f>
        <v>37</v>
      </c>
      <c r="L52" s="29">
        <f>IFERROR(__xludf.DUMMYFUNCTION("""COMPUTED_VALUE"""),0.00793981409213126)</f>
        <v>0.007939814092</v>
      </c>
      <c r="M52" s="30">
        <f>IFERROR(__xludf.DUMMYFUNCTION("""COMPUTED_VALUE"""),41.0)</f>
        <v>41</v>
      </c>
      <c r="N52" s="29">
        <f>IFERROR(__xludf.DUMMYFUNCTION("""COMPUTED_VALUE"""),9.027786346692606E-4)</f>
        <v>0.0009027786347</v>
      </c>
      <c r="O52" s="30">
        <f>IFERROR(__xludf.DUMMYFUNCTION("""COMPUTED_VALUE"""),57.0)</f>
        <v>57</v>
      </c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15.75" customHeight="1">
      <c r="A53" s="15">
        <f>IFERROR(__xludf.DUMMYFUNCTION("""COMPUTED_VALUE"""),52.0)</f>
        <v>52</v>
      </c>
      <c r="B53" s="16" t="str">
        <f>IFERROR(__xludf.DUMMYFUNCTION("""COMPUTED_VALUE"""),"207")</f>
        <v>207</v>
      </c>
      <c r="C53" s="17" t="str">
        <f>IFERROR(__xludf.DUMMYFUNCTION("""COMPUTED_VALUE"""),"LE HUEROU")</f>
        <v>LE HUEROU</v>
      </c>
      <c r="D53" s="18" t="str">
        <f>IFERROR(__xludf.DUMMYFUNCTION("""COMPUTED_VALUE"""),"ALEXIS")</f>
        <v>ALEXIS</v>
      </c>
      <c r="E53" s="19" t="str">
        <f>IFERROR(__xludf.DUMMYFUNCTION("""COMPUTED_VALUE"""),"SH3")</f>
        <v>SH3</v>
      </c>
      <c r="F53" s="19">
        <f>IFERROR(__xludf.DUMMYFUNCTION("""COMPUTED_VALUE"""),15.0)</f>
        <v>15</v>
      </c>
      <c r="G53" s="20">
        <f>IFERROR(__xludf.DUMMYFUNCTION("""COMPUTED_VALUE"""),0.020902778557697465)</f>
        <v>0.02090277856</v>
      </c>
      <c r="H53" s="21">
        <f>IFERROR(__xludf.DUMMYFUNCTION("""COMPUTED_VALUE"""),0.004571759330886624)</f>
        <v>0.004571759331</v>
      </c>
      <c r="I53" s="22">
        <f>IFERROR(__xludf.DUMMYFUNCTION("""COMPUTED_VALUE"""),104.0)</f>
        <v>104</v>
      </c>
      <c r="J53" s="21">
        <f>IFERROR(__xludf.DUMMYFUNCTION("""COMPUTED_VALUE"""),0.007916666717491902)</f>
        <v>0.007916666717</v>
      </c>
      <c r="K53" s="22">
        <f>IFERROR(__xludf.DUMMYFUNCTION("""COMPUTED_VALUE"""),70.0)</f>
        <v>70</v>
      </c>
      <c r="L53" s="21">
        <f>IFERROR(__xludf.DUMMYFUNCTION("""COMPUTED_VALUE"""),0.007291667274617587)</f>
        <v>0.007291667275</v>
      </c>
      <c r="M53" s="22">
        <f>IFERROR(__xludf.DUMMYFUNCTION("""COMPUTED_VALUE"""),16.0)</f>
        <v>16</v>
      </c>
      <c r="N53" s="21">
        <f>IFERROR(__xludf.DUMMYFUNCTION("""COMPUTED_VALUE"""),0.0011226852347013512)</f>
        <v>0.001122685235</v>
      </c>
      <c r="O53" s="22">
        <f>IFERROR(__xludf.DUMMYFUNCTION("""COMPUTED_VALUE"""),75.0)</f>
        <v>75</v>
      </c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15.75" customHeight="1">
      <c r="A54" s="23">
        <f>IFERROR(__xludf.DUMMYFUNCTION("""COMPUTED_VALUE"""),53.0)</f>
        <v>53</v>
      </c>
      <c r="B54" s="24" t="str">
        <f>IFERROR(__xludf.DUMMYFUNCTION("""COMPUTED_VALUE"""),"223")</f>
        <v>223</v>
      </c>
      <c r="C54" s="25" t="str">
        <f>IFERROR(__xludf.DUMMYFUNCTION("""COMPUTED_VALUE"""),"LANDRY")</f>
        <v>LANDRY</v>
      </c>
      <c r="D54" s="26" t="str">
        <f>IFERROR(__xludf.DUMMYFUNCTION("""COMPUTED_VALUE"""),"GUILLAUME")</f>
        <v>GUILLAUME</v>
      </c>
      <c r="E54" s="27" t="str">
        <f>IFERROR(__xludf.DUMMYFUNCTION("""COMPUTED_VALUE"""),"SH4")</f>
        <v>SH4</v>
      </c>
      <c r="F54" s="27">
        <f>IFERROR(__xludf.DUMMYFUNCTION("""COMPUTED_VALUE"""),14.0)</f>
        <v>14</v>
      </c>
      <c r="G54" s="28">
        <f>IFERROR(__xludf.DUMMYFUNCTION("""COMPUTED_VALUE"""),0.02105324152417471)</f>
        <v>0.02105324152</v>
      </c>
      <c r="H54" s="29">
        <f>IFERROR(__xludf.DUMMYFUNCTION("""COMPUTED_VALUE"""),0.002824074099659732)</f>
        <v>0.0028240741</v>
      </c>
      <c r="I54" s="30">
        <f>IFERROR(__xludf.DUMMYFUNCTION("""COMPUTED_VALUE"""),5.0)</f>
        <v>5</v>
      </c>
      <c r="J54" s="29">
        <f>IFERROR(__xludf.DUMMYFUNCTION("""COMPUTED_VALUE"""),0.008564814854066797)</f>
        <v>0.008564814854</v>
      </c>
      <c r="K54" s="30">
        <f>IFERROR(__xludf.DUMMYFUNCTION("""COMPUTED_VALUE"""),99.0)</f>
        <v>99</v>
      </c>
      <c r="L54" s="29">
        <f>IFERROR(__xludf.DUMMYFUNCTION("""COMPUTED_VALUE"""),0.008263888873122745)</f>
        <v>0.008263888873</v>
      </c>
      <c r="M54" s="30">
        <f>IFERROR(__xludf.DUMMYFUNCTION("""COMPUTED_VALUE"""),55.0)</f>
        <v>55</v>
      </c>
      <c r="N54" s="29">
        <f>IFERROR(__xludf.DUMMYFUNCTION("""COMPUTED_VALUE"""),0.0014004636973254372)</f>
        <v>0.001400463697</v>
      </c>
      <c r="O54" s="30">
        <f>IFERROR(__xludf.DUMMYFUNCTION("""COMPUTED_VALUE"""),113.0)</f>
        <v>113</v>
      </c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15.75" customHeight="1">
      <c r="A55" s="15">
        <f>IFERROR(__xludf.DUMMYFUNCTION("""COMPUTED_VALUE"""),54.0)</f>
        <v>54</v>
      </c>
      <c r="B55" s="16" t="str">
        <f>IFERROR(__xludf.DUMMYFUNCTION("""COMPUTED_VALUE"""),"149")</f>
        <v>149</v>
      </c>
      <c r="C55" s="17" t="str">
        <f>IFERROR(__xludf.DUMMYFUNCTION("""COMPUTED_VALUE"""),"FAIVRE")</f>
        <v>FAIVRE</v>
      </c>
      <c r="D55" s="18" t="str">
        <f>IFERROR(__xludf.DUMMYFUNCTION("""COMPUTED_VALUE"""),"LIONEL")</f>
        <v>LIONEL</v>
      </c>
      <c r="E55" s="19" t="str">
        <f>IFERROR(__xludf.DUMMYFUNCTION("""COMPUTED_VALUE"""),"SH4")</f>
        <v>SH4</v>
      </c>
      <c r="F55" s="19">
        <f>IFERROR(__xludf.DUMMYFUNCTION("""COMPUTED_VALUE"""),15.0)</f>
        <v>15</v>
      </c>
      <c r="G55" s="20">
        <f>IFERROR(__xludf.DUMMYFUNCTION("""COMPUTED_VALUE"""),0.021087963742525112)</f>
        <v>0.02108796374</v>
      </c>
      <c r="H55" s="21">
        <f>IFERROR(__xludf.DUMMYFUNCTION("""COMPUTED_VALUE"""),0.003819444455330476)</f>
        <v>0.003819444455</v>
      </c>
      <c r="I55" s="22">
        <f>IFERROR(__xludf.DUMMYFUNCTION("""COMPUTED_VALUE"""),54.0)</f>
        <v>54</v>
      </c>
      <c r="J55" s="21">
        <f>IFERROR(__xludf.DUMMYFUNCTION("""COMPUTED_VALUE"""),0.007905092680849256)</f>
        <v>0.007905092681</v>
      </c>
      <c r="K55" s="22">
        <f>IFERROR(__xludf.DUMMYFUNCTION("""COMPUTED_VALUE"""),69.0)</f>
        <v>69</v>
      </c>
      <c r="L55" s="21">
        <f>IFERROR(__xludf.DUMMYFUNCTION("""COMPUTED_VALUE"""),0.008495370135621965)</f>
        <v>0.008495370136</v>
      </c>
      <c r="M55" s="22">
        <f>IFERROR(__xludf.DUMMYFUNCTION("""COMPUTED_VALUE"""),62.0)</f>
        <v>62</v>
      </c>
      <c r="N55" s="21">
        <f>IFERROR(__xludf.DUMMYFUNCTION("""COMPUTED_VALUE"""),8.680564707234145E-4)</f>
        <v>0.0008680564707</v>
      </c>
      <c r="O55" s="22">
        <f>IFERROR(__xludf.DUMMYFUNCTION("""COMPUTED_VALUE"""),47.0)</f>
        <v>47</v>
      </c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15.75" customHeight="1">
      <c r="A56" s="23">
        <f>IFERROR(__xludf.DUMMYFUNCTION("""COMPUTED_VALUE"""),55.0)</f>
        <v>55</v>
      </c>
      <c r="B56" s="24" t="str">
        <f>IFERROR(__xludf.DUMMYFUNCTION("""COMPUTED_VALUE"""),"81")</f>
        <v>81</v>
      </c>
      <c r="C56" s="25" t="str">
        <f>IFERROR(__xludf.DUMMYFUNCTION("""COMPUTED_VALUE"""),"ANSELMI")</f>
        <v>ANSELMI</v>
      </c>
      <c r="D56" s="26" t="str">
        <f>IFERROR(__xludf.DUMMYFUNCTION("""COMPUTED_VALUE"""),"AURELIEN")</f>
        <v>AURELIEN</v>
      </c>
      <c r="E56" s="27" t="str">
        <f>IFERROR(__xludf.DUMMYFUNCTION("""COMPUTED_VALUE"""),"MH1")</f>
        <v>MH1</v>
      </c>
      <c r="F56" s="27">
        <f>IFERROR(__xludf.DUMMYFUNCTION("""COMPUTED_VALUE"""),6.0)</f>
        <v>6</v>
      </c>
      <c r="G56" s="28">
        <f>IFERROR(__xludf.DUMMYFUNCTION("""COMPUTED_VALUE"""),0.021099537302999474)</f>
        <v>0.0210995373</v>
      </c>
      <c r="H56" s="29">
        <f>IFERROR(__xludf.DUMMYFUNCTION("""COMPUTED_VALUE"""),0.003912037049258412)</f>
        <v>0.003912037049</v>
      </c>
      <c r="I56" s="30">
        <f>IFERROR(__xludf.DUMMYFUNCTION("""COMPUTED_VALUE"""),60.0)</f>
        <v>60</v>
      </c>
      <c r="J56" s="29">
        <f>IFERROR(__xludf.DUMMYFUNCTION("""COMPUTED_VALUE"""),0.007997685211200263)</f>
        <v>0.007997685211</v>
      </c>
      <c r="K56" s="30">
        <f>IFERROR(__xludf.DUMMYFUNCTION("""COMPUTED_VALUE"""),74.0)</f>
        <v>74</v>
      </c>
      <c r="L56" s="29">
        <f>IFERROR(__xludf.DUMMYFUNCTION("""COMPUTED_VALUE"""),0.008287036941292392)</f>
        <v>0.008287036941</v>
      </c>
      <c r="M56" s="30">
        <f>IFERROR(__xludf.DUMMYFUNCTION("""COMPUTED_VALUE"""),56.0)</f>
        <v>56</v>
      </c>
      <c r="N56" s="29">
        <f>IFERROR(__xludf.DUMMYFUNCTION("""COMPUTED_VALUE"""),9.027781012484071E-4)</f>
        <v>0.0009027781012</v>
      </c>
      <c r="O56" s="30">
        <f>IFERROR(__xludf.DUMMYFUNCTION("""COMPUTED_VALUE"""),53.0)</f>
        <v>53</v>
      </c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15.75" customHeight="1">
      <c r="A57" s="15">
        <f>IFERROR(__xludf.DUMMYFUNCTION("""COMPUTED_VALUE"""),56.0)</f>
        <v>56</v>
      </c>
      <c r="B57" s="16" t="str">
        <f>IFERROR(__xludf.DUMMYFUNCTION("""COMPUTED_VALUE"""),"134")</f>
        <v>134</v>
      </c>
      <c r="C57" s="17" t="str">
        <f>IFERROR(__xludf.DUMMYFUNCTION("""COMPUTED_VALUE"""),"POUTOUT")</f>
        <v>POUTOUT</v>
      </c>
      <c r="D57" s="18" t="str">
        <f>IFERROR(__xludf.DUMMYFUNCTION("""COMPUTED_VALUE"""),"ROMAIN")</f>
        <v>ROMAIN</v>
      </c>
      <c r="E57" s="19" t="str">
        <f>IFERROR(__xludf.DUMMYFUNCTION("""COMPUTED_VALUE"""),"SH3")</f>
        <v>SH3</v>
      </c>
      <c r="F57" s="19">
        <f>IFERROR(__xludf.DUMMYFUNCTION("""COMPUTED_VALUE"""),16.0)</f>
        <v>16</v>
      </c>
      <c r="G57" s="20">
        <f>IFERROR(__xludf.DUMMYFUNCTION("""COMPUTED_VALUE"""),0.021099538069560244)</f>
        <v>0.02109953807</v>
      </c>
      <c r="H57" s="21">
        <f>IFERROR(__xludf.DUMMYFUNCTION("""COMPUTED_VALUE"""),0.00414351858282849)</f>
        <v>0.004143518583</v>
      </c>
      <c r="I57" s="22">
        <f>IFERROR(__xludf.DUMMYFUNCTION("""COMPUTED_VALUE"""),76.0)</f>
        <v>76</v>
      </c>
      <c r="J57" s="21">
        <f>IFERROR(__xludf.DUMMYFUNCTION("""COMPUTED_VALUE"""),0.007372685187764225)</f>
        <v>0.007372685188</v>
      </c>
      <c r="K57" s="22">
        <f>IFERROR(__xludf.DUMMYFUNCTION("""COMPUTED_VALUE"""),43.0)</f>
        <v>43</v>
      </c>
      <c r="L57" s="21">
        <f>IFERROR(__xludf.DUMMYFUNCTION("""COMPUTED_VALUE"""),0.008599538049162286)</f>
        <v>0.008599538049</v>
      </c>
      <c r="M57" s="22">
        <f>IFERROR(__xludf.DUMMYFUNCTION("""COMPUTED_VALUE"""),65.0)</f>
        <v>65</v>
      </c>
      <c r="N57" s="21">
        <f>IFERROR(__xludf.DUMMYFUNCTION("""COMPUTED_VALUE"""),9.837962498052437E-4)</f>
        <v>0.0009837962498</v>
      </c>
      <c r="O57" s="22">
        <f>IFERROR(__xludf.DUMMYFUNCTION("""COMPUTED_VALUE"""),66.0)</f>
        <v>66</v>
      </c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15.75" customHeight="1">
      <c r="A58" s="23">
        <f>IFERROR(__xludf.DUMMYFUNCTION("""COMPUTED_VALUE"""),57.0)</f>
        <v>57</v>
      </c>
      <c r="B58" s="24" t="str">
        <f>IFERROR(__xludf.DUMMYFUNCTION("""COMPUTED_VALUE"""),"101")</f>
        <v>101</v>
      </c>
      <c r="C58" s="25" t="str">
        <f>IFERROR(__xludf.DUMMYFUNCTION("""COMPUTED_VALUE"""),"BOUKHIBA")</f>
        <v>BOUKHIBA</v>
      </c>
      <c r="D58" s="26" t="str">
        <f>IFERROR(__xludf.DUMMYFUNCTION("""COMPUTED_VALUE"""),"YANNIS")</f>
        <v>YANNIS</v>
      </c>
      <c r="E58" s="27" t="str">
        <f>IFERROR(__xludf.DUMMYFUNCTION("""COMPUTED_VALUE"""),"SH3")</f>
        <v>SH3</v>
      </c>
      <c r="F58" s="27">
        <f>IFERROR(__xludf.DUMMYFUNCTION("""COMPUTED_VALUE"""),17.0)</f>
        <v>17</v>
      </c>
      <c r="G58" s="28">
        <f>IFERROR(__xludf.DUMMYFUNCTION("""COMPUTED_VALUE"""),0.021168981906123596)</f>
        <v>0.02116898191</v>
      </c>
      <c r="H58" s="29">
        <f>IFERROR(__xludf.DUMMYFUNCTION("""COMPUTED_VALUE"""),0.0034722223024677462)</f>
        <v>0.003472222302</v>
      </c>
      <c r="I58" s="30">
        <f>IFERROR(__xludf.DUMMYFUNCTION("""COMPUTED_VALUE"""),32.0)</f>
        <v>32</v>
      </c>
      <c r="J58" s="29">
        <f>IFERROR(__xludf.DUMMYFUNCTION("""COMPUTED_VALUE"""),0.007534722229990941)</f>
        <v>0.00753472223</v>
      </c>
      <c r="K58" s="30">
        <f>IFERROR(__xludf.DUMMYFUNCTION("""COMPUTED_VALUE"""),47.0)</f>
        <v>47</v>
      </c>
      <c r="L58" s="29">
        <f>IFERROR(__xludf.DUMMYFUNCTION("""COMPUTED_VALUE"""),0.00826388829342638)</f>
        <v>0.008263888293</v>
      </c>
      <c r="M58" s="30">
        <f>IFERROR(__xludf.DUMMYFUNCTION("""COMPUTED_VALUE"""),54.0)</f>
        <v>54</v>
      </c>
      <c r="N58" s="29">
        <f>IFERROR(__xludf.DUMMYFUNCTION("""COMPUTED_VALUE"""),0.0018981490802385298)</f>
        <v>0.00189814908</v>
      </c>
      <c r="O58" s="30">
        <f>IFERROR(__xludf.DUMMYFUNCTION("""COMPUTED_VALUE"""),147.0)</f>
        <v>147</v>
      </c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15.75" customHeight="1">
      <c r="A59" s="15">
        <f>IFERROR(__xludf.DUMMYFUNCTION("""COMPUTED_VALUE"""),58.0)</f>
        <v>58</v>
      </c>
      <c r="B59" s="16" t="str">
        <f>IFERROR(__xludf.DUMMYFUNCTION("""COMPUTED_VALUE"""),"126")</f>
        <v>126</v>
      </c>
      <c r="C59" s="17" t="str">
        <f>IFERROR(__xludf.DUMMYFUNCTION("""COMPUTED_VALUE"""),"MAZIERE")</f>
        <v>MAZIERE</v>
      </c>
      <c r="D59" s="18" t="str">
        <f>IFERROR(__xludf.DUMMYFUNCTION("""COMPUTED_VALUE"""),"CHRISTOPHE")</f>
        <v>CHRISTOPHE</v>
      </c>
      <c r="E59" s="19" t="str">
        <f>IFERROR(__xludf.DUMMYFUNCTION("""COMPUTED_VALUE"""),"MH2")</f>
        <v>MH2</v>
      </c>
      <c r="F59" s="19">
        <f>IFERROR(__xludf.DUMMYFUNCTION("""COMPUTED_VALUE"""),6.0)</f>
        <v>6</v>
      </c>
      <c r="G59" s="20">
        <f>IFERROR(__xludf.DUMMYFUNCTION("""COMPUTED_VALUE"""),0.021203704255504868)</f>
        <v>0.02120370426</v>
      </c>
      <c r="H59" s="21">
        <f>IFERROR(__xludf.DUMMYFUNCTION("""COMPUTED_VALUE"""),0.004363425985820657)</f>
        <v>0.004363425986</v>
      </c>
      <c r="I59" s="22">
        <f>IFERROR(__xludf.DUMMYFUNCTION("""COMPUTED_VALUE"""),90.0)</f>
        <v>90</v>
      </c>
      <c r="J59" s="21">
        <f>IFERROR(__xludf.DUMMYFUNCTION("""COMPUTED_VALUE"""),0.007928240850627542)</f>
        <v>0.007928240851</v>
      </c>
      <c r="K59" s="22">
        <f>IFERROR(__xludf.DUMMYFUNCTION("""COMPUTED_VALUE"""),72.0)</f>
        <v>72</v>
      </c>
      <c r="L59" s="21">
        <f>IFERROR(__xludf.DUMMYFUNCTION("""COMPUTED_VALUE"""),0.00799768563926872)</f>
        <v>0.007997685639</v>
      </c>
      <c r="M59" s="22">
        <f>IFERROR(__xludf.DUMMYFUNCTION("""COMPUTED_VALUE"""),46.0)</f>
        <v>46</v>
      </c>
      <c r="N59" s="21">
        <f>IFERROR(__xludf.DUMMYFUNCTION("""COMPUTED_VALUE"""),9.143517797879485E-4)</f>
        <v>0.0009143517798</v>
      </c>
      <c r="O59" s="22">
        <f>IFERROR(__xludf.DUMMYFUNCTION("""COMPUTED_VALUE"""),58.0)</f>
        <v>58</v>
      </c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5.75" customHeight="1">
      <c r="A60" s="23">
        <f>IFERROR(__xludf.DUMMYFUNCTION("""COMPUTED_VALUE"""),59.0)</f>
        <v>59</v>
      </c>
      <c r="B60" s="24" t="str">
        <f>IFERROR(__xludf.DUMMYFUNCTION("""COMPUTED_VALUE"""),"83")</f>
        <v>83</v>
      </c>
      <c r="C60" s="25" t="str">
        <f>IFERROR(__xludf.DUMMYFUNCTION("""COMPUTED_VALUE"""),"LE VAGUERES")</f>
        <v>LE VAGUERES</v>
      </c>
      <c r="D60" s="26" t="str">
        <f>IFERROR(__xludf.DUMMYFUNCTION("""COMPUTED_VALUE"""),"CHLOÉ")</f>
        <v>CHLOÉ</v>
      </c>
      <c r="E60" s="27" t="str">
        <f>IFERROR(__xludf.DUMMYFUNCTION("""COMPUTED_VALUE"""),"MF2")</f>
        <v>MF2</v>
      </c>
      <c r="F60" s="27">
        <f>IFERROR(__xludf.DUMMYFUNCTION("""COMPUTED_VALUE"""),1.0)</f>
        <v>1</v>
      </c>
      <c r="G60" s="28">
        <f>IFERROR(__xludf.DUMMYFUNCTION("""COMPUTED_VALUE"""),0.021215278317415456)</f>
        <v>0.02121527832</v>
      </c>
      <c r="H60" s="29">
        <f>IFERROR(__xludf.DUMMYFUNCTION("""COMPUTED_VALUE"""),0.003946759294533616)</f>
        <v>0.003946759295</v>
      </c>
      <c r="I60" s="30">
        <f>IFERROR(__xludf.DUMMYFUNCTION("""COMPUTED_VALUE"""),63.0)</f>
        <v>63</v>
      </c>
      <c r="J60" s="29">
        <f>IFERROR(__xludf.DUMMYFUNCTION("""COMPUTED_VALUE"""),0.008437500106124917)</f>
        <v>0.008437500106</v>
      </c>
      <c r="K60" s="30">
        <f>IFERROR(__xludf.DUMMYFUNCTION("""COMPUTED_VALUE"""),95.0)</f>
        <v>95</v>
      </c>
      <c r="L60" s="29">
        <f>IFERROR(__xludf.DUMMYFUNCTION("""COMPUTED_VALUE"""),0.007974537124837061)</f>
        <v>0.007974537125</v>
      </c>
      <c r="M60" s="30">
        <f>IFERROR(__xludf.DUMMYFUNCTION("""COMPUTED_VALUE"""),45.0)</f>
        <v>45</v>
      </c>
      <c r="N60" s="29">
        <f>IFERROR(__xludf.DUMMYFUNCTION("""COMPUTED_VALUE"""),8.564817919198622E-4)</f>
        <v>0.0008564817919</v>
      </c>
      <c r="O60" s="30">
        <f>IFERROR(__xludf.DUMMYFUNCTION("""COMPUTED_VALUE"""),45.0)</f>
        <v>45</v>
      </c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5.75" customHeight="1">
      <c r="A61" s="15">
        <f>IFERROR(__xludf.DUMMYFUNCTION("""COMPUTED_VALUE"""),60.0)</f>
        <v>60</v>
      </c>
      <c r="B61" s="16" t="str">
        <f>IFERROR(__xludf.DUMMYFUNCTION("""COMPUTED_VALUE"""),"226")</f>
        <v>226</v>
      </c>
      <c r="C61" s="17" t="str">
        <f>IFERROR(__xludf.DUMMYFUNCTION("""COMPUTED_VALUE"""),"VIGY")</f>
        <v>VIGY</v>
      </c>
      <c r="D61" s="18" t="str">
        <f>IFERROR(__xludf.DUMMYFUNCTION("""COMPUTED_VALUE"""),"MARIE")</f>
        <v>MARIE</v>
      </c>
      <c r="E61" s="19" t="str">
        <f>IFERROR(__xludf.DUMMYFUNCTION("""COMPUTED_VALUE"""),"SF3")</f>
        <v>SF3</v>
      </c>
      <c r="F61" s="19">
        <f>IFERROR(__xludf.DUMMYFUNCTION("""COMPUTED_VALUE"""),1.0)</f>
        <v>1</v>
      </c>
      <c r="G61" s="20">
        <f>IFERROR(__xludf.DUMMYFUNCTION("""COMPUTED_VALUE"""),0.021388890044445504)</f>
        <v>0.02138889004</v>
      </c>
      <c r="H61" s="21">
        <f>IFERROR(__xludf.DUMMYFUNCTION("""COMPUTED_VALUE"""),0.0038194445476394247)</f>
        <v>0.003819444548</v>
      </c>
      <c r="I61" s="22">
        <f>IFERROR(__xludf.DUMMYFUNCTION("""COMPUTED_VALUE"""),55.0)</f>
        <v>55</v>
      </c>
      <c r="J61" s="21">
        <f>IFERROR(__xludf.DUMMYFUNCTION("""COMPUTED_VALUE"""),0.008020833421309107)</f>
        <v>0.008020833421</v>
      </c>
      <c r="K61" s="22">
        <f>IFERROR(__xludf.DUMMYFUNCTION("""COMPUTED_VALUE"""),75.0)</f>
        <v>75</v>
      </c>
      <c r="L61" s="21">
        <f>IFERROR(__xludf.DUMMYFUNCTION("""COMPUTED_VALUE"""),0.008611111990189338)</f>
        <v>0.00861111199</v>
      </c>
      <c r="M61" s="22">
        <f>IFERROR(__xludf.DUMMYFUNCTION("""COMPUTED_VALUE"""),66.0)</f>
        <v>66</v>
      </c>
      <c r="N61" s="21">
        <f>IFERROR(__xludf.DUMMYFUNCTION("""COMPUTED_VALUE"""),9.375000853076338E-4)</f>
        <v>0.0009375000853</v>
      </c>
      <c r="O61" s="22">
        <f>IFERROR(__xludf.DUMMYFUNCTION("""COMPUTED_VALUE"""),60.0)</f>
        <v>60</v>
      </c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15.75" customHeight="1">
      <c r="A62" s="23">
        <f>IFERROR(__xludf.DUMMYFUNCTION("""COMPUTED_VALUE"""),61.0)</f>
        <v>61</v>
      </c>
      <c r="B62" s="24" t="str">
        <f>IFERROR(__xludf.DUMMYFUNCTION("""COMPUTED_VALUE"""),"91")</f>
        <v>91</v>
      </c>
      <c r="C62" s="25" t="str">
        <f>IFERROR(__xludf.DUMMYFUNCTION("""COMPUTED_VALUE"""),"CHATENET")</f>
        <v>CHATENET</v>
      </c>
      <c r="D62" s="26" t="str">
        <f>IFERROR(__xludf.DUMMYFUNCTION("""COMPUTED_VALUE"""),"BENJAMIN")</f>
        <v>BENJAMIN</v>
      </c>
      <c r="E62" s="27" t="str">
        <f>IFERROR(__xludf.DUMMYFUNCTION("""COMPUTED_VALUE"""),"SH4")</f>
        <v>SH4</v>
      </c>
      <c r="F62" s="27">
        <f>IFERROR(__xludf.DUMMYFUNCTION("""COMPUTED_VALUE"""),16.0)</f>
        <v>16</v>
      </c>
      <c r="G62" s="28">
        <f>IFERROR(__xludf.DUMMYFUNCTION("""COMPUTED_VALUE"""),0.02156250026841064)</f>
        <v>0.02156250027</v>
      </c>
      <c r="H62" s="29">
        <f>IFERROR(__xludf.DUMMYFUNCTION("""COMPUTED_VALUE"""),0.0044328704301627294)</f>
        <v>0.00443287043</v>
      </c>
      <c r="I62" s="30">
        <f>IFERROR(__xludf.DUMMYFUNCTION("""COMPUTED_VALUE"""),94.0)</f>
        <v>94</v>
      </c>
      <c r="J62" s="29">
        <f>IFERROR(__xludf.DUMMYFUNCTION("""COMPUTED_VALUE"""),0.006851851904946369)</f>
        <v>0.006851851905</v>
      </c>
      <c r="K62" s="30">
        <f>IFERROR(__xludf.DUMMYFUNCTION("""COMPUTED_VALUE"""),8.0)</f>
        <v>8</v>
      </c>
      <c r="L62" s="29">
        <f>IFERROR(__xludf.DUMMYFUNCTION("""COMPUTED_VALUE"""),0.009618054896622033)</f>
        <v>0.009618054897</v>
      </c>
      <c r="M62" s="30">
        <f>IFERROR(__xludf.DUMMYFUNCTION("""COMPUTED_VALUE"""),96.0)</f>
        <v>96</v>
      </c>
      <c r="N62" s="29">
        <f>IFERROR(__xludf.DUMMYFUNCTION("""COMPUTED_VALUE"""),6.597230366795085E-4)</f>
        <v>0.0006597230367</v>
      </c>
      <c r="O62" s="30">
        <f>IFERROR(__xludf.DUMMYFUNCTION("""COMPUTED_VALUE"""),24.0)</f>
        <v>24</v>
      </c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5.75" customHeight="1">
      <c r="A63" s="15">
        <f>IFERROR(__xludf.DUMMYFUNCTION("""COMPUTED_VALUE"""),62.0)</f>
        <v>62</v>
      </c>
      <c r="B63" s="16" t="str">
        <f>IFERROR(__xludf.DUMMYFUNCTION("""COMPUTED_VALUE"""),"161")</f>
        <v>161</v>
      </c>
      <c r="C63" s="17" t="str">
        <f>IFERROR(__xludf.DUMMYFUNCTION("""COMPUTED_VALUE"""),"ALORY")</f>
        <v>ALORY</v>
      </c>
      <c r="D63" s="18" t="str">
        <f>IFERROR(__xludf.DUMMYFUNCTION("""COMPUTED_VALUE"""),"JONATHAN")</f>
        <v>JONATHAN</v>
      </c>
      <c r="E63" s="19" t="str">
        <f>IFERROR(__xludf.DUMMYFUNCTION("""COMPUTED_VALUE"""),"SH4")</f>
        <v>SH4</v>
      </c>
      <c r="F63" s="19">
        <f>IFERROR(__xludf.DUMMYFUNCTION("""COMPUTED_VALUE"""),17.0)</f>
        <v>17</v>
      </c>
      <c r="G63" s="20">
        <f>IFERROR(__xludf.DUMMYFUNCTION("""COMPUTED_VALUE"""),0.02156250086148316)</f>
        <v>0.02156250086</v>
      </c>
      <c r="H63" s="21">
        <f>IFERROR(__xludf.DUMMYFUNCTION("""COMPUTED_VALUE"""),0.004212963013397811)</f>
        <v>0.004212963013</v>
      </c>
      <c r="I63" s="22">
        <f>IFERROR(__xludf.DUMMYFUNCTION("""COMPUTED_VALUE"""),79.0)</f>
        <v>79</v>
      </c>
      <c r="J63" s="21">
        <f>IFERROR(__xludf.DUMMYFUNCTION("""COMPUTED_VALUE"""),0.00783564815519252)</f>
        <v>0.007835648155</v>
      </c>
      <c r="K63" s="22">
        <f>IFERROR(__xludf.DUMMYFUNCTION("""COMPUTED_VALUE"""),64.0)</f>
        <v>64</v>
      </c>
      <c r="L63" s="21">
        <f>IFERROR(__xludf.DUMMYFUNCTION("""COMPUTED_VALUE"""),0.00834490822934924)</f>
        <v>0.008344908229</v>
      </c>
      <c r="M63" s="22">
        <f>IFERROR(__xludf.DUMMYFUNCTION("""COMPUTED_VALUE"""),59.0)</f>
        <v>59</v>
      </c>
      <c r="N63" s="21">
        <f>IFERROR(__xludf.DUMMYFUNCTION("""COMPUTED_VALUE"""),0.0011689814635435902)</f>
        <v>0.001168981464</v>
      </c>
      <c r="O63" s="22">
        <f>IFERROR(__xludf.DUMMYFUNCTION("""COMPUTED_VALUE"""),85.0)</f>
        <v>85</v>
      </c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15.75" customHeight="1">
      <c r="A64" s="23">
        <f>IFERROR(__xludf.DUMMYFUNCTION("""COMPUTED_VALUE"""),63.0)</f>
        <v>63</v>
      </c>
      <c r="B64" s="24" t="str">
        <f>IFERROR(__xludf.DUMMYFUNCTION("""COMPUTED_VALUE"""),"122")</f>
        <v>122</v>
      </c>
      <c r="C64" s="25" t="str">
        <f>IFERROR(__xludf.DUMMYFUNCTION("""COMPUTED_VALUE"""),"PERETTI")</f>
        <v>PERETTI</v>
      </c>
      <c r="D64" s="26" t="str">
        <f>IFERROR(__xludf.DUMMYFUNCTION("""COMPUTED_VALUE"""),"MAXIME")</f>
        <v>MAXIME</v>
      </c>
      <c r="E64" s="27" t="str">
        <f>IFERROR(__xludf.DUMMYFUNCTION("""COMPUTED_VALUE"""),"MH1")</f>
        <v>MH1</v>
      </c>
      <c r="F64" s="27">
        <f>IFERROR(__xludf.DUMMYFUNCTION("""COMPUTED_VALUE"""),7.0)</f>
        <v>7</v>
      </c>
      <c r="G64" s="28">
        <f>IFERROR(__xludf.DUMMYFUNCTION("""COMPUTED_VALUE"""),0.021585649224822034)</f>
        <v>0.02158564922</v>
      </c>
      <c r="H64" s="29">
        <f>IFERROR(__xludf.DUMMYFUNCTION("""COMPUTED_VALUE"""),0.004143518587560433)</f>
        <v>0.004143518588</v>
      </c>
      <c r="I64" s="30">
        <f>IFERROR(__xludf.DUMMYFUNCTION("""COMPUTED_VALUE"""),77.0)</f>
        <v>77</v>
      </c>
      <c r="J64" s="29">
        <f>IFERROR(__xludf.DUMMYFUNCTION("""COMPUTED_VALUE"""),0.008090277839638716)</f>
        <v>0.00809027784</v>
      </c>
      <c r="K64" s="30">
        <f>IFERROR(__xludf.DUMMYFUNCTION("""COMPUTED_VALUE"""),79.0)</f>
        <v>79</v>
      </c>
      <c r="L64" s="29">
        <f>IFERROR(__xludf.DUMMYFUNCTION("""COMPUTED_VALUE"""),0.007800925952901017)</f>
        <v>0.007800925953</v>
      </c>
      <c r="M64" s="30">
        <f>IFERROR(__xludf.DUMMYFUNCTION("""COMPUTED_VALUE"""),33.0)</f>
        <v>33</v>
      </c>
      <c r="N64" s="29">
        <f>IFERROR(__xludf.DUMMYFUNCTION("""COMPUTED_VALUE"""),0.0015509268447218682)</f>
        <v>0.001550926845</v>
      </c>
      <c r="O64" s="30">
        <f>IFERROR(__xludf.DUMMYFUNCTION("""COMPUTED_VALUE"""),127.0)</f>
        <v>127</v>
      </c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15.75" customHeight="1">
      <c r="A65" s="15">
        <f>IFERROR(__xludf.DUMMYFUNCTION("""COMPUTED_VALUE"""),64.0)</f>
        <v>64</v>
      </c>
      <c r="B65" s="16" t="str">
        <f>IFERROR(__xludf.DUMMYFUNCTION("""COMPUTED_VALUE"""),"93")</f>
        <v>93</v>
      </c>
      <c r="C65" s="17" t="str">
        <f>IFERROR(__xludf.DUMMYFUNCTION("""COMPUTED_VALUE"""),"CHARMAIL")</f>
        <v>CHARMAIL</v>
      </c>
      <c r="D65" s="18" t="str">
        <f>IFERROR(__xludf.DUMMYFUNCTION("""COMPUTED_VALUE"""),"NICOLAS")</f>
        <v>NICOLAS</v>
      </c>
      <c r="E65" s="19" t="str">
        <f>IFERROR(__xludf.DUMMYFUNCTION("""COMPUTED_VALUE"""),"MH2")</f>
        <v>MH2</v>
      </c>
      <c r="F65" s="19">
        <f>IFERROR(__xludf.DUMMYFUNCTION("""COMPUTED_VALUE"""),7.0)</f>
        <v>7</v>
      </c>
      <c r="G65" s="20">
        <f>IFERROR(__xludf.DUMMYFUNCTION("""COMPUTED_VALUE"""),0.021631945457623057)</f>
        <v>0.02163194546</v>
      </c>
      <c r="H65" s="21">
        <f>IFERROR(__xludf.DUMMYFUNCTION("""COMPUTED_VALUE"""),0.0036574074626364397)</f>
        <v>0.003657407463</v>
      </c>
      <c r="I65" s="22">
        <f>IFERROR(__xludf.DUMMYFUNCTION("""COMPUTED_VALUE"""),42.0)</f>
        <v>42</v>
      </c>
      <c r="J65" s="21">
        <f>IFERROR(__xludf.DUMMYFUNCTION("""COMPUTED_VALUE"""),0.007893518533823526)</f>
        <v>0.007893518534</v>
      </c>
      <c r="K65" s="22">
        <f>IFERROR(__xludf.DUMMYFUNCTION("""COMPUTED_VALUE"""),68.0)</f>
        <v>68</v>
      </c>
      <c r="L65" s="21">
        <f>IFERROR(__xludf.DUMMYFUNCTION("""COMPUTED_VALUE"""),0.009143518837772532)</f>
        <v>0.009143518838</v>
      </c>
      <c r="M65" s="22">
        <f>IFERROR(__xludf.DUMMYFUNCTION("""COMPUTED_VALUE"""),85.0)</f>
        <v>85</v>
      </c>
      <c r="N65" s="21">
        <f>IFERROR(__xludf.DUMMYFUNCTION("""COMPUTED_VALUE"""),9.375006233905601E-4)</f>
        <v>0.0009375006234</v>
      </c>
      <c r="O65" s="22">
        <f>IFERROR(__xludf.DUMMYFUNCTION("""COMPUTED_VALUE"""),61.0)</f>
        <v>61</v>
      </c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15.75" customHeight="1">
      <c r="A66" s="23">
        <f>IFERROR(__xludf.DUMMYFUNCTION("""COMPUTED_VALUE"""),65.0)</f>
        <v>65</v>
      </c>
      <c r="B66" s="24" t="str">
        <f>IFERROR(__xludf.DUMMYFUNCTION("""COMPUTED_VALUE"""),"225")</f>
        <v>225</v>
      </c>
      <c r="C66" s="25" t="str">
        <f>IFERROR(__xludf.DUMMYFUNCTION("""COMPUTED_VALUE"""),"AZADIAN")</f>
        <v>AZADIAN</v>
      </c>
      <c r="D66" s="26" t="str">
        <f>IFERROR(__xludf.DUMMYFUNCTION("""COMPUTED_VALUE"""),"PHILIPPINE")</f>
        <v>PHILIPPINE</v>
      </c>
      <c r="E66" s="27" t="str">
        <f>IFERROR(__xludf.DUMMYFUNCTION("""COMPUTED_VALUE"""),"SF3")</f>
        <v>SF3</v>
      </c>
      <c r="F66" s="27">
        <f>IFERROR(__xludf.DUMMYFUNCTION("""COMPUTED_VALUE"""),2.0)</f>
        <v>2</v>
      </c>
      <c r="G66" s="28">
        <f>IFERROR(__xludf.DUMMYFUNCTION("""COMPUTED_VALUE"""),0.02168981581563717)</f>
        <v>0.02168981582</v>
      </c>
      <c r="H66" s="29">
        <f>IFERROR(__xludf.DUMMYFUNCTION("""COMPUTED_VALUE"""),0.0037268518850766606)</f>
        <v>0.003726851885</v>
      </c>
      <c r="I66" s="30">
        <f>IFERROR(__xludf.DUMMYFUNCTION("""COMPUTED_VALUE"""),47.0)</f>
        <v>47</v>
      </c>
      <c r="J66" s="29">
        <f>IFERROR(__xludf.DUMMYFUNCTION("""COMPUTED_VALUE"""),0.00846064816159517)</f>
        <v>0.008460648162</v>
      </c>
      <c r="K66" s="30">
        <f>IFERROR(__xludf.DUMMYFUNCTION("""COMPUTED_VALUE"""),96.0)</f>
        <v>96</v>
      </c>
      <c r="L66" s="29">
        <f>IFERROR(__xludf.DUMMYFUNCTION("""COMPUTED_VALUE"""),0.008877315384003697)</f>
        <v>0.008877315384</v>
      </c>
      <c r="M66" s="30">
        <f>IFERROR(__xludf.DUMMYFUNCTION("""COMPUTED_VALUE"""),77.0)</f>
        <v>77</v>
      </c>
      <c r="N66" s="29">
        <f>IFERROR(__xludf.DUMMYFUNCTION("""COMPUTED_VALUE"""),6.250003849616417E-4)</f>
        <v>0.000625000385</v>
      </c>
      <c r="O66" s="30">
        <f>IFERROR(__xludf.DUMMYFUNCTION("""COMPUTED_VALUE"""),18.0)</f>
        <v>18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5.75" customHeight="1">
      <c r="A67" s="15">
        <f>IFERROR(__xludf.DUMMYFUNCTION("""COMPUTED_VALUE"""),66.0)</f>
        <v>66</v>
      </c>
      <c r="B67" s="16" t="str">
        <f>IFERROR(__xludf.DUMMYFUNCTION("""COMPUTED_VALUE"""),"159")</f>
        <v>159</v>
      </c>
      <c r="C67" s="17" t="str">
        <f>IFERROR(__xludf.DUMMYFUNCTION("""COMPUTED_VALUE"""),"PRADIER")</f>
        <v>PRADIER</v>
      </c>
      <c r="D67" s="18" t="str">
        <f>IFERROR(__xludf.DUMMYFUNCTION("""COMPUTED_VALUE"""),"VINCENT")</f>
        <v>VINCENT</v>
      </c>
      <c r="E67" s="19" t="str">
        <f>IFERROR(__xludf.DUMMYFUNCTION("""COMPUTED_VALUE"""),"SH4")</f>
        <v>SH4</v>
      </c>
      <c r="F67" s="19">
        <f>IFERROR(__xludf.DUMMYFUNCTION("""COMPUTED_VALUE"""),18.0)</f>
        <v>18</v>
      </c>
      <c r="G67" s="20">
        <f>IFERROR(__xludf.DUMMYFUNCTION("""COMPUTED_VALUE"""),0.022013888972676005)</f>
        <v>0.02201388897</v>
      </c>
      <c r="H67" s="21">
        <f>IFERROR(__xludf.DUMMYFUNCTION("""COMPUTED_VALUE"""),0.0037384260062550026)</f>
        <v>0.003738426006</v>
      </c>
      <c r="I67" s="22">
        <f>IFERROR(__xludf.DUMMYFUNCTION("""COMPUTED_VALUE"""),48.0)</f>
        <v>48</v>
      </c>
      <c r="J67" s="21">
        <f>IFERROR(__xludf.DUMMYFUNCTION("""COMPUTED_VALUE"""),0.007685185186063136)</f>
        <v>0.007685185186</v>
      </c>
      <c r="K67" s="22">
        <f>IFERROR(__xludf.DUMMYFUNCTION("""COMPUTED_VALUE"""),56.0)</f>
        <v>56</v>
      </c>
      <c r="L67" s="21">
        <f>IFERROR(__xludf.DUMMYFUNCTION("""COMPUTED_VALUE"""),0.009571759097722864)</f>
        <v>0.009571759098</v>
      </c>
      <c r="M67" s="22">
        <f>IFERROR(__xludf.DUMMYFUNCTION("""COMPUTED_VALUE"""),94.0)</f>
        <v>94</v>
      </c>
      <c r="N67" s="21">
        <f>IFERROR(__xludf.DUMMYFUNCTION("""COMPUTED_VALUE"""),0.0010185186826350023)</f>
        <v>0.001018518683</v>
      </c>
      <c r="O67" s="22">
        <f>IFERROR(__xludf.DUMMYFUNCTION("""COMPUTED_VALUE"""),69.0)</f>
        <v>69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5.75" customHeight="1">
      <c r="A68" s="23">
        <f>IFERROR(__xludf.DUMMYFUNCTION("""COMPUTED_VALUE"""),67.0)</f>
        <v>67</v>
      </c>
      <c r="B68" s="24" t="str">
        <f>IFERROR(__xludf.DUMMYFUNCTION("""COMPUTED_VALUE"""),"96")</f>
        <v>96</v>
      </c>
      <c r="C68" s="25" t="str">
        <f>IFERROR(__xludf.DUMMYFUNCTION("""COMPUTED_VALUE"""),"MEMLOUK")</f>
        <v>MEMLOUK</v>
      </c>
      <c r="D68" s="26" t="str">
        <f>IFERROR(__xludf.DUMMYFUNCTION("""COMPUTED_VALUE"""),"EDEN")</f>
        <v>EDEN</v>
      </c>
      <c r="E68" s="27" t="str">
        <f>IFERROR(__xludf.DUMMYFUNCTION("""COMPUTED_VALUE"""),"SF2")</f>
        <v>SF2</v>
      </c>
      <c r="F68" s="27">
        <f>IFERROR(__xludf.DUMMYFUNCTION("""COMPUTED_VALUE"""),1.0)</f>
        <v>1</v>
      </c>
      <c r="G68" s="28">
        <f>IFERROR(__xludf.DUMMYFUNCTION("""COMPUTED_VALUE"""),0.02201388960685123)</f>
        <v>0.02201388961</v>
      </c>
      <c r="H68" s="29">
        <f>IFERROR(__xludf.DUMMYFUNCTION("""COMPUTED_VALUE"""),0.004571759345703019)</f>
        <v>0.004571759346</v>
      </c>
      <c r="I68" s="30">
        <f>IFERROR(__xludf.DUMMYFUNCTION("""COMPUTED_VALUE"""),105.0)</f>
        <v>105</v>
      </c>
      <c r="J68" s="29">
        <f>IFERROR(__xludf.DUMMYFUNCTION("""COMPUTED_VALUE"""),0.008217592633391292)</f>
        <v>0.008217592633</v>
      </c>
      <c r="K68" s="30">
        <f>IFERROR(__xludf.DUMMYFUNCTION("""COMPUTED_VALUE"""),86.0)</f>
        <v>86</v>
      </c>
      <c r="L68" s="29">
        <f>IFERROR(__xludf.DUMMYFUNCTION("""COMPUTED_VALUE"""),0.007638889024891928)</f>
        <v>0.007638889025</v>
      </c>
      <c r="M68" s="30">
        <f>IFERROR(__xludf.DUMMYFUNCTION("""COMPUTED_VALUE"""),27.0)</f>
        <v>27</v>
      </c>
      <c r="N68" s="29">
        <f>IFERROR(__xludf.DUMMYFUNCTION("""COMPUTED_VALUE"""),0.0015856486028649917)</f>
        <v>0.001585648603</v>
      </c>
      <c r="O68" s="30">
        <f>IFERROR(__xludf.DUMMYFUNCTION("""COMPUTED_VALUE"""),131.0)</f>
        <v>131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5.75" customHeight="1">
      <c r="A69" s="15">
        <f>IFERROR(__xludf.DUMMYFUNCTION("""COMPUTED_VALUE"""),68.0)</f>
        <v>68</v>
      </c>
      <c r="B69" s="16" t="str">
        <f>IFERROR(__xludf.DUMMYFUNCTION("""COMPUTED_VALUE"""),"198")</f>
        <v>198</v>
      </c>
      <c r="C69" s="17" t="str">
        <f>IFERROR(__xludf.DUMMYFUNCTION("""COMPUTED_VALUE"""),"AURÉLIE")</f>
        <v>AURÉLIE</v>
      </c>
      <c r="D69" s="18" t="str">
        <f>IFERROR(__xludf.DUMMYFUNCTION("""COMPUTED_VALUE"""),"MICHELON")</f>
        <v>MICHELON</v>
      </c>
      <c r="E69" s="19" t="str">
        <f>IFERROR(__xludf.DUMMYFUNCTION("""COMPUTED_VALUE"""),"MF2")</f>
        <v>MF2</v>
      </c>
      <c r="F69" s="19">
        <f>IFERROR(__xludf.DUMMYFUNCTION("""COMPUTED_VALUE"""),2.0)</f>
        <v>2</v>
      </c>
      <c r="G69" s="20">
        <f>IFERROR(__xludf.DUMMYFUNCTION("""COMPUTED_VALUE"""),0.022013889823350796)</f>
        <v>0.02201388982</v>
      </c>
      <c r="H69" s="21">
        <f>IFERROR(__xludf.DUMMYFUNCTION("""COMPUTED_VALUE"""),0.0035648148899811976)</f>
        <v>0.00356481489</v>
      </c>
      <c r="I69" s="22">
        <f>IFERROR(__xludf.DUMMYFUNCTION("""COMPUTED_VALUE"""),35.0)</f>
        <v>35</v>
      </c>
      <c r="J69" s="21">
        <f>IFERROR(__xludf.DUMMYFUNCTION("""COMPUTED_VALUE"""),0.00846064822026232)</f>
        <v>0.00846064822</v>
      </c>
      <c r="K69" s="22">
        <f>IFERROR(__xludf.DUMMYFUNCTION("""COMPUTED_VALUE"""),97.0)</f>
        <v>97</v>
      </c>
      <c r="L69" s="21">
        <f>IFERROR(__xludf.DUMMYFUNCTION("""COMPUTED_VALUE"""),0.00901620415140611)</f>
        <v>0.009016204151</v>
      </c>
      <c r="M69" s="22">
        <f>IFERROR(__xludf.DUMMYFUNCTION("""COMPUTED_VALUE"""),78.0)</f>
        <v>78</v>
      </c>
      <c r="N69" s="21">
        <f>IFERROR(__xludf.DUMMYFUNCTION("""COMPUTED_VALUE"""),9.722225617011682E-4)</f>
        <v>0.0009722225617</v>
      </c>
      <c r="O69" s="22">
        <f>IFERROR(__xludf.DUMMYFUNCTION("""COMPUTED_VALUE"""),64.0)</f>
        <v>64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15.75" customHeight="1">
      <c r="A70" s="23">
        <f>IFERROR(__xludf.DUMMYFUNCTION("""COMPUTED_VALUE"""),69.0)</f>
        <v>69</v>
      </c>
      <c r="B70" s="24" t="str">
        <f>IFERROR(__xludf.DUMMYFUNCTION("""COMPUTED_VALUE"""),"213")</f>
        <v>213</v>
      </c>
      <c r="C70" s="25" t="str">
        <f>IFERROR(__xludf.DUMMYFUNCTION("""COMPUTED_VALUE"""),"MILLOT")</f>
        <v>MILLOT</v>
      </c>
      <c r="D70" s="26" t="str">
        <f>IFERROR(__xludf.DUMMYFUNCTION("""COMPUTED_VALUE"""),"ADELINE")</f>
        <v>ADELINE</v>
      </c>
      <c r="E70" s="27" t="str">
        <f>IFERROR(__xludf.DUMMYFUNCTION("""COMPUTED_VALUE"""),"MF1")</f>
        <v>MF1</v>
      </c>
      <c r="F70" s="27">
        <f>IFERROR(__xludf.DUMMYFUNCTION("""COMPUTED_VALUE"""),1.0)</f>
        <v>1</v>
      </c>
      <c r="G70" s="28">
        <f>IFERROR(__xludf.DUMMYFUNCTION("""COMPUTED_VALUE"""),0.022013889844180946)</f>
        <v>0.02201388984</v>
      </c>
      <c r="H70" s="29">
        <f>IFERROR(__xludf.DUMMYFUNCTION("""COMPUTED_VALUE"""),0.0030092593239090903)</f>
        <v>0.003009259324</v>
      </c>
      <c r="I70" s="30">
        <f>IFERROR(__xludf.DUMMYFUNCTION("""COMPUTED_VALUE"""),12.0)</f>
        <v>12</v>
      </c>
      <c r="J70" s="29">
        <f>IFERROR(__xludf.DUMMYFUNCTION("""COMPUTED_VALUE"""),0.008067129667731902)</f>
        <v>0.008067129668</v>
      </c>
      <c r="K70" s="30">
        <f>IFERROR(__xludf.DUMMYFUNCTION("""COMPUTED_VALUE"""),77.0)</f>
        <v>77</v>
      </c>
      <c r="L70" s="29">
        <f>IFERROR(__xludf.DUMMYFUNCTION("""COMPUTED_VALUE"""),0.010266203839905093)</f>
        <v>0.01026620384</v>
      </c>
      <c r="M70" s="30">
        <f>IFERROR(__xludf.DUMMYFUNCTION("""COMPUTED_VALUE"""),118.0)</f>
        <v>118</v>
      </c>
      <c r="N70" s="29">
        <f>IFERROR(__xludf.DUMMYFUNCTION("""COMPUTED_VALUE"""),6.712970126348601E-4)</f>
        <v>0.0006712970126</v>
      </c>
      <c r="O70" s="30">
        <f>IFERROR(__xludf.DUMMYFUNCTION("""COMPUTED_VALUE"""),27.0)</f>
        <v>27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15.75" customHeight="1">
      <c r="A71" s="15">
        <f>IFERROR(__xludf.DUMMYFUNCTION("""COMPUTED_VALUE"""),70.0)</f>
        <v>70</v>
      </c>
      <c r="B71" s="16" t="str">
        <f>IFERROR(__xludf.DUMMYFUNCTION("""COMPUTED_VALUE"""),"143")</f>
        <v>143</v>
      </c>
      <c r="C71" s="17" t="str">
        <f>IFERROR(__xludf.DUMMYFUNCTION("""COMPUTED_VALUE"""),"RONCERAY")</f>
        <v>RONCERAY</v>
      </c>
      <c r="D71" s="18" t="str">
        <f>IFERROR(__xludf.DUMMYFUNCTION("""COMPUTED_VALUE"""),"JEAN-RENÉ")</f>
        <v>JEAN-RENÉ</v>
      </c>
      <c r="E71" s="19" t="str">
        <f>IFERROR(__xludf.DUMMYFUNCTION("""COMPUTED_VALUE"""),"MH3")</f>
        <v>MH3</v>
      </c>
      <c r="F71" s="19">
        <f>IFERROR(__xludf.DUMMYFUNCTION("""COMPUTED_VALUE"""),5.0)</f>
        <v>5</v>
      </c>
      <c r="G71" s="20">
        <f>IFERROR(__xludf.DUMMYFUNCTION("""COMPUTED_VALUE"""),0.022025463639068623)</f>
        <v>0.02202546364</v>
      </c>
      <c r="H71" s="21">
        <f>IFERROR(__xludf.DUMMYFUNCTION("""COMPUTED_VALUE"""),0.004131944458021272)</f>
        <v>0.004131944458</v>
      </c>
      <c r="I71" s="22">
        <f>IFERROR(__xludf.DUMMYFUNCTION("""COMPUTED_VALUE"""),75.0)</f>
        <v>75</v>
      </c>
      <c r="J71" s="21">
        <f>IFERROR(__xludf.DUMMYFUNCTION("""COMPUTED_VALUE"""),0.007974537114138461)</f>
        <v>0.007974537114</v>
      </c>
      <c r="K71" s="22">
        <f>IFERROR(__xludf.DUMMYFUNCTION("""COMPUTED_VALUE"""),73.0)</f>
        <v>73</v>
      </c>
      <c r="L71" s="21">
        <f>IFERROR(__xludf.DUMMYFUNCTION("""COMPUTED_VALUE"""),0.0087152784011626)</f>
        <v>0.008715278401</v>
      </c>
      <c r="M71" s="22">
        <f>IFERROR(__xludf.DUMMYFUNCTION("""COMPUTED_VALUE"""),73.0)</f>
        <v>73</v>
      </c>
      <c r="N71" s="21">
        <f>IFERROR(__xludf.DUMMYFUNCTION("""COMPUTED_VALUE"""),0.00120370366574629)</f>
        <v>0.001203703666</v>
      </c>
      <c r="O71" s="22">
        <f>IFERROR(__xludf.DUMMYFUNCTION("""COMPUTED_VALUE"""),92.0)</f>
        <v>92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15.75" customHeight="1">
      <c r="A72" s="23">
        <f>IFERROR(__xludf.DUMMYFUNCTION("""COMPUTED_VALUE"""),71.0)</f>
        <v>71</v>
      </c>
      <c r="B72" s="24" t="str">
        <f>IFERROR(__xludf.DUMMYFUNCTION("""COMPUTED_VALUE"""),"177")</f>
        <v>177</v>
      </c>
      <c r="C72" s="25" t="str">
        <f>IFERROR(__xludf.DUMMYFUNCTION("""COMPUTED_VALUE"""),"THIERRY")</f>
        <v>THIERRY</v>
      </c>
      <c r="D72" s="26" t="str">
        <f>IFERROR(__xludf.DUMMYFUNCTION("""COMPUTED_VALUE"""),"GABRIEL")</f>
        <v>GABRIEL</v>
      </c>
      <c r="E72" s="27" t="str">
        <f>IFERROR(__xludf.DUMMYFUNCTION("""COMPUTED_VALUE"""),"MH1")</f>
        <v>MH1</v>
      </c>
      <c r="F72" s="27">
        <f>IFERROR(__xludf.DUMMYFUNCTION("""COMPUTED_VALUE"""),8.0)</f>
        <v>8</v>
      </c>
      <c r="G72" s="28">
        <f>IFERROR(__xludf.DUMMYFUNCTION("""COMPUTED_VALUE"""),0.022175926299625937)</f>
        <v>0.0221759263</v>
      </c>
      <c r="H72" s="29">
        <f>IFERROR(__xludf.DUMMYFUNCTION("""COMPUTED_VALUE"""),0.004259259291521997)</f>
        <v>0.004259259292</v>
      </c>
      <c r="I72" s="30">
        <f>IFERROR(__xludf.DUMMYFUNCTION("""COMPUTED_VALUE"""),83.0)</f>
        <v>83</v>
      </c>
      <c r="J72" s="29">
        <f>IFERROR(__xludf.DUMMYFUNCTION("""COMPUTED_VALUE"""),0.007361111225340421)</f>
        <v>0.007361111225</v>
      </c>
      <c r="K72" s="30">
        <f>IFERROR(__xludf.DUMMYFUNCTION("""COMPUTED_VALUE"""),42.0)</f>
        <v>42</v>
      </c>
      <c r="L72" s="29">
        <f>IFERROR(__xludf.DUMMYFUNCTION("""COMPUTED_VALUE"""),0.008715277806130533)</f>
        <v>0.008715277806</v>
      </c>
      <c r="M72" s="30">
        <f>IFERROR(__xludf.DUMMYFUNCTION("""COMPUTED_VALUE"""),71.0)</f>
        <v>71</v>
      </c>
      <c r="N72" s="29">
        <f>IFERROR(__xludf.DUMMYFUNCTION("""COMPUTED_VALUE"""),0.0018402779766329867)</f>
        <v>0.001840277977</v>
      </c>
      <c r="O72" s="30">
        <f>IFERROR(__xludf.DUMMYFUNCTION("""COMPUTED_VALUE"""),142.0)</f>
        <v>142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15.75" customHeight="1">
      <c r="A73" s="15">
        <f>IFERROR(__xludf.DUMMYFUNCTION("""COMPUTED_VALUE"""),72.0)</f>
        <v>72</v>
      </c>
      <c r="B73" s="16" t="str">
        <f>IFERROR(__xludf.DUMMYFUNCTION("""COMPUTED_VALUE"""),"78")</f>
        <v>78</v>
      </c>
      <c r="C73" s="17" t="str">
        <f>IFERROR(__xludf.DUMMYFUNCTION("""COMPUTED_VALUE"""),"MENOU")</f>
        <v>MENOU</v>
      </c>
      <c r="D73" s="18" t="str">
        <f>IFERROR(__xludf.DUMMYFUNCTION("""COMPUTED_VALUE"""),"MATTHIEU")</f>
        <v>MATTHIEU</v>
      </c>
      <c r="E73" s="19" t="str">
        <f>IFERROR(__xludf.DUMMYFUNCTION("""COMPUTED_VALUE"""),"SH3")</f>
        <v>SH3</v>
      </c>
      <c r="F73" s="19">
        <f>IFERROR(__xludf.DUMMYFUNCTION("""COMPUTED_VALUE"""),18.0)</f>
        <v>18</v>
      </c>
      <c r="G73" s="20">
        <f>IFERROR(__xludf.DUMMYFUNCTION("""COMPUTED_VALUE"""),0.022314814849950168)</f>
        <v>0.02231481485</v>
      </c>
      <c r="H73" s="21">
        <f>IFERROR(__xludf.DUMMYFUNCTION("""COMPUTED_VALUE"""),0.00398148155428003)</f>
        <v>0.003981481554</v>
      </c>
      <c r="I73" s="22">
        <f>IFERROR(__xludf.DUMMYFUNCTION("""COMPUTED_VALUE"""),66.0)</f>
        <v>66</v>
      </c>
      <c r="J73" s="21">
        <f>IFERROR(__xludf.DUMMYFUNCTION("""COMPUTED_VALUE"""),0.007870370422446335)</f>
        <v>0.007870370422</v>
      </c>
      <c r="K73" s="22">
        <f>IFERROR(__xludf.DUMMYFUNCTION("""COMPUTED_VALUE"""),66.0)</f>
        <v>66</v>
      </c>
      <c r="L73" s="21">
        <f>IFERROR(__xludf.DUMMYFUNCTION("""COMPUTED_VALUE"""),0.009386573334957193)</f>
        <v>0.009386573335</v>
      </c>
      <c r="M73" s="22">
        <f>IFERROR(__xludf.DUMMYFUNCTION("""COMPUTED_VALUE"""),90.0)</f>
        <v>90</v>
      </c>
      <c r="N73" s="21">
        <f>IFERROR(__xludf.DUMMYFUNCTION("""COMPUTED_VALUE"""),0.0010763895382666106)</f>
        <v>0.001076389538</v>
      </c>
      <c r="O73" s="22">
        <f>IFERROR(__xludf.DUMMYFUNCTION("""COMPUTED_VALUE"""),72.0)</f>
        <v>72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15.75" customHeight="1">
      <c r="A74" s="23">
        <f>IFERROR(__xludf.DUMMYFUNCTION("""COMPUTED_VALUE"""),73.0)</f>
        <v>73</v>
      </c>
      <c r="B74" s="24" t="str">
        <f>IFERROR(__xludf.DUMMYFUNCTION("""COMPUTED_VALUE"""),"95")</f>
        <v>95</v>
      </c>
      <c r="C74" s="25" t="str">
        <f>IFERROR(__xludf.DUMMYFUNCTION("""COMPUTED_VALUE"""),"MARTELLOZZO")</f>
        <v>MARTELLOZZO</v>
      </c>
      <c r="D74" s="26" t="str">
        <f>IFERROR(__xludf.DUMMYFUNCTION("""COMPUTED_VALUE"""),"LAURA")</f>
        <v>LAURA</v>
      </c>
      <c r="E74" s="27" t="str">
        <f>IFERROR(__xludf.DUMMYFUNCTION("""COMPUTED_VALUE"""),"SF2")</f>
        <v>SF2</v>
      </c>
      <c r="F74" s="27">
        <f>IFERROR(__xludf.DUMMYFUNCTION("""COMPUTED_VALUE"""),2.0)</f>
        <v>2</v>
      </c>
      <c r="G74" s="28">
        <f>IFERROR(__xludf.DUMMYFUNCTION("""COMPUTED_VALUE"""),0.022361111831397475)</f>
        <v>0.02236111183</v>
      </c>
      <c r="H74" s="29">
        <f>IFERROR(__xludf.DUMMYFUNCTION("""COMPUTED_VALUE"""),0.004988425926623143)</f>
        <v>0.004988425927</v>
      </c>
      <c r="I74" s="30">
        <f>IFERROR(__xludf.DUMMYFUNCTION("""COMPUTED_VALUE"""),123.0)</f>
        <v>123</v>
      </c>
      <c r="J74" s="29">
        <f>IFERROR(__xludf.DUMMYFUNCTION("""COMPUTED_VALUE"""),0.008437500081691604)</f>
        <v>0.008437500082</v>
      </c>
      <c r="K74" s="30">
        <f>IFERROR(__xludf.DUMMYFUNCTION("""COMPUTED_VALUE"""),94.0)</f>
        <v>94</v>
      </c>
      <c r="L74" s="29">
        <f>IFERROR(__xludf.DUMMYFUNCTION("""COMPUTED_VALUE"""),0.007812499714124952)</f>
        <v>0.007812499714</v>
      </c>
      <c r="M74" s="30">
        <f>IFERROR(__xludf.DUMMYFUNCTION("""COMPUTED_VALUE"""),34.0)</f>
        <v>34</v>
      </c>
      <c r="N74" s="29">
        <f>IFERROR(__xludf.DUMMYFUNCTION("""COMPUTED_VALUE"""),0.0011226861089577754)</f>
        <v>0.001122686109</v>
      </c>
      <c r="O74" s="30">
        <f>IFERROR(__xludf.DUMMYFUNCTION("""COMPUTED_VALUE"""),77.0)</f>
        <v>77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15.75" customHeight="1">
      <c r="A75" s="15">
        <f>IFERROR(__xludf.DUMMYFUNCTION("""COMPUTED_VALUE"""),74.0)</f>
        <v>74</v>
      </c>
      <c r="B75" s="16" t="str">
        <f>IFERROR(__xludf.DUMMYFUNCTION("""COMPUTED_VALUE"""),"208")</f>
        <v>208</v>
      </c>
      <c r="C75" s="17" t="str">
        <f>IFERROR(__xludf.DUMMYFUNCTION("""COMPUTED_VALUE"""),"MAMES")</f>
        <v>MAMES</v>
      </c>
      <c r="D75" s="18" t="str">
        <f>IFERROR(__xludf.DUMMYFUNCTION("""COMPUTED_VALUE"""),"PIERRE")</f>
        <v>PIERRE</v>
      </c>
      <c r="E75" s="19" t="str">
        <f>IFERROR(__xludf.DUMMYFUNCTION("""COMPUTED_VALUE"""),"SH2")</f>
        <v>SH2</v>
      </c>
      <c r="F75" s="19">
        <f>IFERROR(__xludf.DUMMYFUNCTION("""COMPUTED_VALUE"""),7.0)</f>
        <v>7</v>
      </c>
      <c r="G75" s="20">
        <f>IFERROR(__xludf.DUMMYFUNCTION("""COMPUTED_VALUE"""),0.022372686296853912)</f>
        <v>0.0223726863</v>
      </c>
      <c r="H75" s="21">
        <f>IFERROR(__xludf.DUMMYFUNCTION("""COMPUTED_VALUE"""),0.0037731482529607223)</f>
        <v>0.003773148253</v>
      </c>
      <c r="I75" s="22">
        <f>IFERROR(__xludf.DUMMYFUNCTION("""COMPUTED_VALUE"""),50.0)</f>
        <v>50</v>
      </c>
      <c r="J75" s="21">
        <f>IFERROR(__xludf.DUMMYFUNCTION("""COMPUTED_VALUE"""),0.00805555565238191)</f>
        <v>0.008055555652</v>
      </c>
      <c r="K75" s="22">
        <f>IFERROR(__xludf.DUMMYFUNCTION("""COMPUTED_VALUE"""),76.0)</f>
        <v>76</v>
      </c>
      <c r="L75" s="21">
        <f>IFERROR(__xludf.DUMMYFUNCTION("""COMPUTED_VALUE"""),0.010046296321094645)</f>
        <v>0.01004629632</v>
      </c>
      <c r="M75" s="22">
        <f>IFERROR(__xludf.DUMMYFUNCTION("""COMPUTED_VALUE"""),110.0)</f>
        <v>110</v>
      </c>
      <c r="N75" s="21">
        <f>IFERROR(__xludf.DUMMYFUNCTION("""COMPUTED_VALUE"""),4.97686070416635E-4)</f>
        <v>0.0004976860704</v>
      </c>
      <c r="O75" s="22">
        <f>IFERROR(__xludf.DUMMYFUNCTION("""COMPUTED_VALUE"""),7.0)</f>
        <v>7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15.75" customHeight="1">
      <c r="A76" s="23">
        <f>IFERROR(__xludf.DUMMYFUNCTION("""COMPUTED_VALUE"""),75.0)</f>
        <v>75</v>
      </c>
      <c r="B76" s="24" t="str">
        <f>IFERROR(__xludf.DUMMYFUNCTION("""COMPUTED_VALUE"""),"148")</f>
        <v>148</v>
      </c>
      <c r="C76" s="25" t="str">
        <f>IFERROR(__xludf.DUMMYFUNCTION("""COMPUTED_VALUE"""),"MEILLIER")</f>
        <v>MEILLIER</v>
      </c>
      <c r="D76" s="26" t="str">
        <f>IFERROR(__xludf.DUMMYFUNCTION("""COMPUTED_VALUE"""),"LUCIE")</f>
        <v>LUCIE</v>
      </c>
      <c r="E76" s="27" t="str">
        <f>IFERROR(__xludf.DUMMYFUNCTION("""COMPUTED_VALUE"""),"MF2")</f>
        <v>MF2</v>
      </c>
      <c r="F76" s="27">
        <f>IFERROR(__xludf.DUMMYFUNCTION("""COMPUTED_VALUE"""),3.0)</f>
        <v>3</v>
      </c>
      <c r="G76" s="28">
        <f>IFERROR(__xludf.DUMMYFUNCTION("""COMPUTED_VALUE"""),0.022650464004728445)</f>
        <v>0.022650464</v>
      </c>
      <c r="H76" s="29">
        <f>IFERROR(__xludf.DUMMYFUNCTION("""COMPUTED_VALUE"""),0.003993055592696236)</f>
        <v>0.003993055593</v>
      </c>
      <c r="I76" s="30">
        <f>IFERROR(__xludf.DUMMYFUNCTION("""COMPUTED_VALUE"""),68.0)</f>
        <v>68</v>
      </c>
      <c r="J76" s="29">
        <f>IFERROR(__xludf.DUMMYFUNCTION("""COMPUTED_VALUE"""),0.008912037047073912)</f>
        <v>0.008912037047</v>
      </c>
      <c r="K76" s="30">
        <f>IFERROR(__xludf.DUMMYFUNCTION("""COMPUTED_VALUE"""),115.0)</f>
        <v>115</v>
      </c>
      <c r="L76" s="29">
        <f>IFERROR(__xludf.DUMMYFUNCTION("""COMPUTED_VALUE"""),0.007905093539163618)</f>
        <v>0.007905093539</v>
      </c>
      <c r="M76" s="30">
        <f>IFERROR(__xludf.DUMMYFUNCTION("""COMPUTED_VALUE"""),40.0)</f>
        <v>40</v>
      </c>
      <c r="N76" s="29">
        <f>IFERROR(__xludf.DUMMYFUNCTION("""COMPUTED_VALUE"""),0.0018402778257946787)</f>
        <v>0.001840277826</v>
      </c>
      <c r="O76" s="30">
        <f>IFERROR(__xludf.DUMMYFUNCTION("""COMPUTED_VALUE"""),141.0)</f>
        <v>141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15.75" customHeight="1">
      <c r="A77" s="15">
        <f>IFERROR(__xludf.DUMMYFUNCTION("""COMPUTED_VALUE"""),76.0)</f>
        <v>76</v>
      </c>
      <c r="B77" s="16" t="str">
        <f>IFERROR(__xludf.DUMMYFUNCTION("""COMPUTED_VALUE"""),"90")</f>
        <v>90</v>
      </c>
      <c r="C77" s="17" t="str">
        <f>IFERROR(__xludf.DUMMYFUNCTION("""COMPUTED_VALUE"""),"FRADETAL")</f>
        <v>FRADETAL</v>
      </c>
      <c r="D77" s="18" t="str">
        <f>IFERROR(__xludf.DUMMYFUNCTION("""COMPUTED_VALUE"""),"DENIS")</f>
        <v>DENIS</v>
      </c>
      <c r="E77" s="19" t="str">
        <f>IFERROR(__xludf.DUMMYFUNCTION("""COMPUTED_VALUE"""),"MH5")</f>
        <v>MH5</v>
      </c>
      <c r="F77" s="19">
        <f>IFERROR(__xludf.DUMMYFUNCTION("""COMPUTED_VALUE"""),2.0)</f>
        <v>2</v>
      </c>
      <c r="G77" s="20">
        <f>IFERROR(__xludf.DUMMYFUNCTION("""COMPUTED_VALUE"""),0.022685185315202975)</f>
        <v>0.02268518532</v>
      </c>
      <c r="H77" s="21">
        <f>IFERROR(__xludf.DUMMYFUNCTION("""COMPUTED_VALUE"""),0.004432870438904311)</f>
        <v>0.004432870439</v>
      </c>
      <c r="I77" s="22">
        <f>IFERROR(__xludf.DUMMYFUNCTION("""COMPUTED_VALUE"""),95.0)</f>
        <v>95</v>
      </c>
      <c r="J77" s="21">
        <f>IFERROR(__xludf.DUMMYFUNCTION("""COMPUTED_VALUE"""),0.007766203712213502)</f>
        <v>0.007766203712</v>
      </c>
      <c r="K77" s="22">
        <f>IFERROR(__xludf.DUMMYFUNCTION("""COMPUTED_VALUE"""),62.0)</f>
        <v>62</v>
      </c>
      <c r="L77" s="21">
        <f>IFERROR(__xludf.DUMMYFUNCTION("""COMPUTED_VALUE"""),0.009629629373143527)</f>
        <v>0.009629629373</v>
      </c>
      <c r="M77" s="22">
        <f>IFERROR(__xludf.DUMMYFUNCTION("""COMPUTED_VALUE"""),97.0)</f>
        <v>97</v>
      </c>
      <c r="N77" s="21">
        <f>IFERROR(__xludf.DUMMYFUNCTION("""COMPUTED_VALUE"""),8.564817909416352E-4)</f>
        <v>0.0008564817909</v>
      </c>
      <c r="O77" s="22">
        <f>IFERROR(__xludf.DUMMYFUNCTION("""COMPUTED_VALUE"""),44.0)</f>
        <v>44</v>
      </c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15.75" customHeight="1">
      <c r="A78" s="23">
        <f>IFERROR(__xludf.DUMMYFUNCTION("""COMPUTED_VALUE"""),77.0)</f>
        <v>77</v>
      </c>
      <c r="B78" s="24" t="str">
        <f>IFERROR(__xludf.DUMMYFUNCTION("""COMPUTED_VALUE"""),"181")</f>
        <v>181</v>
      </c>
      <c r="C78" s="25" t="str">
        <f>IFERROR(__xludf.DUMMYFUNCTION("""COMPUTED_VALUE"""),"RABIER")</f>
        <v>RABIER</v>
      </c>
      <c r="D78" s="26" t="str">
        <f>IFERROR(__xludf.DUMMYFUNCTION("""COMPUTED_VALUE"""),"GAËTAN")</f>
        <v>GAËTAN</v>
      </c>
      <c r="E78" s="27" t="str">
        <f>IFERROR(__xludf.DUMMYFUNCTION("""COMPUTED_VALUE"""),"SH4")</f>
        <v>SH4</v>
      </c>
      <c r="F78" s="27">
        <f>IFERROR(__xludf.DUMMYFUNCTION("""COMPUTED_VALUE"""),19.0)</f>
        <v>19</v>
      </c>
      <c r="G78" s="28">
        <f>IFERROR(__xludf.DUMMYFUNCTION("""COMPUTED_VALUE"""),0.02270833415039679)</f>
        <v>0.02270833415</v>
      </c>
      <c r="H78" s="29">
        <f>IFERROR(__xludf.DUMMYFUNCTION("""COMPUTED_VALUE"""),0.005277777863910716)</f>
        <v>0.005277777864</v>
      </c>
      <c r="I78" s="30">
        <f>IFERROR(__xludf.DUMMYFUNCTION("""COMPUTED_VALUE"""),133.0)</f>
        <v>133</v>
      </c>
      <c r="J78" s="29">
        <f>IFERROR(__xludf.DUMMYFUNCTION("""COMPUTED_VALUE"""),0.008414351888816732)</f>
        <v>0.008414351889</v>
      </c>
      <c r="K78" s="30">
        <f>IFERROR(__xludf.DUMMYFUNCTION("""COMPUTED_VALUE"""),92.0)</f>
        <v>92</v>
      </c>
      <c r="L78" s="29">
        <f>IFERROR(__xludf.DUMMYFUNCTION("""COMPUTED_VALUE"""),0.00793981509538069)</f>
        <v>0.007939815095</v>
      </c>
      <c r="M78" s="30">
        <f>IFERROR(__xludf.DUMMYFUNCTION("""COMPUTED_VALUE"""),42.0)</f>
        <v>42</v>
      </c>
      <c r="N78" s="29">
        <f>IFERROR(__xludf.DUMMYFUNCTION("""COMPUTED_VALUE"""),0.0010763893022886495)</f>
        <v>0.001076389302</v>
      </c>
      <c r="O78" s="30">
        <f>IFERROR(__xludf.DUMMYFUNCTION("""COMPUTED_VALUE"""),71.0)</f>
        <v>71</v>
      </c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5.75" customHeight="1">
      <c r="A79" s="15">
        <f>IFERROR(__xludf.DUMMYFUNCTION("""COMPUTED_VALUE"""),78.0)</f>
        <v>78</v>
      </c>
      <c r="B79" s="16" t="str">
        <f>IFERROR(__xludf.DUMMYFUNCTION("""COMPUTED_VALUE"""),"206")</f>
        <v>206</v>
      </c>
      <c r="C79" s="17" t="str">
        <f>IFERROR(__xludf.DUMMYFUNCTION("""COMPUTED_VALUE"""),"GALLET")</f>
        <v>GALLET</v>
      </c>
      <c r="D79" s="18" t="str">
        <f>IFERROR(__xludf.DUMMYFUNCTION("""COMPUTED_VALUE"""),"FLORIAN")</f>
        <v>FLORIAN</v>
      </c>
      <c r="E79" s="19" t="str">
        <f>IFERROR(__xludf.DUMMYFUNCTION("""COMPUTED_VALUE"""),"SH4")</f>
        <v>SH4</v>
      </c>
      <c r="F79" s="19">
        <f>IFERROR(__xludf.DUMMYFUNCTION("""COMPUTED_VALUE"""),20.0)</f>
        <v>20</v>
      </c>
      <c r="G79" s="20">
        <f>IFERROR(__xludf.DUMMYFUNCTION("""COMPUTED_VALUE"""),0.02276620397728212)</f>
        <v>0.02276620398</v>
      </c>
      <c r="H79" s="21">
        <f>IFERROR(__xludf.DUMMYFUNCTION("""COMPUTED_VALUE"""),0.0036921297432811477)</f>
        <v>0.003692129743</v>
      </c>
      <c r="I79" s="22">
        <f>IFERROR(__xludf.DUMMYFUNCTION("""COMPUTED_VALUE"""),45.0)</f>
        <v>45</v>
      </c>
      <c r="J79" s="21">
        <f>IFERROR(__xludf.DUMMYFUNCTION("""COMPUTED_VALUE"""),0.007708333395716756)</f>
        <v>0.007708333396</v>
      </c>
      <c r="K79" s="22">
        <f>IFERROR(__xludf.DUMMYFUNCTION("""COMPUTED_VALUE"""),58.0)</f>
        <v>58</v>
      </c>
      <c r="L79" s="21">
        <f>IFERROR(__xludf.DUMMYFUNCTION("""COMPUTED_VALUE"""),0.010196759450828222)</f>
        <v>0.01019675945</v>
      </c>
      <c r="M79" s="22">
        <f>IFERROR(__xludf.DUMMYFUNCTION("""COMPUTED_VALUE"""),113.0)</f>
        <v>113</v>
      </c>
      <c r="N79" s="21">
        <f>IFERROR(__xludf.DUMMYFUNCTION("""COMPUTED_VALUE"""),0.0011689813874559934)</f>
        <v>0.001168981387</v>
      </c>
      <c r="O79" s="22">
        <f>IFERROR(__xludf.DUMMYFUNCTION("""COMPUTED_VALUE"""),83.0)</f>
        <v>83</v>
      </c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5.75" customHeight="1">
      <c r="A80" s="23">
        <f>IFERROR(__xludf.DUMMYFUNCTION("""COMPUTED_VALUE"""),79.0)</f>
        <v>79</v>
      </c>
      <c r="B80" s="24" t="str">
        <f>IFERROR(__xludf.DUMMYFUNCTION("""COMPUTED_VALUE"""),"227")</f>
        <v>227</v>
      </c>
      <c r="C80" s="25" t="str">
        <f>IFERROR(__xludf.DUMMYFUNCTION("""COMPUTED_VALUE"""),"VOROS")</f>
        <v>VOROS</v>
      </c>
      <c r="D80" s="26" t="str">
        <f>IFERROR(__xludf.DUMMYFUNCTION("""COMPUTED_VALUE"""),"CAROLINE")</f>
        <v>CAROLINE</v>
      </c>
      <c r="E80" s="27" t="str">
        <f>IFERROR(__xludf.DUMMYFUNCTION("""COMPUTED_VALUE"""),"SF2")</f>
        <v>SF2</v>
      </c>
      <c r="F80" s="27">
        <f>IFERROR(__xludf.DUMMYFUNCTION("""COMPUTED_VALUE"""),3.0)</f>
        <v>3</v>
      </c>
      <c r="G80" s="28">
        <f>IFERROR(__xludf.DUMMYFUNCTION("""COMPUTED_VALUE"""),0.022800926861683602)</f>
        <v>0.02280092686</v>
      </c>
      <c r="H80" s="29">
        <f>IFERROR(__xludf.DUMMYFUNCTION("""COMPUTED_VALUE"""),0.0038310185269194)</f>
        <v>0.003831018527</v>
      </c>
      <c r="I80" s="30">
        <f>IFERROR(__xludf.DUMMYFUNCTION("""COMPUTED_VALUE"""),56.0)</f>
        <v>56</v>
      </c>
      <c r="J80" s="29">
        <f>IFERROR(__xludf.DUMMYFUNCTION("""COMPUTED_VALUE"""),0.007627314843310747)</f>
        <v>0.007627314843</v>
      </c>
      <c r="K80" s="30">
        <f>IFERROR(__xludf.DUMMYFUNCTION("""COMPUTED_VALUE"""),53.0)</f>
        <v>53</v>
      </c>
      <c r="L80" s="29">
        <f>IFERROR(__xludf.DUMMYFUNCTION("""COMPUTED_VALUE"""),0.010219907401886882)</f>
        <v>0.0102199074</v>
      </c>
      <c r="M80" s="30">
        <f>IFERROR(__xludf.DUMMYFUNCTION("""COMPUTED_VALUE"""),115.0)</f>
        <v>115</v>
      </c>
      <c r="N80" s="29">
        <f>IFERROR(__xludf.DUMMYFUNCTION("""COMPUTED_VALUE"""),0.0011226860895665733)</f>
        <v>0.00112268609</v>
      </c>
      <c r="O80" s="30">
        <f>IFERROR(__xludf.DUMMYFUNCTION("""COMPUTED_VALUE"""),76.0)</f>
        <v>76</v>
      </c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15.75" customHeight="1">
      <c r="A81" s="15">
        <f>IFERROR(__xludf.DUMMYFUNCTION("""COMPUTED_VALUE"""),80.0)</f>
        <v>80</v>
      </c>
      <c r="B81" s="16" t="str">
        <f>IFERROR(__xludf.DUMMYFUNCTION("""COMPUTED_VALUE"""),"186")</f>
        <v>186</v>
      </c>
      <c r="C81" s="17" t="str">
        <f>IFERROR(__xludf.DUMMYFUNCTION("""COMPUTED_VALUE"""),"GUINEFORT")</f>
        <v>GUINEFORT</v>
      </c>
      <c r="D81" s="18" t="str">
        <f>IFERROR(__xludf.DUMMYFUNCTION("""COMPUTED_VALUE"""),"ALEXANDRE")</f>
        <v>ALEXANDRE</v>
      </c>
      <c r="E81" s="19" t="str">
        <f>IFERROR(__xludf.DUMMYFUNCTION("""COMPUTED_VALUE"""),"MH2")</f>
        <v>MH2</v>
      </c>
      <c r="F81" s="19">
        <f>IFERROR(__xludf.DUMMYFUNCTION("""COMPUTED_VALUE"""),8.0)</f>
        <v>8</v>
      </c>
      <c r="G81" s="20">
        <f>IFERROR(__xludf.DUMMYFUNCTION("""COMPUTED_VALUE"""),0.022812500136498465)</f>
        <v>0.02281250014</v>
      </c>
      <c r="H81" s="21">
        <f>IFERROR(__xludf.DUMMYFUNCTION("""COMPUTED_VALUE"""),0.0036805555798948768)</f>
        <v>0.00368055558</v>
      </c>
      <c r="I81" s="22">
        <f>IFERROR(__xludf.DUMMYFUNCTION("""COMPUTED_VALUE"""),43.0)</f>
        <v>43</v>
      </c>
      <c r="J81" s="21">
        <f>IFERROR(__xludf.DUMMYFUNCTION("""COMPUTED_VALUE"""),0.008657407415563166)</f>
        <v>0.008657407416</v>
      </c>
      <c r="K81" s="22">
        <f>IFERROR(__xludf.DUMMYFUNCTION("""COMPUTED_VALUE"""),105.0)</f>
        <v>105</v>
      </c>
      <c r="L81" s="21">
        <f>IFERROR(__xludf.DUMMYFUNCTION("""COMPUTED_VALUE"""),0.009479165963625665)</f>
        <v>0.009479165964</v>
      </c>
      <c r="M81" s="22">
        <f>IFERROR(__xludf.DUMMYFUNCTION("""COMPUTED_VALUE"""),93.0)</f>
        <v>93</v>
      </c>
      <c r="N81" s="21">
        <f>IFERROR(__xludf.DUMMYFUNCTION("""COMPUTED_VALUE"""),9.95371177414757E-4)</f>
        <v>0.0009953711774</v>
      </c>
      <c r="O81" s="22">
        <f>IFERROR(__xludf.DUMMYFUNCTION("""COMPUTED_VALUE"""),68.0)</f>
        <v>68</v>
      </c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15.75" customHeight="1">
      <c r="A82" s="23">
        <f>IFERROR(__xludf.DUMMYFUNCTION("""COMPUTED_VALUE"""),81.0)</f>
        <v>81</v>
      </c>
      <c r="B82" s="24" t="str">
        <f>IFERROR(__xludf.DUMMYFUNCTION("""COMPUTED_VALUE"""),"99")</f>
        <v>99</v>
      </c>
      <c r="C82" s="25" t="str">
        <f>IFERROR(__xludf.DUMMYFUNCTION("""COMPUTED_VALUE"""),"BOUKHIBA")</f>
        <v>BOUKHIBA</v>
      </c>
      <c r="D82" s="26" t="str">
        <f>IFERROR(__xludf.DUMMYFUNCTION("""COMPUTED_VALUE"""),"SARAH")</f>
        <v>SARAH</v>
      </c>
      <c r="E82" s="27" t="str">
        <f>IFERROR(__xludf.DUMMYFUNCTION("""COMPUTED_VALUE"""),"SF2")</f>
        <v>SF2</v>
      </c>
      <c r="F82" s="27">
        <f>IFERROR(__xludf.DUMMYFUNCTION("""COMPUTED_VALUE"""),4.0)</f>
        <v>4</v>
      </c>
      <c r="G82" s="28">
        <f>IFERROR(__xludf.DUMMYFUNCTION("""COMPUTED_VALUE"""),0.022812500419936464)</f>
        <v>0.02281250042</v>
      </c>
      <c r="H82" s="29">
        <f>IFERROR(__xludf.DUMMYFUNCTION("""COMPUTED_VALUE"""),0.003472222273266771)</f>
        <v>0.003472222273</v>
      </c>
      <c r="I82" s="30">
        <f>IFERROR(__xludf.DUMMYFUNCTION("""COMPUTED_VALUE"""),31.0)</f>
        <v>31</v>
      </c>
      <c r="J82" s="29">
        <f>IFERROR(__xludf.DUMMYFUNCTION("""COMPUTED_VALUE"""),0.009039351864320326)</f>
        <v>0.009039351864</v>
      </c>
      <c r="K82" s="30">
        <f>IFERROR(__xludf.DUMMYFUNCTION("""COMPUTED_VALUE"""),124.0)</f>
        <v>124</v>
      </c>
      <c r="L82" s="29">
        <f>IFERROR(__xludf.DUMMYFUNCTION("""COMPUTED_VALUE"""),0.009131944852576488)</f>
        <v>0.009131944853</v>
      </c>
      <c r="M82" s="30">
        <f>IFERROR(__xludf.DUMMYFUNCTION("""COMPUTED_VALUE"""),83.0)</f>
        <v>83</v>
      </c>
      <c r="N82" s="29">
        <f>IFERROR(__xludf.DUMMYFUNCTION("""COMPUTED_VALUE"""),0.0011689814297728782)</f>
        <v>0.00116898143</v>
      </c>
      <c r="O82" s="30">
        <f>IFERROR(__xludf.DUMMYFUNCTION("""COMPUTED_VALUE"""),84.0)</f>
        <v>84</v>
      </c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15.75" customHeight="1">
      <c r="A83" s="15">
        <f>IFERROR(__xludf.DUMMYFUNCTION("""COMPUTED_VALUE"""),82.0)</f>
        <v>82</v>
      </c>
      <c r="B83" s="16" t="str">
        <f>IFERROR(__xludf.DUMMYFUNCTION("""COMPUTED_VALUE"""),"139")</f>
        <v>139</v>
      </c>
      <c r="C83" s="17" t="str">
        <f>IFERROR(__xludf.DUMMYFUNCTION("""COMPUTED_VALUE"""),"GUTIERREZ")</f>
        <v>GUTIERREZ</v>
      </c>
      <c r="D83" s="18" t="str">
        <f>IFERROR(__xludf.DUMMYFUNCTION("""COMPUTED_VALUE"""),"JUAN PABLO")</f>
        <v>JUAN PABLO</v>
      </c>
      <c r="E83" s="19" t="str">
        <f>IFERROR(__xludf.DUMMYFUNCTION("""COMPUTED_VALUE"""),"SH2")</f>
        <v>SH2</v>
      </c>
      <c r="F83" s="19">
        <f>IFERROR(__xludf.DUMMYFUNCTION("""COMPUTED_VALUE"""),8.0)</f>
        <v>8</v>
      </c>
      <c r="G83" s="20">
        <f>IFERROR(__xludf.DUMMYFUNCTION("""COMPUTED_VALUE"""),0.02283564914218848)</f>
        <v>0.02283564914</v>
      </c>
      <c r="H83" s="21">
        <f>IFERROR(__xludf.DUMMYFUNCTION("""COMPUTED_VALUE"""),0.0043171296791527924)</f>
        <v>0.004317129679</v>
      </c>
      <c r="I83" s="22">
        <f>IFERROR(__xludf.DUMMYFUNCTION("""COMPUTED_VALUE"""),86.0)</f>
        <v>86</v>
      </c>
      <c r="J83" s="21">
        <f>IFERROR(__xludf.DUMMYFUNCTION("""COMPUTED_VALUE"""),0.008657407417030073)</f>
        <v>0.008657407417</v>
      </c>
      <c r="K83" s="22">
        <f>IFERROR(__xludf.DUMMYFUNCTION("""COMPUTED_VALUE"""),106.0)</f>
        <v>106</v>
      </c>
      <c r="L83" s="21">
        <f>IFERROR(__xludf.DUMMYFUNCTION("""COMPUTED_VALUE"""),0.008692130406379714)</f>
        <v>0.008692130406</v>
      </c>
      <c r="M83" s="22">
        <f>IFERROR(__xludf.DUMMYFUNCTION("""COMPUTED_VALUE"""),69.0)</f>
        <v>69</v>
      </c>
      <c r="N83" s="21">
        <f>IFERROR(__xludf.DUMMYFUNCTION("""COMPUTED_VALUE"""),0.0011689816396259003)</f>
        <v>0.00116898164</v>
      </c>
      <c r="O83" s="22">
        <f>IFERROR(__xludf.DUMMYFUNCTION("""COMPUTED_VALUE"""),87.0)</f>
        <v>87</v>
      </c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15.75" customHeight="1">
      <c r="A84" s="23">
        <f>IFERROR(__xludf.DUMMYFUNCTION("""COMPUTED_VALUE"""),83.0)</f>
        <v>83</v>
      </c>
      <c r="B84" s="24" t="str">
        <f>IFERROR(__xludf.DUMMYFUNCTION("""COMPUTED_VALUE"""),"160")</f>
        <v>160</v>
      </c>
      <c r="C84" s="25" t="str">
        <f>IFERROR(__xludf.DUMMYFUNCTION("""COMPUTED_VALUE"""),"HALGAND")</f>
        <v>HALGAND</v>
      </c>
      <c r="D84" s="26" t="str">
        <f>IFERROR(__xludf.DUMMYFUNCTION("""COMPUTED_VALUE"""),"RÉMY")</f>
        <v>RÉMY</v>
      </c>
      <c r="E84" s="27" t="str">
        <f>IFERROR(__xludf.DUMMYFUNCTION("""COMPUTED_VALUE"""),"MH2")</f>
        <v>MH2</v>
      </c>
      <c r="F84" s="27">
        <f>IFERROR(__xludf.DUMMYFUNCTION("""COMPUTED_VALUE"""),9.0)</f>
        <v>9</v>
      </c>
      <c r="G84" s="28">
        <f>IFERROR(__xludf.DUMMYFUNCTION("""COMPUTED_VALUE"""),0.022858797020813906)</f>
        <v>0.02285879702</v>
      </c>
      <c r="H84" s="29">
        <f>IFERROR(__xludf.DUMMYFUNCTION("""COMPUTED_VALUE"""),0.003935185195073664)</f>
        <v>0.003935185195</v>
      </c>
      <c r="I84" s="30">
        <f>IFERROR(__xludf.DUMMYFUNCTION("""COMPUTED_VALUE"""),62.0)</f>
        <v>62</v>
      </c>
      <c r="J84" s="29">
        <f>IFERROR(__xludf.DUMMYFUNCTION("""COMPUTED_VALUE"""),0.007696759305434657)</f>
        <v>0.007696759305</v>
      </c>
      <c r="K84" s="30">
        <f>IFERROR(__xludf.DUMMYFUNCTION("""COMPUTED_VALUE"""),57.0)</f>
        <v>57</v>
      </c>
      <c r="L84" s="29">
        <f>IFERROR(__xludf.DUMMYFUNCTION("""COMPUTED_VALUE"""),0.00964120404375251)</f>
        <v>0.009641204044</v>
      </c>
      <c r="M84" s="30">
        <f>IFERROR(__xludf.DUMMYFUNCTION("""COMPUTED_VALUE"""),98.0)</f>
        <v>98</v>
      </c>
      <c r="N84" s="29">
        <f>IFERROR(__xludf.DUMMYFUNCTION("""COMPUTED_VALUE"""),0.001585648476553075)</f>
        <v>0.001585648477</v>
      </c>
      <c r="O84" s="30">
        <f>IFERROR(__xludf.DUMMYFUNCTION("""COMPUTED_VALUE"""),130.0)</f>
        <v>130</v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5.75" customHeight="1">
      <c r="A85" s="15">
        <f>IFERROR(__xludf.DUMMYFUNCTION("""COMPUTED_VALUE"""),84.0)</f>
        <v>84</v>
      </c>
      <c r="B85" s="16" t="str">
        <f>IFERROR(__xludf.DUMMYFUNCTION("""COMPUTED_VALUE"""),"71")</f>
        <v>71</v>
      </c>
      <c r="C85" s="17" t="str">
        <f>IFERROR(__xludf.DUMMYFUNCTION("""COMPUTED_VALUE"""),"BRES")</f>
        <v>BRES</v>
      </c>
      <c r="D85" s="18" t="str">
        <f>IFERROR(__xludf.DUMMYFUNCTION("""COMPUTED_VALUE"""),"EDITH")</f>
        <v>EDITH</v>
      </c>
      <c r="E85" s="19" t="str">
        <f>IFERROR(__xludf.DUMMYFUNCTION("""COMPUTED_VALUE"""),"SF4")</f>
        <v>SF4</v>
      </c>
      <c r="F85" s="19">
        <f>IFERROR(__xludf.DUMMYFUNCTION("""COMPUTED_VALUE"""),2.0)</f>
        <v>2</v>
      </c>
      <c r="G85" s="20">
        <f>IFERROR(__xludf.DUMMYFUNCTION("""COMPUTED_VALUE"""),0.02288194538449067)</f>
        <v>0.02288194538</v>
      </c>
      <c r="H85" s="21">
        <f>IFERROR(__xludf.DUMMYFUNCTION("""COMPUTED_VALUE"""),0.004155092692853159)</f>
        <v>0.004155092693</v>
      </c>
      <c r="I85" s="22">
        <f>IFERROR(__xludf.DUMMYFUNCTION("""COMPUTED_VALUE"""),78.0)</f>
        <v>78</v>
      </c>
      <c r="J85" s="21">
        <f>IFERROR(__xludf.DUMMYFUNCTION("""COMPUTED_VALUE"""),0.008993055632710937)</f>
        <v>0.008993055633</v>
      </c>
      <c r="K85" s="22">
        <f>IFERROR(__xludf.DUMMYFUNCTION("""COMPUTED_VALUE"""),120.0)</f>
        <v>120</v>
      </c>
      <c r="L85" s="21">
        <f>IFERROR(__xludf.DUMMYFUNCTION("""COMPUTED_VALUE"""),0.008831018634555555)</f>
        <v>0.008831018635</v>
      </c>
      <c r="M85" s="22">
        <f>IFERROR(__xludf.DUMMYFUNCTION("""COMPUTED_VALUE"""),76.0)</f>
        <v>76</v>
      </c>
      <c r="N85" s="21">
        <f>IFERROR(__xludf.DUMMYFUNCTION("""COMPUTED_VALUE"""),9.027784243710174E-4)</f>
        <v>0.0009027784244</v>
      </c>
      <c r="O85" s="22">
        <f>IFERROR(__xludf.DUMMYFUNCTION("""COMPUTED_VALUE"""),55.0)</f>
        <v>55</v>
      </c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5.75" customHeight="1">
      <c r="A86" s="23">
        <f>IFERROR(__xludf.DUMMYFUNCTION("""COMPUTED_VALUE"""),85.0)</f>
        <v>85</v>
      </c>
      <c r="B86" s="24" t="str">
        <f>IFERROR(__xludf.DUMMYFUNCTION("""COMPUTED_VALUE"""),"144")</f>
        <v>144</v>
      </c>
      <c r="C86" s="25" t="str">
        <f>IFERROR(__xludf.DUMMYFUNCTION("""COMPUTED_VALUE"""),"CAUVIN")</f>
        <v>CAUVIN</v>
      </c>
      <c r="D86" s="26" t="str">
        <f>IFERROR(__xludf.DUMMYFUNCTION("""COMPUTED_VALUE"""),"CHRISTOPHE")</f>
        <v>CHRISTOPHE</v>
      </c>
      <c r="E86" s="27" t="str">
        <f>IFERROR(__xludf.DUMMYFUNCTION("""COMPUTED_VALUE"""),"MH4")</f>
        <v>MH4</v>
      </c>
      <c r="F86" s="27">
        <f>IFERROR(__xludf.DUMMYFUNCTION("""COMPUTED_VALUE"""),3.0)</f>
        <v>3</v>
      </c>
      <c r="G86" s="28">
        <f>IFERROR(__xludf.DUMMYFUNCTION("""COMPUTED_VALUE"""),0.022974537770969992)</f>
        <v>0.02297453777</v>
      </c>
      <c r="H86" s="29">
        <f>IFERROR(__xludf.DUMMYFUNCTION("""COMPUTED_VALUE"""),0.004328703769333694)</f>
        <v>0.004328703769</v>
      </c>
      <c r="I86" s="30">
        <f>IFERROR(__xludf.DUMMYFUNCTION("""COMPUTED_VALUE"""),88.0)</f>
        <v>88</v>
      </c>
      <c r="J86" s="29">
        <f>IFERROR(__xludf.DUMMYFUNCTION("""COMPUTED_VALUE"""),0.008761574174808464)</f>
        <v>0.008761574175</v>
      </c>
      <c r="K86" s="30">
        <f>IFERROR(__xludf.DUMMYFUNCTION("""COMPUTED_VALUE"""),110.0)</f>
        <v>110</v>
      </c>
      <c r="L86" s="29">
        <f>IFERROR(__xludf.DUMMYFUNCTION("""COMPUTED_VALUE"""),0.008715278298046466)</f>
        <v>0.008715278298</v>
      </c>
      <c r="M86" s="30">
        <f>IFERROR(__xludf.DUMMYFUNCTION("""COMPUTED_VALUE"""),72.0)</f>
        <v>72</v>
      </c>
      <c r="N86" s="29">
        <f>IFERROR(__xludf.DUMMYFUNCTION("""COMPUTED_VALUE"""),0.0011689815287813689)</f>
        <v>0.001168981529</v>
      </c>
      <c r="O86" s="30">
        <f>IFERROR(__xludf.DUMMYFUNCTION("""COMPUTED_VALUE"""),86.0)</f>
        <v>86</v>
      </c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5.75" customHeight="1">
      <c r="A87" s="15">
        <f>IFERROR(__xludf.DUMMYFUNCTION("""COMPUTED_VALUE"""),86.0)</f>
        <v>86</v>
      </c>
      <c r="B87" s="16" t="str">
        <f>IFERROR(__xludf.DUMMYFUNCTION("""COMPUTED_VALUE"""),"147")</f>
        <v>147</v>
      </c>
      <c r="C87" s="17" t="str">
        <f>IFERROR(__xludf.DUMMYFUNCTION("""COMPUTED_VALUE"""),"GAVINI")</f>
        <v>GAVINI</v>
      </c>
      <c r="D87" s="18" t="str">
        <f>IFERROR(__xludf.DUMMYFUNCTION("""COMPUTED_VALUE"""),"JEAN")</f>
        <v>JEAN</v>
      </c>
      <c r="E87" s="19" t="str">
        <f>IFERROR(__xludf.DUMMYFUNCTION("""COMPUTED_VALUE"""),"MH4")</f>
        <v>MH4</v>
      </c>
      <c r="F87" s="19">
        <f>IFERROR(__xludf.DUMMYFUNCTION("""COMPUTED_VALUE"""),4.0)</f>
        <v>4</v>
      </c>
      <c r="G87" s="20">
        <f>IFERROR(__xludf.DUMMYFUNCTION("""COMPUTED_VALUE"""),0.023009259614527575)</f>
        <v>0.02300925961</v>
      </c>
      <c r="H87" s="21">
        <f>IFERROR(__xludf.DUMMYFUNCTION("""COMPUTED_VALUE"""),0.004375000040624424)</f>
        <v>0.004375000041</v>
      </c>
      <c r="I87" s="22">
        <f>IFERROR(__xludf.DUMMYFUNCTION("""COMPUTED_VALUE"""),91.0)</f>
        <v>91</v>
      </c>
      <c r="J87" s="21">
        <f>IFERROR(__xludf.DUMMYFUNCTION("""COMPUTED_VALUE"""),0.009201388905148874)</f>
        <v>0.009201388905</v>
      </c>
      <c r="K87" s="22">
        <f>IFERROR(__xludf.DUMMYFUNCTION("""COMPUTED_VALUE"""),134.0)</f>
        <v>134</v>
      </c>
      <c r="L87" s="21">
        <f>IFERROR(__xludf.DUMMYFUNCTION("""COMPUTED_VALUE"""),0.00752314738925932)</f>
        <v>0.007523147389</v>
      </c>
      <c r="M87" s="22">
        <f>IFERROR(__xludf.DUMMYFUNCTION("""COMPUTED_VALUE"""),26.0)</f>
        <v>26</v>
      </c>
      <c r="N87" s="21">
        <f>IFERROR(__xludf.DUMMYFUNCTION("""COMPUTED_VALUE"""),0.001909723279494957)</f>
        <v>0.001909723279</v>
      </c>
      <c r="O87" s="22">
        <f>IFERROR(__xludf.DUMMYFUNCTION("""COMPUTED_VALUE"""),148.0)</f>
        <v>148</v>
      </c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5.75" customHeight="1">
      <c r="A88" s="23">
        <f>IFERROR(__xludf.DUMMYFUNCTION("""COMPUTED_VALUE"""),87.0)</f>
        <v>87</v>
      </c>
      <c r="B88" s="24" t="str">
        <f>IFERROR(__xludf.DUMMYFUNCTION("""COMPUTED_VALUE"""),"184")</f>
        <v>184</v>
      </c>
      <c r="C88" s="25" t="str">
        <f>IFERROR(__xludf.DUMMYFUNCTION("""COMPUTED_VALUE"""),"HEATH")</f>
        <v>HEATH</v>
      </c>
      <c r="D88" s="26" t="str">
        <f>IFERROR(__xludf.DUMMYFUNCTION("""COMPUTED_VALUE"""),"JULIETTE")</f>
        <v>JULIETTE</v>
      </c>
      <c r="E88" s="27" t="str">
        <f>IFERROR(__xludf.DUMMYFUNCTION("""COMPUTED_VALUE"""),"SF4")</f>
        <v>SF4</v>
      </c>
      <c r="F88" s="27">
        <f>IFERROR(__xludf.DUMMYFUNCTION("""COMPUTED_VALUE"""),3.0)</f>
        <v>3</v>
      </c>
      <c r="G88" s="28">
        <f>IFERROR(__xludf.DUMMYFUNCTION("""COMPUTED_VALUE"""),0.023148149098744953)</f>
        <v>0.0231481491</v>
      </c>
      <c r="H88" s="29">
        <f>IFERROR(__xludf.DUMMYFUNCTION("""COMPUTED_VALUE"""),0.003715277839576642)</f>
        <v>0.00371527784</v>
      </c>
      <c r="I88" s="30">
        <f>IFERROR(__xludf.DUMMYFUNCTION("""COMPUTED_VALUE"""),46.0)</f>
        <v>46</v>
      </c>
      <c r="J88" s="29">
        <f>IFERROR(__xludf.DUMMYFUNCTION("""COMPUTED_VALUE"""),0.008900463055988876)</f>
        <v>0.008900463056</v>
      </c>
      <c r="K88" s="30">
        <f>IFERROR(__xludf.DUMMYFUNCTION("""COMPUTED_VALUE"""),114.0)</f>
        <v>114</v>
      </c>
      <c r="L88" s="29">
        <f>IFERROR(__xludf.DUMMYFUNCTION("""COMPUTED_VALUE"""),0.009375000127951469)</f>
        <v>0.009375000128</v>
      </c>
      <c r="M88" s="30">
        <f>IFERROR(__xludf.DUMMYFUNCTION("""COMPUTED_VALUE"""),89.0)</f>
        <v>89</v>
      </c>
      <c r="N88" s="29">
        <f>IFERROR(__xludf.DUMMYFUNCTION("""COMPUTED_VALUE"""),0.0011574080752279666)</f>
        <v>0.001157408075</v>
      </c>
      <c r="O88" s="30">
        <f>IFERROR(__xludf.DUMMYFUNCTION("""COMPUTED_VALUE"""),82.0)</f>
        <v>82</v>
      </c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5.75" customHeight="1">
      <c r="A89" s="15">
        <f>IFERROR(__xludf.DUMMYFUNCTION("""COMPUTED_VALUE"""),88.0)</f>
        <v>88</v>
      </c>
      <c r="B89" s="16" t="str">
        <f>IFERROR(__xludf.DUMMYFUNCTION("""COMPUTED_VALUE"""),"107")</f>
        <v>107</v>
      </c>
      <c r="C89" s="17" t="str">
        <f>IFERROR(__xludf.DUMMYFUNCTION("""COMPUTED_VALUE"""),"YVART")</f>
        <v>YVART</v>
      </c>
      <c r="D89" s="18" t="str">
        <f>IFERROR(__xludf.DUMMYFUNCTION("""COMPUTED_VALUE"""),"JÉRÔME")</f>
        <v>JÉRÔME</v>
      </c>
      <c r="E89" s="19" t="str">
        <f>IFERROR(__xludf.DUMMYFUNCTION("""COMPUTED_VALUE"""),"MH1")</f>
        <v>MH1</v>
      </c>
      <c r="F89" s="19">
        <f>IFERROR(__xludf.DUMMYFUNCTION("""COMPUTED_VALUE"""),9.0)</f>
        <v>9</v>
      </c>
      <c r="G89" s="20">
        <f>IFERROR(__xludf.DUMMYFUNCTION("""COMPUTED_VALUE"""),0.02317129687806523)</f>
        <v>0.02317129688</v>
      </c>
      <c r="H89" s="21">
        <f>IFERROR(__xludf.DUMMYFUNCTION("""COMPUTED_VALUE"""),0.0047222222547489414)</f>
        <v>0.004722222255</v>
      </c>
      <c r="I89" s="22">
        <f>IFERROR(__xludf.DUMMYFUNCTION("""COMPUTED_VALUE"""),109.0)</f>
        <v>109</v>
      </c>
      <c r="J89" s="21">
        <f>IFERROR(__xludf.DUMMYFUNCTION("""COMPUTED_VALUE"""),0.008587963065303425)</f>
        <v>0.008587963065</v>
      </c>
      <c r="K89" s="22">
        <f>IFERROR(__xludf.DUMMYFUNCTION("""COMPUTED_VALUE"""),102.0)</f>
        <v>102</v>
      </c>
      <c r="L89" s="21">
        <f>IFERROR(__xludf.DUMMYFUNCTION("""COMPUTED_VALUE"""),0.008425925756761054)</f>
        <v>0.008425925757</v>
      </c>
      <c r="M89" s="22">
        <f>IFERROR(__xludf.DUMMYFUNCTION("""COMPUTED_VALUE"""),61.0)</f>
        <v>61</v>
      </c>
      <c r="N89" s="21">
        <f>IFERROR(__xludf.DUMMYFUNCTION("""COMPUTED_VALUE"""),0.001435185801251809)</f>
        <v>0.001435185801</v>
      </c>
      <c r="O89" s="22">
        <f>IFERROR(__xludf.DUMMYFUNCTION("""COMPUTED_VALUE"""),117.0)</f>
        <v>117</v>
      </c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5.75" customHeight="1">
      <c r="A90" s="23">
        <f>IFERROR(__xludf.DUMMYFUNCTION("""COMPUTED_VALUE"""),89.0)</f>
        <v>89</v>
      </c>
      <c r="B90" s="24" t="str">
        <f>IFERROR(__xludf.DUMMYFUNCTION("""COMPUTED_VALUE"""),"163")</f>
        <v>163</v>
      </c>
      <c r="C90" s="25" t="str">
        <f>IFERROR(__xludf.DUMMYFUNCTION("""COMPUTED_VALUE"""),"BETH")</f>
        <v>BETH</v>
      </c>
      <c r="D90" s="26" t="str">
        <f>IFERROR(__xludf.DUMMYFUNCTION("""COMPUTED_VALUE"""),"VICTOR")</f>
        <v>VICTOR</v>
      </c>
      <c r="E90" s="27" t="str">
        <f>IFERROR(__xludf.DUMMYFUNCTION("""COMPUTED_VALUE"""),"MH2")</f>
        <v>MH2</v>
      </c>
      <c r="F90" s="27">
        <f>IFERROR(__xludf.DUMMYFUNCTION("""COMPUTED_VALUE"""),10.0)</f>
        <v>10</v>
      </c>
      <c r="G90" s="28">
        <f>IFERROR(__xludf.DUMMYFUNCTION("""COMPUTED_VALUE"""),0.02320601899466702)</f>
        <v>0.02320601899</v>
      </c>
      <c r="H90" s="29">
        <f>IFERROR(__xludf.DUMMYFUNCTION("""COMPUTED_VALUE"""),0.004618055568775145)</f>
        <v>0.004618055569</v>
      </c>
      <c r="I90" s="30">
        <f>IFERROR(__xludf.DUMMYFUNCTION("""COMPUTED_VALUE"""),107.0)</f>
        <v>107</v>
      </c>
      <c r="J90" s="29">
        <f>IFERROR(__xludf.DUMMYFUNCTION("""COMPUTED_VALUE"""),0.008113426025742167)</f>
        <v>0.008113426026</v>
      </c>
      <c r="K90" s="30">
        <f>IFERROR(__xludf.DUMMYFUNCTION("""COMPUTED_VALUE"""),81.0)</f>
        <v>81</v>
      </c>
      <c r="L90" s="29">
        <f>IFERROR(__xludf.DUMMYFUNCTION("""COMPUTED_VALUE"""),0.009062500412030123)</f>
        <v>0.009062500412</v>
      </c>
      <c r="M90" s="30">
        <f>IFERROR(__xludf.DUMMYFUNCTION("""COMPUTED_VALUE"""),81.0)</f>
        <v>81</v>
      </c>
      <c r="N90" s="29">
        <f>IFERROR(__xludf.DUMMYFUNCTION("""COMPUTED_VALUE"""),0.0014120369881195855)</f>
        <v>0.001412036988</v>
      </c>
      <c r="O90" s="30">
        <f>IFERROR(__xludf.DUMMYFUNCTION("""COMPUTED_VALUE"""),115.0)</f>
        <v>115</v>
      </c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5.75" customHeight="1">
      <c r="A91" s="15">
        <f>IFERROR(__xludf.DUMMYFUNCTION("""COMPUTED_VALUE"""),90.0)</f>
        <v>90</v>
      </c>
      <c r="B91" s="16" t="str">
        <f>IFERROR(__xludf.DUMMYFUNCTION("""COMPUTED_VALUE"""),"94")</f>
        <v>94</v>
      </c>
      <c r="C91" s="17" t="str">
        <f>IFERROR(__xludf.DUMMYFUNCTION("""COMPUTED_VALUE"""),"VAMPARYS")</f>
        <v>VAMPARYS</v>
      </c>
      <c r="D91" s="18" t="str">
        <f>IFERROR(__xludf.DUMMYFUNCTION("""COMPUTED_VALUE"""),"LYDIE")</f>
        <v>LYDIE</v>
      </c>
      <c r="E91" s="19" t="str">
        <f>IFERROR(__xludf.DUMMYFUNCTION("""COMPUTED_VALUE"""),"MF1")</f>
        <v>MF1</v>
      </c>
      <c r="F91" s="19">
        <f>IFERROR(__xludf.DUMMYFUNCTION("""COMPUTED_VALUE"""),2.0)</f>
        <v>2</v>
      </c>
      <c r="G91" s="20">
        <f>IFERROR(__xludf.DUMMYFUNCTION("""COMPUTED_VALUE"""),0.023252314999877847)</f>
        <v>0.023252315</v>
      </c>
      <c r="H91" s="21">
        <f>IFERROR(__xludf.DUMMYFUNCTION("""COMPUTED_VALUE"""),0.004814814879010393)</f>
        <v>0.004814814879</v>
      </c>
      <c r="I91" s="22">
        <f>IFERROR(__xludf.DUMMYFUNCTION("""COMPUTED_VALUE"""),113.0)</f>
        <v>113</v>
      </c>
      <c r="J91" s="21">
        <f>IFERROR(__xludf.DUMMYFUNCTION("""COMPUTED_VALUE"""),0.009259259326918989)</f>
        <v>0.009259259327</v>
      </c>
      <c r="K91" s="22">
        <f>IFERROR(__xludf.DUMMYFUNCTION("""COMPUTED_VALUE"""),137.0)</f>
        <v>137</v>
      </c>
      <c r="L91" s="21">
        <f>IFERROR(__xludf.DUMMYFUNCTION("""COMPUTED_VALUE"""),0.008206017593479381)</f>
        <v>0.008206017593</v>
      </c>
      <c r="M91" s="22">
        <f>IFERROR(__xludf.DUMMYFUNCTION("""COMPUTED_VALUE"""),51.0)</f>
        <v>51</v>
      </c>
      <c r="N91" s="21">
        <f>IFERROR(__xludf.DUMMYFUNCTION("""COMPUTED_VALUE"""),9.722232004690835E-4)</f>
        <v>0.0009722232005</v>
      </c>
      <c r="O91" s="22">
        <f>IFERROR(__xludf.DUMMYFUNCTION("""COMPUTED_VALUE"""),65.0)</f>
        <v>65</v>
      </c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5.75" customHeight="1">
      <c r="A92" s="23">
        <f>IFERROR(__xludf.DUMMYFUNCTION("""COMPUTED_VALUE"""),91.0)</f>
        <v>91</v>
      </c>
      <c r="B92" s="24" t="str">
        <f>IFERROR(__xludf.DUMMYFUNCTION("""COMPUTED_VALUE"""),"60")</f>
        <v>60</v>
      </c>
      <c r="C92" s="25" t="str">
        <f>IFERROR(__xludf.DUMMYFUNCTION("""COMPUTED_VALUE"""),"MOLARD")</f>
        <v>MOLARD</v>
      </c>
      <c r="D92" s="26" t="str">
        <f>IFERROR(__xludf.DUMMYFUNCTION("""COMPUTED_VALUE"""),"ZOÉ")</f>
        <v>ZOÉ</v>
      </c>
      <c r="E92" s="27" t="str">
        <f>IFERROR(__xludf.DUMMYFUNCTION("""COMPUTED_VALUE"""),"SF1")</f>
        <v>SF1</v>
      </c>
      <c r="F92" s="27">
        <f>IFERROR(__xludf.DUMMYFUNCTION("""COMPUTED_VALUE"""),1.0)</f>
        <v>1</v>
      </c>
      <c r="G92" s="28">
        <f>IFERROR(__xludf.DUMMYFUNCTION("""COMPUTED_VALUE"""),0.02332176024100201)</f>
        <v>0.02332176024</v>
      </c>
      <c r="H92" s="29">
        <f>IFERROR(__xludf.DUMMYFUNCTION("""COMPUTED_VALUE"""),0.004247685292776932)</f>
        <v>0.004247685293</v>
      </c>
      <c r="I92" s="30">
        <f>IFERROR(__xludf.DUMMYFUNCTION("""COMPUTED_VALUE"""),81.0)</f>
        <v>81</v>
      </c>
      <c r="J92" s="29">
        <f>IFERROR(__xludf.DUMMYFUNCTION("""COMPUTED_VALUE"""),0.00810185194479313)</f>
        <v>0.008101851945</v>
      </c>
      <c r="K92" s="30">
        <f>IFERROR(__xludf.DUMMYFUNCTION("""COMPUTED_VALUE"""),80.0)</f>
        <v>80</v>
      </c>
      <c r="L92" s="29">
        <f>IFERROR(__xludf.DUMMYFUNCTION("""COMPUTED_VALUE"""),0.009398149039889475)</f>
        <v>0.00939814904</v>
      </c>
      <c r="M92" s="30">
        <f>IFERROR(__xludf.DUMMYFUNCTION("""COMPUTED_VALUE"""),92.0)</f>
        <v>92</v>
      </c>
      <c r="N92" s="29">
        <f>IFERROR(__xludf.DUMMYFUNCTION("""COMPUTED_VALUE"""),0.0015740739635424737)</f>
        <v>0.001574073964</v>
      </c>
      <c r="O92" s="30">
        <f>IFERROR(__xludf.DUMMYFUNCTION("""COMPUTED_VALUE"""),128.0)</f>
        <v>128</v>
      </c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15.75" customHeight="1">
      <c r="A93" s="15">
        <f>IFERROR(__xludf.DUMMYFUNCTION("""COMPUTED_VALUE"""),92.0)</f>
        <v>92</v>
      </c>
      <c r="B93" s="16" t="str">
        <f>IFERROR(__xludf.DUMMYFUNCTION("""COMPUTED_VALUE"""),"164")</f>
        <v>164</v>
      </c>
      <c r="C93" s="17" t="str">
        <f>IFERROR(__xludf.DUMMYFUNCTION("""COMPUTED_VALUE"""),"COISNE")</f>
        <v>COISNE</v>
      </c>
      <c r="D93" s="18" t="str">
        <f>IFERROR(__xludf.DUMMYFUNCTION("""COMPUTED_VALUE"""),"SYLVAIN")</f>
        <v>SYLVAIN</v>
      </c>
      <c r="E93" s="19" t="str">
        <f>IFERROR(__xludf.DUMMYFUNCTION("""COMPUTED_VALUE"""),"SH4")</f>
        <v>SH4</v>
      </c>
      <c r="F93" s="19">
        <f>IFERROR(__xludf.DUMMYFUNCTION("""COMPUTED_VALUE"""),21.0)</f>
        <v>21</v>
      </c>
      <c r="G93" s="20">
        <f>IFERROR(__xludf.DUMMYFUNCTION("""COMPUTED_VALUE"""),0.023333333874450878)</f>
        <v>0.02333333387</v>
      </c>
      <c r="H93" s="21">
        <f>IFERROR(__xludf.DUMMYFUNCTION("""COMPUTED_VALUE"""),0.00430555557648368)</f>
        <v>0.004305555576</v>
      </c>
      <c r="I93" s="22">
        <f>IFERROR(__xludf.DUMMYFUNCTION("""COMPUTED_VALUE"""),85.0)</f>
        <v>85</v>
      </c>
      <c r="J93" s="21">
        <f>IFERROR(__xludf.DUMMYFUNCTION("""COMPUTED_VALUE"""),0.007569444536437565)</f>
        <v>0.007569444536</v>
      </c>
      <c r="K93" s="22">
        <f>IFERROR(__xludf.DUMMYFUNCTION("""COMPUTED_VALUE"""),48.0)</f>
        <v>48</v>
      </c>
      <c r="L93" s="21">
        <f>IFERROR(__xludf.DUMMYFUNCTION("""COMPUTED_VALUE"""),0.010011574455487308)</f>
        <v>0.01001157446</v>
      </c>
      <c r="M93" s="22">
        <f>IFERROR(__xludf.DUMMYFUNCTION("""COMPUTED_VALUE"""),108.0)</f>
        <v>108</v>
      </c>
      <c r="N93" s="21">
        <f>IFERROR(__xludf.DUMMYFUNCTION("""COMPUTED_VALUE"""),0.001446759306042324)</f>
        <v>0.001446759306</v>
      </c>
      <c r="O93" s="22">
        <f>IFERROR(__xludf.DUMMYFUNCTION("""COMPUTED_VALUE"""),120.0)</f>
        <v>120</v>
      </c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15.75" customHeight="1">
      <c r="A94" s="23">
        <f>IFERROR(__xludf.DUMMYFUNCTION("""COMPUTED_VALUE"""),93.0)</f>
        <v>93</v>
      </c>
      <c r="B94" s="24" t="str">
        <f>IFERROR(__xludf.DUMMYFUNCTION("""COMPUTED_VALUE"""),"168")</f>
        <v>168</v>
      </c>
      <c r="C94" s="25" t="str">
        <f>IFERROR(__xludf.DUMMYFUNCTION("""COMPUTED_VALUE"""),"WOESTELANDT")</f>
        <v>WOESTELANDT</v>
      </c>
      <c r="D94" s="26" t="str">
        <f>IFERROR(__xludf.DUMMYFUNCTION("""COMPUTED_VALUE"""),"JUSTINE")</f>
        <v>JUSTINE</v>
      </c>
      <c r="E94" s="27" t="str">
        <f>IFERROR(__xludf.DUMMYFUNCTION("""COMPUTED_VALUE"""),"SF1")</f>
        <v>SF1</v>
      </c>
      <c r="F94" s="27">
        <f>IFERROR(__xludf.DUMMYFUNCTION("""COMPUTED_VALUE"""),2.0)</f>
        <v>2</v>
      </c>
      <c r="G94" s="28">
        <f>IFERROR(__xludf.DUMMYFUNCTION("""COMPUTED_VALUE"""),0.023356482140881398)</f>
        <v>0.02335648214</v>
      </c>
      <c r="H94" s="29">
        <f>IFERROR(__xludf.DUMMYFUNCTION("""COMPUTED_VALUE"""),0.003912037096527725)</f>
        <v>0.003912037097</v>
      </c>
      <c r="I94" s="30">
        <f>IFERROR(__xludf.DUMMYFUNCTION("""COMPUTED_VALUE"""),61.0)</f>
        <v>61</v>
      </c>
      <c r="J94" s="29">
        <f>IFERROR(__xludf.DUMMYFUNCTION("""COMPUTED_VALUE"""),0.008472222325969333)</f>
        <v>0.008472222326</v>
      </c>
      <c r="K94" s="30">
        <f>IFERROR(__xludf.DUMMYFUNCTION("""COMPUTED_VALUE"""),98.0)</f>
        <v>98</v>
      </c>
      <c r="L94" s="29">
        <f>IFERROR(__xludf.DUMMYFUNCTION("""COMPUTED_VALUE"""),0.009733796166995516)</f>
        <v>0.009733796167</v>
      </c>
      <c r="M94" s="30">
        <f>IFERROR(__xludf.DUMMYFUNCTION("""COMPUTED_VALUE"""),102.0)</f>
        <v>102</v>
      </c>
      <c r="N94" s="29">
        <f>IFERROR(__xludf.DUMMYFUNCTION("""COMPUTED_VALUE"""),0.0012384265513888243)</f>
        <v>0.001238426551</v>
      </c>
      <c r="O94" s="30">
        <f>IFERROR(__xludf.DUMMYFUNCTION("""COMPUTED_VALUE"""),100.0)</f>
        <v>100</v>
      </c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15.75" customHeight="1">
      <c r="A95" s="15">
        <f>IFERROR(__xludf.DUMMYFUNCTION("""COMPUTED_VALUE"""),94.0)</f>
        <v>94</v>
      </c>
      <c r="B95" s="16" t="str">
        <f>IFERROR(__xludf.DUMMYFUNCTION("""COMPUTED_VALUE"""),"156")</f>
        <v>156</v>
      </c>
      <c r="C95" s="17" t="str">
        <f>IFERROR(__xludf.DUMMYFUNCTION("""COMPUTED_VALUE"""),"PILIDJIAN")</f>
        <v>PILIDJIAN</v>
      </c>
      <c r="D95" s="18" t="str">
        <f>IFERROR(__xludf.DUMMYFUNCTION("""COMPUTED_VALUE"""),"CLAIRE")</f>
        <v>CLAIRE</v>
      </c>
      <c r="E95" s="19" t="str">
        <f>IFERROR(__xludf.DUMMYFUNCTION("""COMPUTED_VALUE"""),"SF2")</f>
        <v>SF2</v>
      </c>
      <c r="F95" s="19">
        <f>IFERROR(__xludf.DUMMYFUNCTION("""COMPUTED_VALUE"""),5.0)</f>
        <v>5</v>
      </c>
      <c r="G95" s="20">
        <f>IFERROR(__xludf.DUMMYFUNCTION("""COMPUTED_VALUE"""),0.023379630270167512)</f>
        <v>0.02337963027</v>
      </c>
      <c r="H95" s="21">
        <f>IFERROR(__xludf.DUMMYFUNCTION("""COMPUTED_VALUE"""),0.005300925983923055)</f>
        <v>0.005300925984</v>
      </c>
      <c r="I95" s="22">
        <f>IFERROR(__xludf.DUMMYFUNCTION("""COMPUTED_VALUE"""),135.0)</f>
        <v>135</v>
      </c>
      <c r="J95" s="21">
        <f>IFERROR(__xludf.DUMMYFUNCTION("""COMPUTED_VALUE"""),0.008298611116812791)</f>
        <v>0.008298611117</v>
      </c>
      <c r="K95" s="22">
        <f>IFERROR(__xludf.DUMMYFUNCTION("""COMPUTED_VALUE"""),88.0)</f>
        <v>88</v>
      </c>
      <c r="L95" s="21">
        <f>IFERROR(__xludf.DUMMYFUNCTION("""COMPUTED_VALUE"""),0.008587962909657918)</f>
        <v>0.00858796291</v>
      </c>
      <c r="M95" s="22">
        <f>IFERROR(__xludf.DUMMYFUNCTION("""COMPUTED_VALUE"""),64.0)</f>
        <v>64</v>
      </c>
      <c r="N95" s="21">
        <f>IFERROR(__xludf.DUMMYFUNCTION("""COMPUTED_VALUE"""),0.001192130259773748)</f>
        <v>0.00119213026</v>
      </c>
      <c r="O95" s="22">
        <f>IFERROR(__xludf.DUMMYFUNCTION("""COMPUTED_VALUE"""),91.0)</f>
        <v>91</v>
      </c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15.75" customHeight="1">
      <c r="A96" s="23">
        <f>IFERROR(__xludf.DUMMYFUNCTION("""COMPUTED_VALUE"""),95.0)</f>
        <v>95</v>
      </c>
      <c r="B96" s="24" t="str">
        <f>IFERROR(__xludf.DUMMYFUNCTION("""COMPUTED_VALUE"""),"165")</f>
        <v>165</v>
      </c>
      <c r="C96" s="25" t="str">
        <f>IFERROR(__xludf.DUMMYFUNCTION("""COMPUTED_VALUE"""),"PINOT")</f>
        <v>PINOT</v>
      </c>
      <c r="D96" s="26" t="str">
        <f>IFERROR(__xludf.DUMMYFUNCTION("""COMPUTED_VALUE"""),"ALEXANDRE")</f>
        <v>ALEXANDRE</v>
      </c>
      <c r="E96" s="27" t="str">
        <f>IFERROR(__xludf.DUMMYFUNCTION("""COMPUTED_VALUE"""),"SH4")</f>
        <v>SH4</v>
      </c>
      <c r="F96" s="27">
        <f>IFERROR(__xludf.DUMMYFUNCTION("""COMPUTED_VALUE"""),22.0)</f>
        <v>22</v>
      </c>
      <c r="G96" s="28">
        <f>IFERROR(__xludf.DUMMYFUNCTION("""COMPUTED_VALUE"""),0.023402778655716487)</f>
        <v>0.02340277866</v>
      </c>
      <c r="H96" s="29">
        <f>IFERROR(__xludf.DUMMYFUNCTION("""COMPUTED_VALUE"""),0.005497685297255787)</f>
        <v>0.005497685297</v>
      </c>
      <c r="I96" s="30">
        <f>IFERROR(__xludf.DUMMYFUNCTION("""COMPUTED_VALUE"""),142.0)</f>
        <v>142</v>
      </c>
      <c r="J96" s="29">
        <f>IFERROR(__xludf.DUMMYFUNCTION("""COMPUTED_VALUE"""),0.0077314815076099325)</f>
        <v>0.007731481508</v>
      </c>
      <c r="K96" s="30">
        <f>IFERROR(__xludf.DUMMYFUNCTION("""COMPUTED_VALUE"""),59.0)</f>
        <v>59</v>
      </c>
      <c r="L96" s="29">
        <f>IFERROR(__xludf.DUMMYFUNCTION("""COMPUTED_VALUE"""),0.009062499971979861)</f>
        <v>0.009062499972</v>
      </c>
      <c r="M96" s="30">
        <f>IFERROR(__xludf.DUMMYFUNCTION("""COMPUTED_VALUE"""),79.0)</f>
        <v>79</v>
      </c>
      <c r="N96" s="29">
        <f>IFERROR(__xludf.DUMMYFUNCTION("""COMPUTED_VALUE"""),0.0011111118788709063)</f>
        <v>0.001111111879</v>
      </c>
      <c r="O96" s="30">
        <f>IFERROR(__xludf.DUMMYFUNCTION("""COMPUTED_VALUE"""),74.0)</f>
        <v>74</v>
      </c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15.75" customHeight="1">
      <c r="A97" s="15">
        <f>IFERROR(__xludf.DUMMYFUNCTION("""COMPUTED_VALUE"""),96.0)</f>
        <v>96</v>
      </c>
      <c r="B97" s="16" t="str">
        <f>IFERROR(__xludf.DUMMYFUNCTION("""COMPUTED_VALUE"""),"110")</f>
        <v>110</v>
      </c>
      <c r="C97" s="17" t="str">
        <f>IFERROR(__xludf.DUMMYFUNCTION("""COMPUTED_VALUE"""),"LECOCQ")</f>
        <v>LECOCQ</v>
      </c>
      <c r="D97" s="18" t="str">
        <f>IFERROR(__xludf.DUMMYFUNCTION("""COMPUTED_VALUE"""),"PIERRE")</f>
        <v>PIERRE</v>
      </c>
      <c r="E97" s="19" t="str">
        <f>IFERROR(__xludf.DUMMYFUNCTION("""COMPUTED_VALUE"""),"SH4")</f>
        <v>SH4</v>
      </c>
      <c r="F97" s="19">
        <f>IFERROR(__xludf.DUMMYFUNCTION("""COMPUTED_VALUE"""),23.0)</f>
        <v>23</v>
      </c>
      <c r="G97" s="20">
        <f>IFERROR(__xludf.DUMMYFUNCTION("""COMPUTED_VALUE"""),0.023483796656094687)</f>
        <v>0.02348379666</v>
      </c>
      <c r="H97" s="21">
        <f>IFERROR(__xludf.DUMMYFUNCTION("""COMPUTED_VALUE"""),0.004571759279316037)</f>
        <v>0.004571759279</v>
      </c>
      <c r="I97" s="22">
        <f>IFERROR(__xludf.DUMMYFUNCTION("""COMPUTED_VALUE"""),103.0)</f>
        <v>103</v>
      </c>
      <c r="J97" s="21">
        <f>IFERROR(__xludf.DUMMYFUNCTION("""COMPUTED_VALUE"""),0.008090277823160212)</f>
        <v>0.008090277823</v>
      </c>
      <c r="K97" s="22">
        <f>IFERROR(__xludf.DUMMYFUNCTION("""COMPUTED_VALUE"""),78.0)</f>
        <v>78</v>
      </c>
      <c r="L97" s="21">
        <f>IFERROR(__xludf.DUMMYFUNCTION("""COMPUTED_VALUE"""),0.009826388623265118)</f>
        <v>0.009826388623</v>
      </c>
      <c r="M97" s="22">
        <f>IFERROR(__xludf.DUMMYFUNCTION("""COMPUTED_VALUE"""),105.0)</f>
        <v>105</v>
      </c>
      <c r="N97" s="21">
        <f>IFERROR(__xludf.DUMMYFUNCTION("""COMPUTED_VALUE"""),9.953709303533193E-4)</f>
        <v>0.0009953709304</v>
      </c>
      <c r="O97" s="22">
        <f>IFERROR(__xludf.DUMMYFUNCTION("""COMPUTED_VALUE"""),67.0)</f>
        <v>67</v>
      </c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15.75" customHeight="1">
      <c r="A98" s="23">
        <f>IFERROR(__xludf.DUMMYFUNCTION("""COMPUTED_VALUE"""),97.0)</f>
        <v>97</v>
      </c>
      <c r="B98" s="24" t="str">
        <f>IFERROR(__xludf.DUMMYFUNCTION("""COMPUTED_VALUE"""),"124")</f>
        <v>124</v>
      </c>
      <c r="C98" s="25" t="str">
        <f>IFERROR(__xludf.DUMMYFUNCTION("""COMPUTED_VALUE"""),"KEROMEN")</f>
        <v>KEROMEN</v>
      </c>
      <c r="D98" s="26" t="str">
        <f>IFERROR(__xludf.DUMMYFUNCTION("""COMPUTED_VALUE"""),"GAËLA")</f>
        <v>GAËLA</v>
      </c>
      <c r="E98" s="27" t="str">
        <f>IFERROR(__xludf.DUMMYFUNCTION("""COMPUTED_VALUE"""),"MF1")</f>
        <v>MF1</v>
      </c>
      <c r="F98" s="27">
        <f>IFERROR(__xludf.DUMMYFUNCTION("""COMPUTED_VALUE"""),3.0)</f>
        <v>3</v>
      </c>
      <c r="G98" s="28">
        <f>IFERROR(__xludf.DUMMYFUNCTION("""COMPUTED_VALUE"""),0.023541667583566565)</f>
        <v>0.02354166758</v>
      </c>
      <c r="H98" s="29">
        <f>IFERROR(__xludf.DUMMYFUNCTION("""COMPUTED_VALUE"""),0.0033680556518341422)</f>
        <v>0.003368055652</v>
      </c>
      <c r="I98" s="30">
        <f>IFERROR(__xludf.DUMMYFUNCTION("""COMPUTED_VALUE"""),25.0)</f>
        <v>25</v>
      </c>
      <c r="J98" s="29">
        <f>IFERROR(__xludf.DUMMYFUNCTION("""COMPUTED_VALUE"""),0.009155092611923028)</f>
        <v>0.009155092612</v>
      </c>
      <c r="K98" s="30">
        <f>IFERROR(__xludf.DUMMYFUNCTION("""COMPUTED_VALUE"""),132.0)</f>
        <v>132</v>
      </c>
      <c r="L98" s="29">
        <f>IFERROR(__xludf.DUMMYFUNCTION("""COMPUTED_VALUE"""),0.009699074232451586)</f>
        <v>0.009699074232</v>
      </c>
      <c r="M98" s="30">
        <f>IFERROR(__xludf.DUMMYFUNCTION("""COMPUTED_VALUE"""),100.0)</f>
        <v>100</v>
      </c>
      <c r="N98" s="29">
        <f>IFERROR(__xludf.DUMMYFUNCTION("""COMPUTED_VALUE"""),0.0013194450873578092)</f>
        <v>0.001319445087</v>
      </c>
      <c r="O98" s="30">
        <f>IFERROR(__xludf.DUMMYFUNCTION("""COMPUTED_VALUE"""),106.0)</f>
        <v>106</v>
      </c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15.75" customHeight="1">
      <c r="A99" s="15">
        <f>IFERROR(__xludf.DUMMYFUNCTION("""COMPUTED_VALUE"""),98.0)</f>
        <v>98</v>
      </c>
      <c r="B99" s="16" t="str">
        <f>IFERROR(__xludf.DUMMYFUNCTION("""COMPUTED_VALUE"""),"56")</f>
        <v>56</v>
      </c>
      <c r="C99" s="17" t="str">
        <f>IFERROR(__xludf.DUMMYFUNCTION("""COMPUTED_VALUE"""),"LAUTROU")</f>
        <v>LAUTROU</v>
      </c>
      <c r="D99" s="18" t="str">
        <f>IFERROR(__xludf.DUMMYFUNCTION("""COMPUTED_VALUE"""),"JEAN-PAUL")</f>
        <v>JEAN-PAUL</v>
      </c>
      <c r="E99" s="19" t="str">
        <f>IFERROR(__xludf.DUMMYFUNCTION("""COMPUTED_VALUE"""),"MH5")</f>
        <v>MH5</v>
      </c>
      <c r="F99" s="19">
        <f>IFERROR(__xludf.DUMMYFUNCTION("""COMPUTED_VALUE"""),3.0)</f>
        <v>3</v>
      </c>
      <c r="G99" s="20">
        <f>IFERROR(__xludf.DUMMYFUNCTION("""COMPUTED_VALUE"""),0.0235416676705876)</f>
        <v>0.02354166767</v>
      </c>
      <c r="H99" s="21">
        <f>IFERROR(__xludf.DUMMYFUNCTION("""COMPUTED_VALUE"""),0.004502314827404847)</f>
        <v>0.004502314827</v>
      </c>
      <c r="I99" s="22">
        <f>IFERROR(__xludf.DUMMYFUNCTION("""COMPUTED_VALUE"""),97.0)</f>
        <v>97</v>
      </c>
      <c r="J99" s="21">
        <f>IFERROR(__xludf.DUMMYFUNCTION("""COMPUTED_VALUE"""),0.008206018624891908)</f>
        <v>0.008206018625</v>
      </c>
      <c r="K99" s="22">
        <f>IFERROR(__xludf.DUMMYFUNCTION("""COMPUTED_VALUE"""),85.0)</f>
        <v>85</v>
      </c>
      <c r="L99" s="21">
        <f>IFERROR(__xludf.DUMMYFUNCTION("""COMPUTED_VALUE"""),0.009120370936537716)</f>
        <v>0.009120370937</v>
      </c>
      <c r="M99" s="22">
        <f>IFERROR(__xludf.DUMMYFUNCTION("""COMPUTED_VALUE"""),82.0)</f>
        <v>82</v>
      </c>
      <c r="N99" s="21">
        <f>IFERROR(__xludf.DUMMYFUNCTION("""COMPUTED_VALUE"""),0.00171296328175313)</f>
        <v>0.001712963282</v>
      </c>
      <c r="O99" s="22">
        <f>IFERROR(__xludf.DUMMYFUNCTION("""COMPUTED_VALUE"""),136.0)</f>
        <v>136</v>
      </c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15.75" customHeight="1">
      <c r="A100" s="23">
        <f>IFERROR(__xludf.DUMMYFUNCTION("""COMPUTED_VALUE"""),99.0)</f>
        <v>99</v>
      </c>
      <c r="B100" s="24" t="str">
        <f>IFERROR(__xludf.DUMMYFUNCTION("""COMPUTED_VALUE"""),"151")</f>
        <v>151</v>
      </c>
      <c r="C100" s="25" t="str">
        <f>IFERROR(__xludf.DUMMYFUNCTION("""COMPUTED_VALUE"""),"OTMANI")</f>
        <v>OTMANI</v>
      </c>
      <c r="D100" s="26" t="str">
        <f>IFERROR(__xludf.DUMMYFUNCTION("""COMPUTED_VALUE"""),"SIXTINE")</f>
        <v>SIXTINE</v>
      </c>
      <c r="E100" s="27" t="str">
        <f>IFERROR(__xludf.DUMMYFUNCTION("""COMPUTED_VALUE"""),"SF2")</f>
        <v>SF2</v>
      </c>
      <c r="F100" s="27">
        <f>IFERROR(__xludf.DUMMYFUNCTION("""COMPUTED_VALUE"""),6.0)</f>
        <v>6</v>
      </c>
      <c r="G100" s="28">
        <f>IFERROR(__xludf.DUMMYFUNCTION("""COMPUTED_VALUE"""),0.023668981517082004)</f>
        <v>0.02366898152</v>
      </c>
      <c r="H100" s="29">
        <f>IFERROR(__xludf.DUMMYFUNCTION("""COMPUTED_VALUE"""),0.005162037147852138)</f>
        <v>0.005162037148</v>
      </c>
      <c r="I100" s="30">
        <f>IFERROR(__xludf.DUMMYFUNCTION("""COMPUTED_VALUE"""),128.0)</f>
        <v>128</v>
      </c>
      <c r="J100" s="29">
        <f>IFERROR(__xludf.DUMMYFUNCTION("""COMPUTED_VALUE"""),0.007847222332410702)</f>
        <v>0.007847222332</v>
      </c>
      <c r="K100" s="30">
        <f>IFERROR(__xludf.DUMMYFUNCTION("""COMPUTED_VALUE"""),65.0)</f>
        <v>65</v>
      </c>
      <c r="L100" s="29">
        <f>IFERROR(__xludf.DUMMYFUNCTION("""COMPUTED_VALUE"""),0.009386573696905442)</f>
        <v>0.009386573697</v>
      </c>
      <c r="M100" s="30">
        <f>IFERROR(__xludf.DUMMYFUNCTION("""COMPUTED_VALUE"""),91.0)</f>
        <v>91</v>
      </c>
      <c r="N100" s="29">
        <f>IFERROR(__xludf.DUMMYFUNCTION("""COMPUTED_VALUE"""),0.0012731483399137222)</f>
        <v>0.00127314834</v>
      </c>
      <c r="O100" s="30">
        <f>IFERROR(__xludf.DUMMYFUNCTION("""COMPUTED_VALUE"""),105.0)</f>
        <v>105</v>
      </c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15.75" customHeight="1">
      <c r="A101" s="15">
        <f>IFERROR(__xludf.DUMMYFUNCTION("""COMPUTED_VALUE"""),100.0)</f>
        <v>100</v>
      </c>
      <c r="B101" s="16" t="str">
        <f>IFERROR(__xludf.DUMMYFUNCTION("""COMPUTED_VALUE"""),"117")</f>
        <v>117</v>
      </c>
      <c r="C101" s="17" t="str">
        <f>IFERROR(__xludf.DUMMYFUNCTION("""COMPUTED_VALUE"""),"BARBEAU")</f>
        <v>BARBEAU</v>
      </c>
      <c r="D101" s="18" t="str">
        <f>IFERROR(__xludf.DUMMYFUNCTION("""COMPUTED_VALUE"""),"REMY")</f>
        <v>REMY</v>
      </c>
      <c r="E101" s="19" t="str">
        <f>IFERROR(__xludf.DUMMYFUNCTION("""COMPUTED_VALUE"""),"MH1")</f>
        <v>MH1</v>
      </c>
      <c r="F101" s="19">
        <f>IFERROR(__xludf.DUMMYFUNCTION("""COMPUTED_VALUE"""),10.0)</f>
        <v>10</v>
      </c>
      <c r="G101" s="20">
        <f>IFERROR(__xludf.DUMMYFUNCTION("""COMPUTED_VALUE"""),0.023738426122137724)</f>
        <v>0.02373842612</v>
      </c>
      <c r="H101" s="21">
        <f>IFERROR(__xludf.DUMMYFUNCTION("""COMPUTED_VALUE"""),0.004108796333266494)</f>
        <v>0.004108796333</v>
      </c>
      <c r="I101" s="22">
        <f>IFERROR(__xludf.DUMMYFUNCTION("""COMPUTED_VALUE"""),74.0)</f>
        <v>74</v>
      </c>
      <c r="J101" s="21">
        <f>IFERROR(__xludf.DUMMYFUNCTION("""COMPUTED_VALUE"""),0.007199074165689098)</f>
        <v>0.007199074166</v>
      </c>
      <c r="K101" s="22">
        <f>IFERROR(__xludf.DUMMYFUNCTION("""COMPUTED_VALUE"""),34.0)</f>
        <v>34</v>
      </c>
      <c r="L101" s="21">
        <f>IFERROR(__xludf.DUMMYFUNCTION("""COMPUTED_VALUE"""),0.011469907009536899)</f>
        <v>0.01146990701</v>
      </c>
      <c r="M101" s="22">
        <f>IFERROR(__xludf.DUMMYFUNCTION("""COMPUTED_VALUE"""),138.0)</f>
        <v>138</v>
      </c>
      <c r="N101" s="21">
        <f>IFERROR(__xludf.DUMMYFUNCTION("""COMPUTED_VALUE"""),9.606486136452333E-4)</f>
        <v>0.0009606486136</v>
      </c>
      <c r="O101" s="22">
        <f>IFERROR(__xludf.DUMMYFUNCTION("""COMPUTED_VALUE"""),63.0)</f>
        <v>63</v>
      </c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15.75" customHeight="1">
      <c r="A102" s="23">
        <f>IFERROR(__xludf.DUMMYFUNCTION("""COMPUTED_VALUE"""),101.0)</f>
        <v>101</v>
      </c>
      <c r="B102" s="24" t="str">
        <f>IFERROR(__xludf.DUMMYFUNCTION("""COMPUTED_VALUE"""),"170")</f>
        <v>170</v>
      </c>
      <c r="C102" s="25" t="str">
        <f>IFERROR(__xludf.DUMMYFUNCTION("""COMPUTED_VALUE"""),"LAJOIX")</f>
        <v>LAJOIX</v>
      </c>
      <c r="D102" s="26" t="str">
        <f>IFERROR(__xludf.DUMMYFUNCTION("""COMPUTED_VALUE"""),"VALÉRIE")</f>
        <v>VALÉRIE</v>
      </c>
      <c r="E102" s="27" t="str">
        <f>IFERROR(__xludf.DUMMYFUNCTION("""COMPUTED_VALUE"""),"MF5")</f>
        <v>MF5</v>
      </c>
      <c r="F102" s="27">
        <f>IFERROR(__xludf.DUMMYFUNCTION("""COMPUTED_VALUE"""),1.0)</f>
        <v>1</v>
      </c>
      <c r="G102" s="28">
        <f>IFERROR(__xludf.DUMMYFUNCTION("""COMPUTED_VALUE"""),0.023831018699929447)</f>
        <v>0.0238310187</v>
      </c>
      <c r="H102" s="29">
        <f>IFERROR(__xludf.DUMMYFUNCTION("""COMPUTED_VALUE"""),0.004328703723343752)</f>
        <v>0.004328703723</v>
      </c>
      <c r="I102" s="30">
        <f>IFERROR(__xludf.DUMMYFUNCTION("""COMPUTED_VALUE"""),87.0)</f>
        <v>87</v>
      </c>
      <c r="J102" s="29">
        <f>IFERROR(__xludf.DUMMYFUNCTION("""COMPUTED_VALUE"""),0.008946759268611442)</f>
        <v>0.008946759269</v>
      </c>
      <c r="K102" s="30">
        <f>IFERROR(__xludf.DUMMYFUNCTION("""COMPUTED_VALUE"""),118.0)</f>
        <v>118</v>
      </c>
      <c r="L102" s="29">
        <f>IFERROR(__xludf.DUMMYFUNCTION("""COMPUTED_VALUE"""),0.00935185118783265)</f>
        <v>0.009351851188</v>
      </c>
      <c r="M102" s="30">
        <f>IFERROR(__xludf.DUMMYFUNCTION("""COMPUTED_VALUE"""),87.0)</f>
        <v>87</v>
      </c>
      <c r="N102" s="29">
        <f>IFERROR(__xludf.DUMMYFUNCTION("""COMPUTED_VALUE"""),0.0012037045201416024)</f>
        <v>0.00120370452</v>
      </c>
      <c r="O102" s="30">
        <f>IFERROR(__xludf.DUMMYFUNCTION("""COMPUTED_VALUE"""),95.0)</f>
        <v>95</v>
      </c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15.75" customHeight="1">
      <c r="A103" s="15">
        <f>IFERROR(__xludf.DUMMYFUNCTION("""COMPUTED_VALUE"""),102.0)</f>
        <v>102</v>
      </c>
      <c r="B103" s="16" t="str">
        <f>IFERROR(__xludf.DUMMYFUNCTION("""COMPUTED_VALUE"""),"69")</f>
        <v>69</v>
      </c>
      <c r="C103" s="17" t="str">
        <f>IFERROR(__xludf.DUMMYFUNCTION("""COMPUTED_VALUE"""),"CASTERAN")</f>
        <v>CASTERAN</v>
      </c>
      <c r="D103" s="18" t="str">
        <f>IFERROR(__xludf.DUMMYFUNCTION("""COMPUTED_VALUE"""),"VALÉRIE")</f>
        <v>VALÉRIE</v>
      </c>
      <c r="E103" s="19" t="str">
        <f>IFERROR(__xludf.DUMMYFUNCTION("""COMPUTED_VALUE"""),"MF5")</f>
        <v>MF5</v>
      </c>
      <c r="F103" s="19">
        <f>IFERROR(__xludf.DUMMYFUNCTION("""COMPUTED_VALUE"""),2.0)</f>
        <v>2</v>
      </c>
      <c r="G103" s="20">
        <f>IFERROR(__xludf.DUMMYFUNCTION("""COMPUTED_VALUE"""),0.024143518607476405)</f>
        <v>0.02414351861</v>
      </c>
      <c r="H103" s="21">
        <f>IFERROR(__xludf.DUMMYFUNCTION("""COMPUTED_VALUE"""),0.005104166696974037)</f>
        <v>0.005104166697</v>
      </c>
      <c r="I103" s="22">
        <f>IFERROR(__xludf.DUMMYFUNCTION("""COMPUTED_VALUE"""),127.0)</f>
        <v>127</v>
      </c>
      <c r="J103" s="21">
        <f>IFERROR(__xludf.DUMMYFUNCTION("""COMPUTED_VALUE"""),0.008831018617267473)</f>
        <v>0.008831018617</v>
      </c>
      <c r="K103" s="22">
        <f>IFERROR(__xludf.DUMMYFUNCTION("""COMPUTED_VALUE"""),112.0)</f>
        <v>112</v>
      </c>
      <c r="L103" s="21">
        <f>IFERROR(__xludf.DUMMYFUNCTION("""COMPUTED_VALUE"""),0.009351851910767497)</f>
        <v>0.009351851911</v>
      </c>
      <c r="M103" s="22">
        <f>IFERROR(__xludf.DUMMYFUNCTION("""COMPUTED_VALUE"""),88.0)</f>
        <v>88</v>
      </c>
      <c r="N103" s="21">
        <f>IFERROR(__xludf.DUMMYFUNCTION("""COMPUTED_VALUE"""),8.564813824673981E-4)</f>
        <v>0.0008564813825</v>
      </c>
      <c r="O103" s="22">
        <f>IFERROR(__xludf.DUMMYFUNCTION("""COMPUTED_VALUE"""),43.0)</f>
        <v>43</v>
      </c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5.75" customHeight="1">
      <c r="A104" s="23">
        <f>IFERROR(__xludf.DUMMYFUNCTION("""COMPUTED_VALUE"""),103.0)</f>
        <v>103</v>
      </c>
      <c r="B104" s="24" t="str">
        <f>IFERROR(__xludf.DUMMYFUNCTION("""COMPUTED_VALUE"""),"201")</f>
        <v>201</v>
      </c>
      <c r="C104" s="25" t="str">
        <f>IFERROR(__xludf.DUMMYFUNCTION("""COMPUTED_VALUE"""),"MAGNINO")</f>
        <v>MAGNINO</v>
      </c>
      <c r="D104" s="26" t="str">
        <f>IFERROR(__xludf.DUMMYFUNCTION("""COMPUTED_VALUE"""),"LAURIANE")</f>
        <v>LAURIANE</v>
      </c>
      <c r="E104" s="27" t="str">
        <f>IFERROR(__xludf.DUMMYFUNCTION("""COMPUTED_VALUE"""),"MF2")</f>
        <v>MF2</v>
      </c>
      <c r="F104" s="27">
        <f>IFERROR(__xludf.DUMMYFUNCTION("""COMPUTED_VALUE"""),4.0)</f>
        <v>4</v>
      </c>
      <c r="G104" s="28">
        <f>IFERROR(__xludf.DUMMYFUNCTION("""COMPUTED_VALUE"""),0.02424768584335974)</f>
        <v>0.02424768584</v>
      </c>
      <c r="H104" s="29">
        <f>IFERROR(__xludf.DUMMYFUNCTION("""COMPUTED_VALUE"""),0.004930555648562867)</f>
        <v>0.004930555649</v>
      </c>
      <c r="I104" s="30">
        <f>IFERROR(__xludf.DUMMYFUNCTION("""COMPUTED_VALUE"""),119.0)</f>
        <v>119</v>
      </c>
      <c r="J104" s="29">
        <f>IFERROR(__xludf.DUMMYFUNCTION("""COMPUTED_VALUE"""),0.008587962984080317)</f>
        <v>0.008587962984</v>
      </c>
      <c r="K104" s="30">
        <f>IFERROR(__xludf.DUMMYFUNCTION("""COMPUTED_VALUE"""),101.0)</f>
        <v>101</v>
      </c>
      <c r="L104" s="29">
        <f>IFERROR(__xludf.DUMMYFUNCTION("""COMPUTED_VALUE"""),0.009814815131663025)</f>
        <v>0.009814815132</v>
      </c>
      <c r="M104" s="30">
        <f>IFERROR(__xludf.DUMMYFUNCTION("""COMPUTED_VALUE"""),104.0)</f>
        <v>104</v>
      </c>
      <c r="N104" s="29">
        <f>IFERROR(__xludf.DUMMYFUNCTION("""COMPUTED_VALUE"""),9.143520790535322E-4)</f>
        <v>0.0009143520791</v>
      </c>
      <c r="O104" s="30">
        <f>IFERROR(__xludf.DUMMYFUNCTION("""COMPUTED_VALUE"""),59.0)</f>
        <v>59</v>
      </c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15.75" customHeight="1">
      <c r="A105" s="15">
        <f>IFERROR(__xludf.DUMMYFUNCTION("""COMPUTED_VALUE"""),104.0)</f>
        <v>104</v>
      </c>
      <c r="B105" s="16" t="str">
        <f>IFERROR(__xludf.DUMMYFUNCTION("""COMPUTED_VALUE"""),"174")</f>
        <v>174</v>
      </c>
      <c r="C105" s="17" t="str">
        <f>IFERROR(__xludf.DUMMYFUNCTION("""COMPUTED_VALUE"""),"MARIAT")</f>
        <v>MARIAT</v>
      </c>
      <c r="D105" s="18" t="str">
        <f>IFERROR(__xludf.DUMMYFUNCTION("""COMPUTED_VALUE"""),"ALEXANDRE")</f>
        <v>ALEXANDRE</v>
      </c>
      <c r="E105" s="19" t="str">
        <f>IFERROR(__xludf.DUMMYFUNCTION("""COMPUTED_VALUE"""),"MH2")</f>
        <v>MH2</v>
      </c>
      <c r="F105" s="19">
        <f>IFERROR(__xludf.DUMMYFUNCTION("""COMPUTED_VALUE"""),11.0)</f>
        <v>11</v>
      </c>
      <c r="G105" s="20">
        <f>IFERROR(__xludf.DUMMYFUNCTION("""COMPUTED_VALUE"""),0.024375000619461473)</f>
        <v>0.02437500062</v>
      </c>
      <c r="H105" s="21">
        <f>IFERROR(__xludf.DUMMYFUNCTION("""COMPUTED_VALUE"""),0.004097222308793983)</f>
        <v>0.004097222309</v>
      </c>
      <c r="I105" s="22">
        <f>IFERROR(__xludf.DUMMYFUNCTION("""COMPUTED_VALUE"""),73.0)</f>
        <v>73</v>
      </c>
      <c r="J105" s="21">
        <f>IFERROR(__xludf.DUMMYFUNCTION("""COMPUTED_VALUE"""),0.00866898151445987)</f>
        <v>0.008668981514</v>
      </c>
      <c r="K105" s="22">
        <f>IFERROR(__xludf.DUMMYFUNCTION("""COMPUTED_VALUE"""),107.0)</f>
        <v>107</v>
      </c>
      <c r="L105" s="21">
        <f>IFERROR(__xludf.DUMMYFUNCTION("""COMPUTED_VALUE"""),0.010115740334949318)</f>
        <v>0.01011574033</v>
      </c>
      <c r="M105" s="22">
        <f>IFERROR(__xludf.DUMMYFUNCTION("""COMPUTED_VALUE"""),111.0)</f>
        <v>111</v>
      </c>
      <c r="N105" s="21">
        <f>IFERROR(__xludf.DUMMYFUNCTION("""COMPUTED_VALUE"""),0.001493056461258302)</f>
        <v>0.001493056461</v>
      </c>
      <c r="O105" s="22">
        <f>IFERROR(__xludf.DUMMYFUNCTION("""COMPUTED_VALUE"""),123.0)</f>
        <v>123</v>
      </c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15.75" customHeight="1">
      <c r="A106" s="23">
        <f>IFERROR(__xludf.DUMMYFUNCTION("""COMPUTED_VALUE"""),105.0)</f>
        <v>105</v>
      </c>
      <c r="B106" s="24" t="str">
        <f>IFERROR(__xludf.DUMMYFUNCTION("""COMPUTED_VALUE"""),"66")</f>
        <v>66</v>
      </c>
      <c r="C106" s="25" t="str">
        <f>IFERROR(__xludf.DUMMYFUNCTION("""COMPUTED_VALUE"""),"COSSERON")</f>
        <v>COSSERON</v>
      </c>
      <c r="D106" s="26" t="str">
        <f>IFERROR(__xludf.DUMMYFUNCTION("""COMPUTED_VALUE"""),"FLORIAN")</f>
        <v>FLORIAN</v>
      </c>
      <c r="E106" s="27" t="str">
        <f>IFERROR(__xludf.DUMMYFUNCTION("""COMPUTED_VALUE"""),"SH2")</f>
        <v>SH2</v>
      </c>
      <c r="F106" s="27">
        <f>IFERROR(__xludf.DUMMYFUNCTION("""COMPUTED_VALUE"""),9.0)</f>
        <v>9</v>
      </c>
      <c r="G106" s="28">
        <f>IFERROR(__xludf.DUMMYFUNCTION("""COMPUTED_VALUE"""),0.024386574838902646)</f>
        <v>0.02438657484</v>
      </c>
      <c r="H106" s="29">
        <f>IFERROR(__xludf.DUMMYFUNCTION("""COMPUTED_VALUE"""),0.004502314882570483)</f>
        <v>0.004502314883</v>
      </c>
      <c r="I106" s="30">
        <f>IFERROR(__xludf.DUMMYFUNCTION("""COMPUTED_VALUE"""),98.0)</f>
        <v>98</v>
      </c>
      <c r="J106" s="29">
        <f>IFERROR(__xludf.DUMMYFUNCTION("""COMPUTED_VALUE"""),0.009143518555501105)</f>
        <v>0.009143518556</v>
      </c>
      <c r="K106" s="30">
        <f>IFERROR(__xludf.DUMMYFUNCTION("""COMPUTED_VALUE"""),130.0)</f>
        <v>130</v>
      </c>
      <c r="L106" s="29">
        <f>IFERROR(__xludf.DUMMYFUNCTION("""COMPUTED_VALUE"""),0.009594907121901584)</f>
        <v>0.009594907122</v>
      </c>
      <c r="M106" s="30">
        <f>IFERROR(__xludf.DUMMYFUNCTION("""COMPUTED_VALUE"""),95.0)</f>
        <v>95</v>
      </c>
      <c r="N106" s="29">
        <f>IFERROR(__xludf.DUMMYFUNCTION("""COMPUTED_VALUE"""),0.0011458342789294742)</f>
        <v>0.001145834279</v>
      </c>
      <c r="O106" s="30">
        <f>IFERROR(__xludf.DUMMYFUNCTION("""COMPUTED_VALUE"""),80.0)</f>
        <v>80</v>
      </c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15.75" customHeight="1">
      <c r="A107" s="15">
        <f>IFERROR(__xludf.DUMMYFUNCTION("""COMPUTED_VALUE"""),106.0)</f>
        <v>106</v>
      </c>
      <c r="B107" s="16" t="str">
        <f>IFERROR(__xludf.DUMMYFUNCTION("""COMPUTED_VALUE"""),"176")</f>
        <v>176</v>
      </c>
      <c r="C107" s="17" t="str">
        <f>IFERROR(__xludf.DUMMYFUNCTION("""COMPUTED_VALUE"""),"LOMBARD")</f>
        <v>LOMBARD</v>
      </c>
      <c r="D107" s="18" t="str">
        <f>IFERROR(__xludf.DUMMYFUNCTION("""COMPUTED_VALUE"""),"MAXIME")</f>
        <v>MAXIME</v>
      </c>
      <c r="E107" s="19" t="str">
        <f>IFERROR(__xludf.DUMMYFUNCTION("""COMPUTED_VALUE"""),"SH2")</f>
        <v>SH2</v>
      </c>
      <c r="F107" s="19">
        <f>IFERROR(__xludf.DUMMYFUNCTION("""COMPUTED_VALUE"""),10.0)</f>
        <v>10</v>
      </c>
      <c r="G107" s="20">
        <f>IFERROR(__xludf.DUMMYFUNCTION("""COMPUTED_VALUE"""),0.0244444446317668)</f>
        <v>0.02444444463</v>
      </c>
      <c r="H107" s="21">
        <f>IFERROR(__xludf.DUMMYFUNCTION("""COMPUTED_VALUE"""),0.004282407455118129)</f>
        <v>0.004282407455</v>
      </c>
      <c r="I107" s="22">
        <f>IFERROR(__xludf.DUMMYFUNCTION("""COMPUTED_VALUE"""),84.0)</f>
        <v>84</v>
      </c>
      <c r="J107" s="21">
        <f>IFERROR(__xludf.DUMMYFUNCTION("""COMPUTED_VALUE"""),0.00961805558339146)</f>
        <v>0.009618055583</v>
      </c>
      <c r="K107" s="22">
        <f>IFERROR(__xludf.DUMMYFUNCTION("""COMPUTED_VALUE"""),143.0)</f>
        <v>143</v>
      </c>
      <c r="L107" s="21">
        <f>IFERROR(__xludf.DUMMYFUNCTION("""COMPUTED_VALUE"""),0.009143517876602104)</f>
        <v>0.009143517877</v>
      </c>
      <c r="M107" s="22">
        <f>IFERROR(__xludf.DUMMYFUNCTION("""COMPUTED_VALUE"""),84.0)</f>
        <v>84</v>
      </c>
      <c r="N107" s="21">
        <f>IFERROR(__xludf.DUMMYFUNCTION("""COMPUTED_VALUE"""),0.0014004637166551079)</f>
        <v>0.001400463717</v>
      </c>
      <c r="O107" s="22">
        <f>IFERROR(__xludf.DUMMYFUNCTION("""COMPUTED_VALUE"""),114.0)</f>
        <v>114</v>
      </c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15.75" customHeight="1">
      <c r="A108" s="23">
        <f>IFERROR(__xludf.DUMMYFUNCTION("""COMPUTED_VALUE"""),107.0)</f>
        <v>107</v>
      </c>
      <c r="B108" s="24" t="str">
        <f>IFERROR(__xludf.DUMMYFUNCTION("""COMPUTED_VALUE"""),"79")</f>
        <v>79</v>
      </c>
      <c r="C108" s="25" t="str">
        <f>IFERROR(__xludf.DUMMYFUNCTION("""COMPUTED_VALUE"""),"RAFFRAY")</f>
        <v>RAFFRAY</v>
      </c>
      <c r="D108" s="26" t="str">
        <f>IFERROR(__xludf.DUMMYFUNCTION("""COMPUTED_VALUE"""),"SYLVAIN")</f>
        <v>SYLVAIN</v>
      </c>
      <c r="E108" s="27" t="str">
        <f>IFERROR(__xludf.DUMMYFUNCTION("""COMPUTED_VALUE"""),"MH2")</f>
        <v>MH2</v>
      </c>
      <c r="F108" s="27">
        <f>IFERROR(__xludf.DUMMYFUNCTION("""COMPUTED_VALUE"""),12.0)</f>
        <v>12</v>
      </c>
      <c r="G108" s="28">
        <f>IFERROR(__xludf.DUMMYFUNCTION("""COMPUTED_VALUE"""),0.024583334245657822)</f>
        <v>0.02458333425</v>
      </c>
      <c r="H108" s="29">
        <f>IFERROR(__xludf.DUMMYFUNCTION("""COMPUTED_VALUE"""),0.004027777843302037)</f>
        <v>0.004027777843</v>
      </c>
      <c r="I108" s="30">
        <f>IFERROR(__xludf.DUMMYFUNCTION("""COMPUTED_VALUE"""),70.0)</f>
        <v>70</v>
      </c>
      <c r="J108" s="29">
        <f>IFERROR(__xludf.DUMMYFUNCTION("""COMPUTED_VALUE"""),0.007662037077595987)</f>
        <v>0.007662037078</v>
      </c>
      <c r="K108" s="30">
        <f>IFERROR(__xludf.DUMMYFUNCTION("""COMPUTED_VALUE"""),55.0)</f>
        <v>55</v>
      </c>
      <c r="L108" s="29">
        <f>IFERROR(__xludf.DUMMYFUNCTION("""COMPUTED_VALUE"""),0.0113541671487176)</f>
        <v>0.01135416715</v>
      </c>
      <c r="M108" s="30">
        <f>IFERROR(__xludf.DUMMYFUNCTION("""COMPUTED_VALUE"""),135.0)</f>
        <v>135</v>
      </c>
      <c r="N108" s="29">
        <f>IFERROR(__xludf.DUMMYFUNCTION("""COMPUTED_VALUE"""),0.0015393521760421972)</f>
        <v>0.001539352176</v>
      </c>
      <c r="O108" s="30">
        <f>IFERROR(__xludf.DUMMYFUNCTION("""COMPUTED_VALUE"""),125.0)</f>
        <v>125</v>
      </c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15.75" customHeight="1">
      <c r="A109" s="15">
        <f>IFERROR(__xludf.DUMMYFUNCTION("""COMPUTED_VALUE"""),108.0)</f>
        <v>108</v>
      </c>
      <c r="B109" s="16" t="str">
        <f>IFERROR(__xludf.DUMMYFUNCTION("""COMPUTED_VALUE"""),"121")</f>
        <v>121</v>
      </c>
      <c r="C109" s="17" t="str">
        <f>IFERROR(__xludf.DUMMYFUNCTION("""COMPUTED_VALUE"""),"BENSARI")</f>
        <v>BENSARI</v>
      </c>
      <c r="D109" s="18" t="str">
        <f>IFERROR(__xludf.DUMMYFUNCTION("""COMPUTED_VALUE"""),"RYAD")</f>
        <v>RYAD</v>
      </c>
      <c r="E109" s="19" t="str">
        <f>IFERROR(__xludf.DUMMYFUNCTION("""COMPUTED_VALUE"""),"MH1")</f>
        <v>MH1</v>
      </c>
      <c r="F109" s="19">
        <f>IFERROR(__xludf.DUMMYFUNCTION("""COMPUTED_VALUE"""),11.0)</f>
        <v>11</v>
      </c>
      <c r="G109" s="20">
        <f>IFERROR(__xludf.DUMMYFUNCTION("""COMPUTED_VALUE"""),0.024618056398743406)</f>
        <v>0.0246180564</v>
      </c>
      <c r="H109" s="21">
        <f>IFERROR(__xludf.DUMMYFUNCTION("""COMPUTED_VALUE"""),0.005405092705894518)</f>
        <v>0.005405092706</v>
      </c>
      <c r="I109" s="22">
        <f>IFERROR(__xludf.DUMMYFUNCTION("""COMPUTED_VALUE"""),139.0)</f>
        <v>139</v>
      </c>
      <c r="J109" s="21">
        <f>IFERROR(__xludf.DUMMYFUNCTION("""COMPUTED_VALUE"""),0.007766203819145763)</f>
        <v>0.007766203819</v>
      </c>
      <c r="K109" s="22">
        <f>IFERROR(__xludf.DUMMYFUNCTION("""COMPUTED_VALUE"""),63.0)</f>
        <v>63</v>
      </c>
      <c r="L109" s="21">
        <f>IFERROR(__xludf.DUMMYFUNCTION("""COMPUTED_VALUE"""),0.009710648171603277)</f>
        <v>0.009710648172</v>
      </c>
      <c r="M109" s="22">
        <f>IFERROR(__xludf.DUMMYFUNCTION("""COMPUTED_VALUE"""),101.0)</f>
        <v>101</v>
      </c>
      <c r="N109" s="21">
        <f>IFERROR(__xludf.DUMMYFUNCTION("""COMPUTED_VALUE"""),0.0017361117020998473)</f>
        <v>0.001736111702</v>
      </c>
      <c r="O109" s="22">
        <f>IFERROR(__xludf.DUMMYFUNCTION("""COMPUTED_VALUE"""),137.0)</f>
        <v>137</v>
      </c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15.75" customHeight="1">
      <c r="A110" s="23">
        <f>IFERROR(__xludf.DUMMYFUNCTION("""COMPUTED_VALUE"""),109.0)</f>
        <v>109</v>
      </c>
      <c r="B110" s="24" t="str">
        <f>IFERROR(__xludf.DUMMYFUNCTION("""COMPUTED_VALUE"""),"123")</f>
        <v>123</v>
      </c>
      <c r="C110" s="25" t="str">
        <f>IFERROR(__xludf.DUMMYFUNCTION("""COMPUTED_VALUE"""),"SATKUNANANTHAN")</f>
        <v>SATKUNANANTHAN</v>
      </c>
      <c r="D110" s="26" t="str">
        <f>IFERROR(__xludf.DUMMYFUNCTION("""COMPUTED_VALUE"""),"SASIHARAN")</f>
        <v>SASIHARAN</v>
      </c>
      <c r="E110" s="27" t="str">
        <f>IFERROR(__xludf.DUMMYFUNCTION("""COMPUTED_VALUE"""),"MH1")</f>
        <v>MH1</v>
      </c>
      <c r="F110" s="27">
        <f>IFERROR(__xludf.DUMMYFUNCTION("""COMPUTED_VALUE"""),12.0)</f>
        <v>12</v>
      </c>
      <c r="G110" s="28">
        <f>IFERROR(__xludf.DUMMYFUNCTION("""COMPUTED_VALUE"""),0.024652778020674476)</f>
        <v>0.02465277802</v>
      </c>
      <c r="H110" s="29">
        <f>IFERROR(__xludf.DUMMYFUNCTION("""COMPUTED_VALUE"""),0.005289351947609584)</f>
        <v>0.005289351948</v>
      </c>
      <c r="I110" s="30">
        <f>IFERROR(__xludf.DUMMYFUNCTION("""COMPUTED_VALUE"""),134.0)</f>
        <v>134</v>
      </c>
      <c r="J110" s="29">
        <f>IFERROR(__xludf.DUMMYFUNCTION("""COMPUTED_VALUE"""),0.00902777788617769)</f>
        <v>0.009027777886</v>
      </c>
      <c r="K110" s="30">
        <f>IFERROR(__xludf.DUMMYFUNCTION("""COMPUTED_VALUE"""),122.0)</f>
        <v>122</v>
      </c>
      <c r="L110" s="29">
        <f>IFERROR(__xludf.DUMMYFUNCTION("""COMPUTED_VALUE"""),0.00906250014828194)</f>
        <v>0.009062500148</v>
      </c>
      <c r="M110" s="30">
        <f>IFERROR(__xludf.DUMMYFUNCTION("""COMPUTED_VALUE"""),80.0)</f>
        <v>80</v>
      </c>
      <c r="N110" s="29">
        <f>IFERROR(__xludf.DUMMYFUNCTION("""COMPUTED_VALUE"""),0.001273148038605263)</f>
        <v>0.001273148039</v>
      </c>
      <c r="O110" s="30">
        <f>IFERROR(__xludf.DUMMYFUNCTION("""COMPUTED_VALUE"""),104.0)</f>
        <v>104</v>
      </c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15.75" customHeight="1">
      <c r="A111" s="15">
        <f>IFERROR(__xludf.DUMMYFUNCTION("""COMPUTED_VALUE"""),110.0)</f>
        <v>110</v>
      </c>
      <c r="B111" s="16" t="str">
        <f>IFERROR(__xludf.DUMMYFUNCTION("""COMPUTED_VALUE"""),"127")</f>
        <v>127</v>
      </c>
      <c r="C111" s="17" t="str">
        <f>IFERROR(__xludf.DUMMYFUNCTION("""COMPUTED_VALUE"""),"GOSSE")</f>
        <v>GOSSE</v>
      </c>
      <c r="D111" s="18" t="str">
        <f>IFERROR(__xludf.DUMMYFUNCTION("""COMPUTED_VALUE"""),"MARION")</f>
        <v>MARION</v>
      </c>
      <c r="E111" s="19" t="str">
        <f>IFERROR(__xludf.DUMMYFUNCTION("""COMPUTED_VALUE"""),"SF2")</f>
        <v>SF2</v>
      </c>
      <c r="F111" s="19">
        <f>IFERROR(__xludf.DUMMYFUNCTION("""COMPUTED_VALUE"""),7.0)</f>
        <v>7</v>
      </c>
      <c r="G111" s="20">
        <f>IFERROR(__xludf.DUMMYFUNCTION("""COMPUTED_VALUE"""),0.024768518987503124)</f>
        <v>0.02476851899</v>
      </c>
      <c r="H111" s="21">
        <f>IFERROR(__xludf.DUMMYFUNCTION("""COMPUTED_VALUE"""),0.006064814874810289)</f>
        <v>0.006064814875</v>
      </c>
      <c r="I111" s="22">
        <f>IFERROR(__xludf.DUMMYFUNCTION("""COMPUTED_VALUE"""),150.0)</f>
        <v>150</v>
      </c>
      <c r="J111" s="21">
        <f>IFERROR(__xludf.DUMMYFUNCTION("""COMPUTED_VALUE"""),0.008344907512302003)</f>
        <v>0.008344907512</v>
      </c>
      <c r="K111" s="22">
        <f>IFERROR(__xludf.DUMMYFUNCTION("""COMPUTED_VALUE"""),90.0)</f>
        <v>90</v>
      </c>
      <c r="L111" s="21">
        <f>IFERROR(__xludf.DUMMYFUNCTION("""COMPUTED_VALUE"""),0.008784722415628693)</f>
        <v>0.008784722416</v>
      </c>
      <c r="M111" s="22">
        <f>IFERROR(__xludf.DUMMYFUNCTION("""COMPUTED_VALUE"""),74.0)</f>
        <v>74</v>
      </c>
      <c r="N111" s="21">
        <f>IFERROR(__xludf.DUMMYFUNCTION("""COMPUTED_VALUE"""),0.0015740741847621387)</f>
        <v>0.001574074185</v>
      </c>
      <c r="O111" s="22">
        <f>IFERROR(__xludf.DUMMYFUNCTION("""COMPUTED_VALUE"""),129.0)</f>
        <v>129</v>
      </c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5.75" customHeight="1">
      <c r="A112" s="23">
        <f>IFERROR(__xludf.DUMMYFUNCTION("""COMPUTED_VALUE"""),111.0)</f>
        <v>111</v>
      </c>
      <c r="B112" s="24" t="str">
        <f>IFERROR(__xludf.DUMMYFUNCTION("""COMPUTED_VALUE"""),"171")</f>
        <v>171</v>
      </c>
      <c r="C112" s="25" t="str">
        <f>IFERROR(__xludf.DUMMYFUNCTION("""COMPUTED_VALUE"""),"GUILLEUX")</f>
        <v>GUILLEUX</v>
      </c>
      <c r="D112" s="26" t="str">
        <f>IFERROR(__xludf.DUMMYFUNCTION("""COMPUTED_VALUE"""),"CHARLOTTE")</f>
        <v>CHARLOTTE</v>
      </c>
      <c r="E112" s="27" t="str">
        <f>IFERROR(__xludf.DUMMYFUNCTION("""COMPUTED_VALUE"""),"SF1")</f>
        <v>SF1</v>
      </c>
      <c r="F112" s="27">
        <f>IFERROR(__xludf.DUMMYFUNCTION("""COMPUTED_VALUE"""),3.0)</f>
        <v>3</v>
      </c>
      <c r="G112" s="28">
        <f>IFERROR(__xludf.DUMMYFUNCTION("""COMPUTED_VALUE"""),0.024965278309609925)</f>
        <v>0.02496527831</v>
      </c>
      <c r="H112" s="29">
        <f>IFERROR(__xludf.DUMMYFUNCTION("""COMPUTED_VALUE"""),0.004398148241456884)</f>
        <v>0.004398148241</v>
      </c>
      <c r="I112" s="30">
        <f>IFERROR(__xludf.DUMMYFUNCTION("""COMPUTED_VALUE"""),92.0)</f>
        <v>92</v>
      </c>
      <c r="J112" s="29">
        <f>IFERROR(__xludf.DUMMYFUNCTION("""COMPUTED_VALUE"""),0.00922453710140148)</f>
        <v>0.009224537101</v>
      </c>
      <c r="K112" s="30">
        <f>IFERROR(__xludf.DUMMYFUNCTION("""COMPUTED_VALUE"""),135.0)</f>
        <v>135</v>
      </c>
      <c r="L112" s="29">
        <f>IFERROR(__xludf.DUMMYFUNCTION("""COMPUTED_VALUE"""),0.010011574484258247)</f>
        <v>0.01001157448</v>
      </c>
      <c r="M112" s="30">
        <f>IFERROR(__xludf.DUMMYFUNCTION("""COMPUTED_VALUE"""),109.0)</f>
        <v>109</v>
      </c>
      <c r="N112" s="29">
        <f>IFERROR(__xludf.DUMMYFUNCTION("""COMPUTED_VALUE"""),0.0013310184824933133)</f>
        <v>0.001331018482</v>
      </c>
      <c r="O112" s="30">
        <f>IFERROR(__xludf.DUMMYFUNCTION("""COMPUTED_VALUE"""),107.0)</f>
        <v>107</v>
      </c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5.75" customHeight="1">
      <c r="A113" s="15">
        <f>IFERROR(__xludf.DUMMYFUNCTION("""COMPUTED_VALUE"""),112.0)</f>
        <v>112</v>
      </c>
      <c r="B113" s="16" t="str">
        <f>IFERROR(__xludf.DUMMYFUNCTION("""COMPUTED_VALUE"""),"106")</f>
        <v>106</v>
      </c>
      <c r="C113" s="17" t="str">
        <f>IFERROR(__xludf.DUMMYFUNCTION("""COMPUTED_VALUE"""),"VOUILLEMET")</f>
        <v>VOUILLEMET</v>
      </c>
      <c r="D113" s="18" t="str">
        <f>IFERROR(__xludf.DUMMYFUNCTION("""COMPUTED_VALUE"""),"MAXIMILIEN")</f>
        <v>MAXIMILIEN</v>
      </c>
      <c r="E113" s="19" t="str">
        <f>IFERROR(__xludf.DUMMYFUNCTION("""COMPUTED_VALUE"""),"MH2")</f>
        <v>MH2</v>
      </c>
      <c r="F113" s="19">
        <f>IFERROR(__xludf.DUMMYFUNCTION("""COMPUTED_VALUE"""),13.0)</f>
        <v>13</v>
      </c>
      <c r="G113" s="20">
        <f>IFERROR(__xludf.DUMMYFUNCTION("""COMPUTED_VALUE"""),0.025081019644149747)</f>
        <v>0.02508101964</v>
      </c>
      <c r="H113" s="21">
        <f>IFERROR(__xludf.DUMMYFUNCTION("""COMPUTED_VALUE"""),0.004837963063030363)</f>
        <v>0.004837963063</v>
      </c>
      <c r="I113" s="22">
        <f>IFERROR(__xludf.DUMMYFUNCTION("""COMPUTED_VALUE"""),114.0)</f>
        <v>114</v>
      </c>
      <c r="J113" s="21">
        <f>IFERROR(__xludf.DUMMYFUNCTION("""COMPUTED_VALUE"""),0.007581018632700535)</f>
        <v>0.007581018633</v>
      </c>
      <c r="K113" s="22">
        <f>IFERROR(__xludf.DUMMYFUNCTION("""COMPUTED_VALUE"""),50.0)</f>
        <v>50</v>
      </c>
      <c r="L113" s="21">
        <f>IFERROR(__xludf.DUMMYFUNCTION("""COMPUTED_VALUE"""),0.011412037156855244)</f>
        <v>0.01141203716</v>
      </c>
      <c r="M113" s="22">
        <f>IFERROR(__xludf.DUMMYFUNCTION("""COMPUTED_VALUE"""),137.0)</f>
        <v>137</v>
      </c>
      <c r="N113" s="21">
        <f>IFERROR(__xludf.DUMMYFUNCTION("""COMPUTED_VALUE"""),0.0012500007915636048)</f>
        <v>0.001250000792</v>
      </c>
      <c r="O113" s="22">
        <f>IFERROR(__xludf.DUMMYFUNCTION("""COMPUTED_VALUE"""),101.0)</f>
        <v>101</v>
      </c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5.75" customHeight="1">
      <c r="A114" s="23">
        <f>IFERROR(__xludf.DUMMYFUNCTION("""COMPUTED_VALUE"""),113.0)</f>
        <v>113</v>
      </c>
      <c r="B114" s="24" t="str">
        <f>IFERROR(__xludf.DUMMYFUNCTION("""COMPUTED_VALUE"""),"114")</f>
        <v>114</v>
      </c>
      <c r="C114" s="25" t="str">
        <f>IFERROR(__xludf.DUMMYFUNCTION("""COMPUTED_VALUE"""),"MOTA")</f>
        <v>MOTA</v>
      </c>
      <c r="D114" s="26" t="str">
        <f>IFERROR(__xludf.DUMMYFUNCTION("""COMPUTED_VALUE"""),"LOUISE")</f>
        <v>LOUISE</v>
      </c>
      <c r="E114" s="27" t="str">
        <f>IFERROR(__xludf.DUMMYFUNCTION("""COMPUTED_VALUE"""),"SF1")</f>
        <v>SF1</v>
      </c>
      <c r="F114" s="27">
        <f>IFERROR(__xludf.DUMMYFUNCTION("""COMPUTED_VALUE"""),4.0)</f>
        <v>4</v>
      </c>
      <c r="G114" s="28">
        <f>IFERROR(__xludf.DUMMYFUNCTION("""COMPUTED_VALUE"""),0.025115740906495973)</f>
        <v>0.02511574091</v>
      </c>
      <c r="H114" s="29">
        <f>IFERROR(__xludf.DUMMYFUNCTION("""COMPUTED_VALUE"""),0.004780092666808982)</f>
        <v>0.004780092667</v>
      </c>
      <c r="I114" s="30">
        <f>IFERROR(__xludf.DUMMYFUNCTION("""COMPUTED_VALUE"""),112.0)</f>
        <v>112</v>
      </c>
      <c r="J114" s="29">
        <f>IFERROR(__xludf.DUMMYFUNCTION("""COMPUTED_VALUE"""),0.008923611148949316)</f>
        <v>0.008923611149</v>
      </c>
      <c r="K114" s="30">
        <f>IFERROR(__xludf.DUMMYFUNCTION("""COMPUTED_VALUE"""),116.0)</f>
        <v>116</v>
      </c>
      <c r="L114" s="29">
        <f>IFERROR(__xludf.DUMMYFUNCTION("""COMPUTED_VALUE"""),0.01015046198495078)</f>
        <v>0.01015046198</v>
      </c>
      <c r="M114" s="30">
        <f>IFERROR(__xludf.DUMMYFUNCTION("""COMPUTED_VALUE"""),112.0)</f>
        <v>112</v>
      </c>
      <c r="N114" s="29">
        <f>IFERROR(__xludf.DUMMYFUNCTION("""COMPUTED_VALUE"""),0.001261575105786895)</f>
        <v>0.001261575106</v>
      </c>
      <c r="O114" s="30">
        <f>IFERROR(__xludf.DUMMYFUNCTION("""COMPUTED_VALUE"""),103.0)</f>
        <v>103</v>
      </c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5.75" customHeight="1">
      <c r="A115" s="15">
        <f>IFERROR(__xludf.DUMMYFUNCTION("""COMPUTED_VALUE"""),114.0)</f>
        <v>114</v>
      </c>
      <c r="B115" s="16" t="str">
        <f>IFERROR(__xludf.DUMMYFUNCTION("""COMPUTED_VALUE"""),"158")</f>
        <v>158</v>
      </c>
      <c r="C115" s="17" t="str">
        <f>IFERROR(__xludf.DUMMYFUNCTION("""COMPUTED_VALUE"""),"GIRON")</f>
        <v>GIRON</v>
      </c>
      <c r="D115" s="18" t="str">
        <f>IFERROR(__xludf.DUMMYFUNCTION("""COMPUTED_VALUE"""),"ALEXANDRE")</f>
        <v>ALEXANDRE</v>
      </c>
      <c r="E115" s="19" t="str">
        <f>IFERROR(__xludf.DUMMYFUNCTION("""COMPUTED_VALUE"""),"SH1")</f>
        <v>SH1</v>
      </c>
      <c r="F115" s="19">
        <f>IFERROR(__xludf.DUMMYFUNCTION("""COMPUTED_VALUE"""),1.0)</f>
        <v>1</v>
      </c>
      <c r="G115" s="20">
        <f>IFERROR(__xludf.DUMMYFUNCTION("""COMPUTED_VALUE"""),0.025185186007511306)</f>
        <v>0.02518518601</v>
      </c>
      <c r="H115" s="21">
        <f>IFERROR(__xludf.DUMMYFUNCTION("""COMPUTED_VALUE"""),0.0052199074220254695)</f>
        <v>0.005219907422</v>
      </c>
      <c r="I115" s="22">
        <f>IFERROR(__xludf.DUMMYFUNCTION("""COMPUTED_VALUE"""),132.0)</f>
        <v>132</v>
      </c>
      <c r="J115" s="21">
        <f>IFERROR(__xludf.DUMMYFUNCTION("""COMPUTED_VALUE"""),0.008761574092696426)</f>
        <v>0.008761574093</v>
      </c>
      <c r="K115" s="22">
        <f>IFERROR(__xludf.DUMMYFUNCTION("""COMPUTED_VALUE"""),109.0)</f>
        <v>109</v>
      </c>
      <c r="L115" s="21">
        <f>IFERROR(__xludf.DUMMYFUNCTION("""COMPUTED_VALUE"""),0.009768518486336381)</f>
        <v>0.009768518486</v>
      </c>
      <c r="M115" s="22">
        <f>IFERROR(__xludf.DUMMYFUNCTION("""COMPUTED_VALUE"""),103.0)</f>
        <v>103</v>
      </c>
      <c r="N115" s="21">
        <f>IFERROR(__xludf.DUMMYFUNCTION("""COMPUTED_VALUE"""),0.0014351860064530288)</f>
        <v>0.001435186006</v>
      </c>
      <c r="O115" s="22">
        <f>IFERROR(__xludf.DUMMYFUNCTION("""COMPUTED_VALUE"""),119.0)</f>
        <v>119</v>
      </c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5.75" customHeight="1">
      <c r="A116" s="23">
        <f>IFERROR(__xludf.DUMMYFUNCTION("""COMPUTED_VALUE"""),115.0)</f>
        <v>115</v>
      </c>
      <c r="B116" s="24" t="str">
        <f>IFERROR(__xludf.DUMMYFUNCTION("""COMPUTED_VALUE"""),"86")</f>
        <v>86</v>
      </c>
      <c r="C116" s="25" t="str">
        <f>IFERROR(__xludf.DUMMYFUNCTION("""COMPUTED_VALUE"""),"FUCHS")</f>
        <v>FUCHS</v>
      </c>
      <c r="D116" s="26" t="str">
        <f>IFERROR(__xludf.DUMMYFUNCTION("""COMPUTED_VALUE"""),"PATRICK")</f>
        <v>PATRICK</v>
      </c>
      <c r="E116" s="27" t="str">
        <f>IFERROR(__xludf.DUMMYFUNCTION("""COMPUTED_VALUE"""),"MH3")</f>
        <v>MH3</v>
      </c>
      <c r="F116" s="27">
        <f>IFERROR(__xludf.DUMMYFUNCTION("""COMPUTED_VALUE"""),6.0)</f>
        <v>6</v>
      </c>
      <c r="G116" s="28">
        <f>IFERROR(__xludf.DUMMYFUNCTION("""COMPUTED_VALUE"""),0.02521990830810679)</f>
        <v>0.02521990831</v>
      </c>
      <c r="H116" s="29">
        <f>IFERROR(__xludf.DUMMYFUNCTION("""COMPUTED_VALUE"""),0.004976851854244616)</f>
        <v>0.004976851854</v>
      </c>
      <c r="I116" s="30">
        <f>IFERROR(__xludf.DUMMYFUNCTION("""COMPUTED_VALUE"""),122.0)</f>
        <v>122</v>
      </c>
      <c r="J116" s="29">
        <f>IFERROR(__xludf.DUMMYFUNCTION("""COMPUTED_VALUE"""),0.007881944513375849)</f>
        <v>0.007881944513</v>
      </c>
      <c r="K116" s="30">
        <f>IFERROR(__xludf.DUMMYFUNCTION("""COMPUTED_VALUE"""),67.0)</f>
        <v>67</v>
      </c>
      <c r="L116" s="29">
        <f>IFERROR(__xludf.DUMMYFUNCTION("""COMPUTED_VALUE"""),0.010231481592981238)</f>
        <v>0.01023148159</v>
      </c>
      <c r="M116" s="30">
        <f>IFERROR(__xludf.DUMMYFUNCTION("""COMPUTED_VALUE"""),116.0)</f>
        <v>116</v>
      </c>
      <c r="N116" s="29">
        <f>IFERROR(__xludf.DUMMYFUNCTION("""COMPUTED_VALUE"""),0.0021296303475050868)</f>
        <v>0.002129630348</v>
      </c>
      <c r="O116" s="30">
        <f>IFERROR(__xludf.DUMMYFUNCTION("""COMPUTED_VALUE"""),149.0)</f>
        <v>149</v>
      </c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5.75" customHeight="1">
      <c r="A117" s="15">
        <f>IFERROR(__xludf.DUMMYFUNCTION("""COMPUTED_VALUE"""),116.0)</f>
        <v>116</v>
      </c>
      <c r="B117" s="16" t="str">
        <f>IFERROR(__xludf.DUMMYFUNCTION("""COMPUTED_VALUE"""),"157")</f>
        <v>157</v>
      </c>
      <c r="C117" s="17" t="str">
        <f>IFERROR(__xludf.DUMMYFUNCTION("""COMPUTED_VALUE"""),"BENISTY")</f>
        <v>BENISTY</v>
      </c>
      <c r="D117" s="18" t="str">
        <f>IFERROR(__xludf.DUMMYFUNCTION("""COMPUTED_VALUE"""),"YONATHAN")</f>
        <v>YONATHAN</v>
      </c>
      <c r="E117" s="19" t="str">
        <f>IFERROR(__xludf.DUMMYFUNCTION("""COMPUTED_VALUE"""),"MH1")</f>
        <v>MH1</v>
      </c>
      <c r="F117" s="19">
        <f>IFERROR(__xludf.DUMMYFUNCTION("""COMPUTED_VALUE"""),13.0)</f>
        <v>13</v>
      </c>
      <c r="G117" s="20">
        <f>IFERROR(__xludf.DUMMYFUNCTION("""COMPUTED_VALUE"""),0.025324074385238954)</f>
        <v>0.02532407439</v>
      </c>
      <c r="H117" s="21">
        <f>IFERROR(__xludf.DUMMYFUNCTION("""COMPUTED_VALUE"""),0.004849537122877032)</f>
        <v>0.004849537123</v>
      </c>
      <c r="I117" s="22">
        <f>IFERROR(__xludf.DUMMYFUNCTION("""COMPUTED_VALUE"""),115.0)</f>
        <v>115</v>
      </c>
      <c r="J117" s="21">
        <f>IFERROR(__xludf.DUMMYFUNCTION("""COMPUTED_VALUE"""),0.008599537066233096)</f>
        <v>0.008599537066</v>
      </c>
      <c r="K117" s="22">
        <f>IFERROR(__xludf.DUMMYFUNCTION("""COMPUTED_VALUE"""),103.0)</f>
        <v>103</v>
      </c>
      <c r="L117" s="21">
        <f>IFERROR(__xludf.DUMMYFUNCTION("""COMPUTED_VALUE"""),0.010266203236104613)</f>
        <v>0.01026620324</v>
      </c>
      <c r="M117" s="22">
        <f>IFERROR(__xludf.DUMMYFUNCTION("""COMPUTED_VALUE"""),117.0)</f>
        <v>117</v>
      </c>
      <c r="N117" s="21">
        <f>IFERROR(__xludf.DUMMYFUNCTION("""COMPUTED_VALUE"""),0.001608796960024213)</f>
        <v>0.00160879696</v>
      </c>
      <c r="O117" s="22">
        <f>IFERROR(__xludf.DUMMYFUNCTION("""COMPUTED_VALUE"""),132.0)</f>
        <v>132</v>
      </c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5.75" customHeight="1">
      <c r="A118" s="23">
        <f>IFERROR(__xludf.DUMMYFUNCTION("""COMPUTED_VALUE"""),117.0)</f>
        <v>117</v>
      </c>
      <c r="B118" s="24" t="str">
        <f>IFERROR(__xludf.DUMMYFUNCTION("""COMPUTED_VALUE"""),"85")</f>
        <v>85</v>
      </c>
      <c r="C118" s="25" t="str">
        <f>IFERROR(__xludf.DUMMYFUNCTION("""COMPUTED_VALUE"""),"MALAK")</f>
        <v>MALAK</v>
      </c>
      <c r="D118" s="26" t="str">
        <f>IFERROR(__xludf.DUMMYFUNCTION("""COMPUTED_VALUE"""),"SANDRA")</f>
        <v>SANDRA</v>
      </c>
      <c r="E118" s="27" t="str">
        <f>IFERROR(__xludf.DUMMYFUNCTION("""COMPUTED_VALUE"""),"MF2")</f>
        <v>MF2</v>
      </c>
      <c r="F118" s="27">
        <f>IFERROR(__xludf.DUMMYFUNCTION("""COMPUTED_VALUE"""),5.0)</f>
        <v>5</v>
      </c>
      <c r="G118" s="28">
        <f>IFERROR(__xludf.DUMMYFUNCTION("""COMPUTED_VALUE"""),0.025416666752006194)</f>
        <v>0.02541666675</v>
      </c>
      <c r="H118" s="29">
        <f>IFERROR(__xludf.DUMMYFUNCTION("""COMPUTED_VALUE"""),0.00456018525501734)</f>
        <v>0.004560185255</v>
      </c>
      <c r="I118" s="30">
        <f>IFERROR(__xludf.DUMMYFUNCTION("""COMPUTED_VALUE"""),102.0)</f>
        <v>102</v>
      </c>
      <c r="J118" s="29">
        <f>IFERROR(__xludf.DUMMYFUNCTION("""COMPUTED_VALUE"""),0.009050925970366707)</f>
        <v>0.00905092597</v>
      </c>
      <c r="K118" s="30">
        <f>IFERROR(__xludf.DUMMYFUNCTION("""COMPUTED_VALUE"""),126.0)</f>
        <v>126</v>
      </c>
      <c r="L118" s="29">
        <f>IFERROR(__xludf.DUMMYFUNCTION("""COMPUTED_VALUE"""),0.010949073189555673)</f>
        <v>0.01094907319</v>
      </c>
      <c r="M118" s="30">
        <f>IFERROR(__xludf.DUMMYFUNCTION("""COMPUTED_VALUE"""),126.0)</f>
        <v>126</v>
      </c>
      <c r="N118" s="29">
        <f>IFERROR(__xludf.DUMMYFUNCTION("""COMPUTED_VALUE"""),8.564823370664741E-4)</f>
        <v>0.0008564823371</v>
      </c>
      <c r="O118" s="30">
        <f>IFERROR(__xludf.DUMMYFUNCTION("""COMPUTED_VALUE"""),46.0)</f>
        <v>46</v>
      </c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5.75" customHeight="1">
      <c r="A119" s="15">
        <f>IFERROR(__xludf.DUMMYFUNCTION("""COMPUTED_VALUE"""),118.0)</f>
        <v>118</v>
      </c>
      <c r="B119" s="16" t="str">
        <f>IFERROR(__xludf.DUMMYFUNCTION("""COMPUTED_VALUE"""),"52")</f>
        <v>52</v>
      </c>
      <c r="C119" s="17" t="str">
        <f>IFERROR(__xludf.DUMMYFUNCTION("""COMPUTED_VALUE"""),"BUREAU")</f>
        <v>BUREAU</v>
      </c>
      <c r="D119" s="18" t="str">
        <f>IFERROR(__xludf.DUMMYFUNCTION("""COMPUTED_VALUE"""),"ALBAN")</f>
        <v>ALBAN</v>
      </c>
      <c r="E119" s="19" t="str">
        <f>IFERROR(__xludf.DUMMYFUNCTION("""COMPUTED_VALUE"""),"MH1")</f>
        <v>MH1</v>
      </c>
      <c r="F119" s="19">
        <f>IFERROR(__xludf.DUMMYFUNCTION("""COMPUTED_VALUE"""),14.0)</f>
        <v>14</v>
      </c>
      <c r="G119" s="20">
        <f>IFERROR(__xludf.DUMMYFUNCTION("""COMPUTED_VALUE"""),0.0254745370821722)</f>
        <v>0.02547453708</v>
      </c>
      <c r="H119" s="21">
        <f>IFERROR(__xludf.DUMMYFUNCTION("""COMPUTED_VALUE"""),0.004930555611564586)</f>
        <v>0.004930555612</v>
      </c>
      <c r="I119" s="22">
        <f>IFERROR(__xludf.DUMMYFUNCTION("""COMPUTED_VALUE"""),118.0)</f>
        <v>118</v>
      </c>
      <c r="J119" s="21">
        <f>IFERROR(__xludf.DUMMYFUNCTION("""COMPUTED_VALUE"""),0.009004629681936145)</f>
        <v>0.009004629682</v>
      </c>
      <c r="K119" s="22">
        <f>IFERROR(__xludf.DUMMYFUNCTION("""COMPUTED_VALUE"""),121.0)</f>
        <v>121</v>
      </c>
      <c r="L119" s="21">
        <f>IFERROR(__xludf.DUMMYFUNCTION("""COMPUTED_VALUE"""),0.009675925358851072)</f>
        <v>0.009675925359</v>
      </c>
      <c r="M119" s="22">
        <f>IFERROR(__xludf.DUMMYFUNCTION("""COMPUTED_VALUE"""),99.0)</f>
        <v>99</v>
      </c>
      <c r="N119" s="21">
        <f>IFERROR(__xludf.DUMMYFUNCTION("""COMPUTED_VALUE"""),0.0018634264298203985)</f>
        <v>0.00186342643</v>
      </c>
      <c r="O119" s="22">
        <f>IFERROR(__xludf.DUMMYFUNCTION("""COMPUTED_VALUE"""),143.0)</f>
        <v>143</v>
      </c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5.75" customHeight="1">
      <c r="A120" s="23">
        <f>IFERROR(__xludf.DUMMYFUNCTION("""COMPUTED_VALUE"""),119.0)</f>
        <v>119</v>
      </c>
      <c r="B120" s="24" t="str">
        <f>IFERROR(__xludf.DUMMYFUNCTION("""COMPUTED_VALUE"""),"183")</f>
        <v>183</v>
      </c>
      <c r="C120" s="25" t="str">
        <f>IFERROR(__xludf.DUMMYFUNCTION("""COMPUTED_VALUE"""),"JUILLET")</f>
        <v>JUILLET</v>
      </c>
      <c r="D120" s="26" t="str">
        <f>IFERROR(__xludf.DUMMYFUNCTION("""COMPUTED_VALUE"""),"PHILOMÈNE")</f>
        <v>PHILOMÈNE</v>
      </c>
      <c r="E120" s="27" t="str">
        <f>IFERROR(__xludf.DUMMYFUNCTION("""COMPUTED_VALUE"""),"MF2")</f>
        <v>MF2</v>
      </c>
      <c r="F120" s="27">
        <f>IFERROR(__xludf.DUMMYFUNCTION("""COMPUTED_VALUE"""),6.0)</f>
        <v>6</v>
      </c>
      <c r="G120" s="28">
        <f>IFERROR(__xludf.DUMMYFUNCTION("""COMPUTED_VALUE"""),0.025486112067583444)</f>
        <v>0.02548611207</v>
      </c>
      <c r="H120" s="29">
        <f>IFERROR(__xludf.DUMMYFUNCTION("""COMPUTED_VALUE"""),0.004861111206920575)</f>
        <v>0.004861111207</v>
      </c>
      <c r="I120" s="30">
        <f>IFERROR(__xludf.DUMMYFUNCTION("""COMPUTED_VALUE"""),116.0)</f>
        <v>116</v>
      </c>
      <c r="J120" s="29">
        <f>IFERROR(__xludf.DUMMYFUNCTION("""COMPUTED_VALUE"""),0.008182870391859375)</f>
        <v>0.008182870392</v>
      </c>
      <c r="K120" s="30">
        <f>IFERROR(__xludf.DUMMYFUNCTION("""COMPUTED_VALUE"""),84.0)</f>
        <v>84</v>
      </c>
      <c r="L120" s="29">
        <f>IFERROR(__xludf.DUMMYFUNCTION("""COMPUTED_VALUE"""),0.011250000315400672)</f>
        <v>0.01125000032</v>
      </c>
      <c r="M120" s="30">
        <f>IFERROR(__xludf.DUMMYFUNCTION("""COMPUTED_VALUE"""),134.0)</f>
        <v>134</v>
      </c>
      <c r="N120" s="29">
        <f>IFERROR(__xludf.DUMMYFUNCTION("""COMPUTED_VALUE"""),0.0011921301534028221)</f>
        <v>0.001192130153</v>
      </c>
      <c r="O120" s="30">
        <f>IFERROR(__xludf.DUMMYFUNCTION("""COMPUTED_VALUE"""),90.0)</f>
        <v>90</v>
      </c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5.75" customHeight="1">
      <c r="A121" s="15">
        <f>IFERROR(__xludf.DUMMYFUNCTION("""COMPUTED_VALUE"""),120.0)</f>
        <v>120</v>
      </c>
      <c r="B121" s="16" t="str">
        <f>IFERROR(__xludf.DUMMYFUNCTION("""COMPUTED_VALUE"""),"61")</f>
        <v>61</v>
      </c>
      <c r="C121" s="17" t="str">
        <f>IFERROR(__xludf.DUMMYFUNCTION("""COMPUTED_VALUE"""),"JUDIC GILOT")</f>
        <v>JUDIC GILOT</v>
      </c>
      <c r="D121" s="18" t="str">
        <f>IFERROR(__xludf.DUMMYFUNCTION("""COMPUTED_VALUE"""),"LILA MAUD")</f>
        <v>LILA MAUD</v>
      </c>
      <c r="E121" s="19" t="str">
        <f>IFERROR(__xludf.DUMMYFUNCTION("""COMPUTED_VALUE"""),"SF1")</f>
        <v>SF1</v>
      </c>
      <c r="F121" s="19">
        <f>IFERROR(__xludf.DUMMYFUNCTION("""COMPUTED_VALUE"""),5.0)</f>
        <v>5</v>
      </c>
      <c r="G121" s="20">
        <f>IFERROR(__xludf.DUMMYFUNCTION("""COMPUTED_VALUE"""),0.025543981705805057)</f>
        <v>0.02554398171</v>
      </c>
      <c r="H121" s="21">
        <f>IFERROR(__xludf.DUMMYFUNCTION("""COMPUTED_VALUE"""),0.004490740852759218)</f>
        <v>0.004490740853</v>
      </c>
      <c r="I121" s="22">
        <f>IFERROR(__xludf.DUMMYFUNCTION("""COMPUTED_VALUE"""),96.0)</f>
        <v>96</v>
      </c>
      <c r="J121" s="21">
        <f>IFERROR(__xludf.DUMMYFUNCTION("""COMPUTED_VALUE"""),0.008321759355770219)</f>
        <v>0.008321759356</v>
      </c>
      <c r="K121" s="22">
        <f>IFERROR(__xludf.DUMMYFUNCTION("""COMPUTED_VALUE"""),89.0)</f>
        <v>89</v>
      </c>
      <c r="L121" s="21">
        <f>IFERROR(__xludf.DUMMYFUNCTION("""COMPUTED_VALUE"""),0.01101851839604159)</f>
        <v>0.0110185184</v>
      </c>
      <c r="M121" s="22">
        <f>IFERROR(__xludf.DUMMYFUNCTION("""COMPUTED_VALUE"""),128.0)</f>
        <v>128</v>
      </c>
      <c r="N121" s="21">
        <f>IFERROR(__xludf.DUMMYFUNCTION("""COMPUTED_VALUE"""),0.0017129631012340303)</f>
        <v>0.001712963101</v>
      </c>
      <c r="O121" s="22">
        <f>IFERROR(__xludf.DUMMYFUNCTION("""COMPUTED_VALUE"""),135.0)</f>
        <v>135</v>
      </c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5.75" customHeight="1">
      <c r="A122" s="23">
        <f>IFERROR(__xludf.DUMMYFUNCTION("""COMPUTED_VALUE"""),121.0)</f>
        <v>121</v>
      </c>
      <c r="B122" s="24" t="str">
        <f>IFERROR(__xludf.DUMMYFUNCTION("""COMPUTED_VALUE"""),"129")</f>
        <v>129</v>
      </c>
      <c r="C122" s="25" t="str">
        <f>IFERROR(__xludf.DUMMYFUNCTION("""COMPUTED_VALUE"""),"ROY")</f>
        <v>ROY</v>
      </c>
      <c r="D122" s="26" t="str">
        <f>IFERROR(__xludf.DUMMYFUNCTION("""COMPUTED_VALUE"""),"MATHILDE")</f>
        <v>MATHILDE</v>
      </c>
      <c r="E122" s="27" t="str">
        <f>IFERROR(__xludf.DUMMYFUNCTION("""COMPUTED_VALUE"""),"SF3")</f>
        <v>SF3</v>
      </c>
      <c r="F122" s="27">
        <f>IFERROR(__xludf.DUMMYFUNCTION("""COMPUTED_VALUE"""),3.0)</f>
        <v>3</v>
      </c>
      <c r="G122" s="28">
        <f>IFERROR(__xludf.DUMMYFUNCTION("""COMPUTED_VALUE"""),0.025648148811484424)</f>
        <v>0.02564814881</v>
      </c>
      <c r="H122" s="29">
        <f>IFERROR(__xludf.DUMMYFUNCTION("""COMPUTED_VALUE"""),0.004756944488533433)</f>
        <v>0.004756944489</v>
      </c>
      <c r="I122" s="30">
        <f>IFERROR(__xludf.DUMMYFUNCTION("""COMPUTED_VALUE"""),110.0)</f>
        <v>110</v>
      </c>
      <c r="J122" s="29">
        <f>IFERROR(__xludf.DUMMYFUNCTION("""COMPUTED_VALUE"""),0.009062500045851393)</f>
        <v>0.009062500046</v>
      </c>
      <c r="K122" s="30">
        <f>IFERROR(__xludf.DUMMYFUNCTION("""COMPUTED_VALUE"""),127.0)</f>
        <v>127</v>
      </c>
      <c r="L122" s="29">
        <f>IFERROR(__xludf.DUMMYFUNCTION("""COMPUTED_VALUE"""),0.009953703705760701)</f>
        <v>0.009953703706</v>
      </c>
      <c r="M122" s="30">
        <f>IFERROR(__xludf.DUMMYFUNCTION("""COMPUTED_VALUE"""),107.0)</f>
        <v>107</v>
      </c>
      <c r="N122" s="29">
        <f>IFERROR(__xludf.DUMMYFUNCTION("""COMPUTED_VALUE"""),0.0018750005713388963)</f>
        <v>0.001875000571</v>
      </c>
      <c r="O122" s="30">
        <f>IFERROR(__xludf.DUMMYFUNCTION("""COMPUTED_VALUE"""),145.0)</f>
        <v>145</v>
      </c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5.75" customHeight="1">
      <c r="A123" s="15">
        <f>IFERROR(__xludf.DUMMYFUNCTION("""COMPUTED_VALUE"""),122.0)</f>
        <v>122</v>
      </c>
      <c r="B123" s="16" t="str">
        <f>IFERROR(__xludf.DUMMYFUNCTION("""COMPUTED_VALUE"""),"55")</f>
        <v>55</v>
      </c>
      <c r="C123" s="17" t="str">
        <f>IFERROR(__xludf.DUMMYFUNCTION("""COMPUTED_VALUE"""),"TOLOSA")</f>
        <v>TOLOSA</v>
      </c>
      <c r="D123" s="18" t="str">
        <f>IFERROR(__xludf.DUMMYFUNCTION("""COMPUTED_VALUE"""),"CATALINA")</f>
        <v>CATALINA</v>
      </c>
      <c r="E123" s="19" t="str">
        <f>IFERROR(__xludf.DUMMYFUNCTION("""COMPUTED_VALUE"""),"SF2")</f>
        <v>SF2</v>
      </c>
      <c r="F123" s="19">
        <f>IFERROR(__xludf.DUMMYFUNCTION("""COMPUTED_VALUE"""),8.0)</f>
        <v>8</v>
      </c>
      <c r="G123" s="20">
        <f>IFERROR(__xludf.DUMMYFUNCTION("""COMPUTED_VALUE"""),0.025706018930930618)</f>
        <v>0.02570601893</v>
      </c>
      <c r="H123" s="21">
        <f>IFERROR(__xludf.DUMMYFUNCTION("""COMPUTED_VALUE"""),0.005509259300602751)</f>
        <v>0.005509259301</v>
      </c>
      <c r="I123" s="22">
        <f>IFERROR(__xludf.DUMMYFUNCTION("""COMPUTED_VALUE"""),143.0)</f>
        <v>143</v>
      </c>
      <c r="J123" s="21">
        <f>IFERROR(__xludf.DUMMYFUNCTION("""COMPUTED_VALUE"""),0.009108796300968669)</f>
        <v>0.009108796301</v>
      </c>
      <c r="K123" s="22">
        <f>IFERROR(__xludf.DUMMYFUNCTION("""COMPUTED_VALUE"""),128.0)</f>
        <v>128</v>
      </c>
      <c r="L123" s="21">
        <f>IFERROR(__xludf.DUMMYFUNCTION("""COMPUTED_VALUE"""),0.009884258623900442)</f>
        <v>0.009884258624</v>
      </c>
      <c r="M123" s="22">
        <f>IFERROR(__xludf.DUMMYFUNCTION("""COMPUTED_VALUE"""),106.0)</f>
        <v>106</v>
      </c>
      <c r="N123" s="21">
        <f>IFERROR(__xludf.DUMMYFUNCTION("""COMPUTED_VALUE"""),0.0012037047054587564)</f>
        <v>0.001203704705</v>
      </c>
      <c r="O123" s="22">
        <f>IFERROR(__xludf.DUMMYFUNCTION("""COMPUTED_VALUE"""),96.0)</f>
        <v>96</v>
      </c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5.75" customHeight="1">
      <c r="A124" s="23">
        <f>IFERROR(__xludf.DUMMYFUNCTION("""COMPUTED_VALUE"""),123.0)</f>
        <v>123</v>
      </c>
      <c r="B124" s="24" t="str">
        <f>IFERROR(__xludf.DUMMYFUNCTION("""COMPUTED_VALUE"""),"175")</f>
        <v>175</v>
      </c>
      <c r="C124" s="25" t="str">
        <f>IFERROR(__xludf.DUMMYFUNCTION("""COMPUTED_VALUE"""),"JOURDAN")</f>
        <v>JOURDAN</v>
      </c>
      <c r="D124" s="26" t="str">
        <f>IFERROR(__xludf.DUMMYFUNCTION("""COMPUTED_VALUE"""),"ORIANE")</f>
        <v>ORIANE</v>
      </c>
      <c r="E124" s="27" t="str">
        <f>IFERROR(__xludf.DUMMYFUNCTION("""COMPUTED_VALUE"""),"SF2")</f>
        <v>SF2</v>
      </c>
      <c r="F124" s="27">
        <f>IFERROR(__xludf.DUMMYFUNCTION("""COMPUTED_VALUE"""),9.0)</f>
        <v>9</v>
      </c>
      <c r="G124" s="28">
        <f>IFERROR(__xludf.DUMMYFUNCTION("""COMPUTED_VALUE"""),0.02578703750346751)</f>
        <v>0.0257870375</v>
      </c>
      <c r="H124" s="29">
        <f>IFERROR(__xludf.DUMMYFUNCTION("""COMPUTED_VALUE"""),0.005555555642046832)</f>
        <v>0.005555555642</v>
      </c>
      <c r="I124" s="30">
        <f>IFERROR(__xludf.DUMMYFUNCTION("""COMPUTED_VALUE"""),145.0)</f>
        <v>145</v>
      </c>
      <c r="J124" s="29">
        <f>IFERROR(__xludf.DUMMYFUNCTION("""COMPUTED_VALUE"""),0.008923611205389353)</f>
        <v>0.008923611205</v>
      </c>
      <c r="K124" s="30">
        <f>IFERROR(__xludf.DUMMYFUNCTION("""COMPUTED_VALUE"""),117.0)</f>
        <v>117</v>
      </c>
      <c r="L124" s="29">
        <f>IFERROR(__xludf.DUMMYFUNCTION("""COMPUTED_VALUE"""),0.010219907367707403)</f>
        <v>0.01021990737</v>
      </c>
      <c r="M124" s="30">
        <f>IFERROR(__xludf.DUMMYFUNCTION("""COMPUTED_VALUE"""),114.0)</f>
        <v>114</v>
      </c>
      <c r="N124" s="29">
        <f>IFERROR(__xludf.DUMMYFUNCTION("""COMPUTED_VALUE"""),0.001087963288323922)</f>
        <v>0.001087963288</v>
      </c>
      <c r="O124" s="30">
        <f>IFERROR(__xludf.DUMMYFUNCTION("""COMPUTED_VALUE"""),73.0)</f>
        <v>73</v>
      </c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15.75" customHeight="1">
      <c r="A125" s="15">
        <f>IFERROR(__xludf.DUMMYFUNCTION("""COMPUTED_VALUE"""),124.0)</f>
        <v>124</v>
      </c>
      <c r="B125" s="16" t="str">
        <f>IFERROR(__xludf.DUMMYFUNCTION("""COMPUTED_VALUE"""),"116")</f>
        <v>116</v>
      </c>
      <c r="C125" s="17" t="str">
        <f>IFERROR(__xludf.DUMMYFUNCTION("""COMPUTED_VALUE"""),"BARDOUIL")</f>
        <v>BARDOUIL</v>
      </c>
      <c r="D125" s="18" t="str">
        <f>IFERROR(__xludf.DUMMYFUNCTION("""COMPUTED_VALUE"""),"GABIN")</f>
        <v>GABIN</v>
      </c>
      <c r="E125" s="19" t="str">
        <f>IFERROR(__xludf.DUMMYFUNCTION("""COMPUTED_VALUE"""),"SH2")</f>
        <v>SH2</v>
      </c>
      <c r="F125" s="19">
        <f>IFERROR(__xludf.DUMMYFUNCTION("""COMPUTED_VALUE"""),11.0)</f>
        <v>11</v>
      </c>
      <c r="G125" s="20">
        <f>IFERROR(__xludf.DUMMYFUNCTION("""COMPUTED_VALUE"""),0.0258101857526937)</f>
        <v>0.02581018575</v>
      </c>
      <c r="H125" s="21">
        <f>IFERROR(__xludf.DUMMYFUNCTION("""COMPUTED_VALUE"""),0.004768518582722712)</f>
        <v>0.004768518583</v>
      </c>
      <c r="I125" s="22">
        <f>IFERROR(__xludf.DUMMYFUNCTION("""COMPUTED_VALUE"""),111.0)</f>
        <v>111</v>
      </c>
      <c r="J125" s="21">
        <f>IFERROR(__xludf.DUMMYFUNCTION("""COMPUTED_VALUE"""),0.008564814897265587)</f>
        <v>0.008564814897</v>
      </c>
      <c r="K125" s="22">
        <f>IFERROR(__xludf.DUMMYFUNCTION("""COMPUTED_VALUE"""),100.0)</f>
        <v>100</v>
      </c>
      <c r="L125" s="21">
        <f>IFERROR(__xludf.DUMMYFUNCTION("""COMPUTED_VALUE"""),0.0109259262986205)</f>
        <v>0.0109259263</v>
      </c>
      <c r="M125" s="22">
        <f>IFERROR(__xludf.DUMMYFUNCTION("""COMPUTED_VALUE"""),125.0)</f>
        <v>125</v>
      </c>
      <c r="N125" s="21">
        <f>IFERROR(__xludf.DUMMYFUNCTION("""COMPUTED_VALUE"""),0.0015509259740848986)</f>
        <v>0.001550925974</v>
      </c>
      <c r="O125" s="22">
        <f>IFERROR(__xludf.DUMMYFUNCTION("""COMPUTED_VALUE"""),126.0)</f>
        <v>126</v>
      </c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15.75" customHeight="1">
      <c r="A126" s="23">
        <f>IFERROR(__xludf.DUMMYFUNCTION("""COMPUTED_VALUE"""),125.0)</f>
        <v>125</v>
      </c>
      <c r="B126" s="24" t="str">
        <f>IFERROR(__xludf.DUMMYFUNCTION("""COMPUTED_VALUE"""),"70")</f>
        <v>70</v>
      </c>
      <c r="C126" s="25" t="str">
        <f>IFERROR(__xludf.DUMMYFUNCTION("""COMPUTED_VALUE"""),"TISNE")</f>
        <v>TISNE</v>
      </c>
      <c r="D126" s="26" t="str">
        <f>IFERROR(__xludf.DUMMYFUNCTION("""COMPUTED_VALUE"""),"MAUD")</f>
        <v>MAUD</v>
      </c>
      <c r="E126" s="27" t="str">
        <f>IFERROR(__xludf.DUMMYFUNCTION("""COMPUTED_VALUE"""),"SF3")</f>
        <v>SF3</v>
      </c>
      <c r="F126" s="27">
        <f>IFERROR(__xludf.DUMMYFUNCTION("""COMPUTED_VALUE"""),4.0)</f>
        <v>4</v>
      </c>
      <c r="G126" s="28">
        <f>IFERROR(__xludf.DUMMYFUNCTION("""COMPUTED_VALUE"""),0.025891204067823068)</f>
        <v>0.02589120407</v>
      </c>
      <c r="H126" s="29">
        <f>IFERROR(__xludf.DUMMYFUNCTION("""COMPUTED_VALUE"""),0.0050925926964827985)</f>
        <v>0.005092592696</v>
      </c>
      <c r="I126" s="30">
        <f>IFERROR(__xludf.DUMMYFUNCTION("""COMPUTED_VALUE"""),126.0)</f>
        <v>126</v>
      </c>
      <c r="J126" s="29">
        <f>IFERROR(__xludf.DUMMYFUNCTION("""COMPUTED_VALUE"""),0.009733796355276188)</f>
        <v>0.009733796355</v>
      </c>
      <c r="K126" s="30">
        <f>IFERROR(__xludf.DUMMYFUNCTION("""COMPUTED_VALUE"""),145.0)</f>
        <v>145</v>
      </c>
      <c r="L126" s="29">
        <f>IFERROR(__xludf.DUMMYFUNCTION("""COMPUTED_VALUE"""),0.009282407061549834)</f>
        <v>0.009282407062</v>
      </c>
      <c r="M126" s="30">
        <f>IFERROR(__xludf.DUMMYFUNCTION("""COMPUTED_VALUE"""),86.0)</f>
        <v>86</v>
      </c>
      <c r="N126" s="29">
        <f>IFERROR(__xludf.DUMMYFUNCTION("""COMPUTED_VALUE"""),0.001782407954514247)</f>
        <v>0.001782407955</v>
      </c>
      <c r="O126" s="30">
        <f>IFERROR(__xludf.DUMMYFUNCTION("""COMPUTED_VALUE"""),138.0)</f>
        <v>138</v>
      </c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15.75" customHeight="1">
      <c r="A127" s="15">
        <f>IFERROR(__xludf.DUMMYFUNCTION("""COMPUTED_VALUE"""),126.0)</f>
        <v>126</v>
      </c>
      <c r="B127" s="16" t="str">
        <f>IFERROR(__xludf.DUMMYFUNCTION("""COMPUTED_VALUE"""),"115")</f>
        <v>115</v>
      </c>
      <c r="C127" s="17" t="str">
        <f>IFERROR(__xludf.DUMMYFUNCTION("""COMPUTED_VALUE"""),"PILLEBOUT")</f>
        <v>PILLEBOUT</v>
      </c>
      <c r="D127" s="18" t="str">
        <f>IFERROR(__xludf.DUMMYFUNCTION("""COMPUTED_VALUE"""),"EVANGELINE")</f>
        <v>EVANGELINE</v>
      </c>
      <c r="E127" s="19" t="str">
        <f>IFERROR(__xludf.DUMMYFUNCTION("""COMPUTED_VALUE"""),"MF3")</f>
        <v>MF3</v>
      </c>
      <c r="F127" s="19">
        <f>IFERROR(__xludf.DUMMYFUNCTION("""COMPUTED_VALUE"""),1.0)</f>
        <v>1</v>
      </c>
      <c r="G127" s="20">
        <f>IFERROR(__xludf.DUMMYFUNCTION("""COMPUTED_VALUE"""),0.025902778696748143)</f>
        <v>0.0259027787</v>
      </c>
      <c r="H127" s="21">
        <f>IFERROR(__xludf.DUMMYFUNCTION("""COMPUTED_VALUE"""),0.005219907412600937)</f>
        <v>0.005219907413</v>
      </c>
      <c r="I127" s="22">
        <f>IFERROR(__xludf.DUMMYFUNCTION("""COMPUTED_VALUE"""),131.0)</f>
        <v>131</v>
      </c>
      <c r="J127" s="21">
        <f>IFERROR(__xludf.DUMMYFUNCTION("""COMPUTED_VALUE"""),0.008784722260858895)</f>
        <v>0.008784722261</v>
      </c>
      <c r="K127" s="22">
        <f>IFERROR(__xludf.DUMMYFUNCTION("""COMPUTED_VALUE"""),111.0)</f>
        <v>111</v>
      </c>
      <c r="L127" s="21">
        <f>IFERROR(__xludf.DUMMYFUNCTION("""COMPUTED_VALUE"""),0.010393519072044024)</f>
        <v>0.01039351907</v>
      </c>
      <c r="M127" s="22">
        <f>IFERROR(__xludf.DUMMYFUNCTION("""COMPUTED_VALUE"""),120.0)</f>
        <v>120</v>
      </c>
      <c r="N127" s="21">
        <f>IFERROR(__xludf.DUMMYFUNCTION("""COMPUTED_VALUE"""),0.0015046299512442868)</f>
        <v>0.001504629951</v>
      </c>
      <c r="O127" s="22">
        <f>IFERROR(__xludf.DUMMYFUNCTION("""COMPUTED_VALUE"""),124.0)</f>
        <v>124</v>
      </c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15.75" customHeight="1">
      <c r="A128" s="23">
        <f>IFERROR(__xludf.DUMMYFUNCTION("""COMPUTED_VALUE"""),127.0)</f>
        <v>127</v>
      </c>
      <c r="B128" s="24" t="str">
        <f>IFERROR(__xludf.DUMMYFUNCTION("""COMPUTED_VALUE"""),"84")</f>
        <v>84</v>
      </c>
      <c r="C128" s="25" t="str">
        <f>IFERROR(__xludf.DUMMYFUNCTION("""COMPUTED_VALUE"""),"HAMLIN")</f>
        <v>HAMLIN</v>
      </c>
      <c r="D128" s="26" t="str">
        <f>IFERROR(__xludf.DUMMYFUNCTION("""COMPUTED_VALUE"""),"KARINE")</f>
        <v>KARINE</v>
      </c>
      <c r="E128" s="27" t="str">
        <f>IFERROR(__xludf.DUMMYFUNCTION("""COMPUTED_VALUE"""),"MF3")</f>
        <v>MF3</v>
      </c>
      <c r="F128" s="27">
        <f>IFERROR(__xludf.DUMMYFUNCTION("""COMPUTED_VALUE"""),2.0)</f>
        <v>2</v>
      </c>
      <c r="G128" s="28">
        <f>IFERROR(__xludf.DUMMYFUNCTION("""COMPUTED_VALUE"""),0.025949074478604638)</f>
        <v>0.02594907448</v>
      </c>
      <c r="H128" s="29">
        <f>IFERROR(__xludf.DUMMYFUNCTION("""COMPUTED_VALUE"""),0.004965277886042898)</f>
        <v>0.004965277886</v>
      </c>
      <c r="I128" s="30">
        <f>IFERROR(__xludf.DUMMYFUNCTION("""COMPUTED_VALUE"""),121.0)</f>
        <v>121</v>
      </c>
      <c r="J128" s="29">
        <f>IFERROR(__xludf.DUMMYFUNCTION("""COMPUTED_VALUE"""),0.00905092592790234)</f>
        <v>0.009050925928</v>
      </c>
      <c r="K128" s="30">
        <f>IFERROR(__xludf.DUMMYFUNCTION("""COMPUTED_VALUE"""),125.0)</f>
        <v>125</v>
      </c>
      <c r="L128" s="29">
        <f>IFERROR(__xludf.DUMMYFUNCTION("""COMPUTED_VALUE"""),0.010787036562385936)</f>
        <v>0.01078703656</v>
      </c>
      <c r="M128" s="30">
        <f>IFERROR(__xludf.DUMMYFUNCTION("""COMPUTED_VALUE"""),123.0)</f>
        <v>123</v>
      </c>
      <c r="N128" s="29">
        <f>IFERROR(__xludf.DUMMYFUNCTION("""COMPUTED_VALUE"""),0.001145834102273464)</f>
        <v>0.001145834102</v>
      </c>
      <c r="O128" s="30">
        <f>IFERROR(__xludf.DUMMYFUNCTION("""COMPUTED_VALUE"""),79.0)</f>
        <v>79</v>
      </c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15.75" customHeight="1">
      <c r="A129" s="15">
        <f>IFERROR(__xludf.DUMMYFUNCTION("""COMPUTED_VALUE"""),128.0)</f>
        <v>128</v>
      </c>
      <c r="B129" s="16" t="str">
        <f>IFERROR(__xludf.DUMMYFUNCTION("""COMPUTED_VALUE"""),"180")</f>
        <v>180</v>
      </c>
      <c r="C129" s="17" t="str">
        <f>IFERROR(__xludf.DUMMYFUNCTION("""COMPUTED_VALUE"""),"NGUYEN NGOC")</f>
        <v>NGUYEN NGOC</v>
      </c>
      <c r="D129" s="18" t="str">
        <f>IFERROR(__xludf.DUMMYFUNCTION("""COMPUTED_VALUE"""),"AUDE")</f>
        <v>AUDE</v>
      </c>
      <c r="E129" s="19" t="str">
        <f>IFERROR(__xludf.DUMMYFUNCTION("""COMPUTED_VALUE"""),"MF2")</f>
        <v>MF2</v>
      </c>
      <c r="F129" s="19">
        <f>IFERROR(__xludf.DUMMYFUNCTION("""COMPUTED_VALUE"""),7.0)</f>
        <v>7</v>
      </c>
      <c r="G129" s="20">
        <f>IFERROR(__xludf.DUMMYFUNCTION("""COMPUTED_VALUE"""),0.026099538142138716)</f>
        <v>0.02609953814</v>
      </c>
      <c r="H129" s="21">
        <f>IFERROR(__xludf.DUMMYFUNCTION("""COMPUTED_VALUE"""),0.005208333422998445)</f>
        <v>0.005208333423</v>
      </c>
      <c r="I129" s="22">
        <f>IFERROR(__xludf.DUMMYFUNCTION("""COMPUTED_VALUE"""),130.0)</f>
        <v>130</v>
      </c>
      <c r="J129" s="21">
        <f>IFERROR(__xludf.DUMMYFUNCTION("""COMPUTED_VALUE"""),0.00888888890109449)</f>
        <v>0.008888888901</v>
      </c>
      <c r="K129" s="22">
        <f>IFERROR(__xludf.DUMMYFUNCTION("""COMPUTED_VALUE"""),113.0)</f>
        <v>113</v>
      </c>
      <c r="L129" s="21">
        <f>IFERROR(__xludf.DUMMYFUNCTION("""COMPUTED_VALUE"""),0.011111111557685752)</f>
        <v>0.01111111156</v>
      </c>
      <c r="M129" s="22">
        <f>IFERROR(__xludf.DUMMYFUNCTION("""COMPUTED_VALUE"""),130.0)</f>
        <v>130</v>
      </c>
      <c r="N129" s="21">
        <f>IFERROR(__xludf.DUMMYFUNCTION("""COMPUTED_VALUE"""),8.912042603600292E-4)</f>
        <v>0.0008912042604</v>
      </c>
      <c r="O129" s="22">
        <f>IFERROR(__xludf.DUMMYFUNCTION("""COMPUTED_VALUE"""),50.0)</f>
        <v>50</v>
      </c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15.75" customHeight="1">
      <c r="A130" s="23">
        <f>IFERROR(__xludf.DUMMYFUNCTION("""COMPUTED_VALUE"""),129.0)</f>
        <v>129</v>
      </c>
      <c r="B130" s="24" t="str">
        <f>IFERROR(__xludf.DUMMYFUNCTION("""COMPUTED_VALUE"""),"167")</f>
        <v>167</v>
      </c>
      <c r="C130" s="25" t="str">
        <f>IFERROR(__xludf.DUMMYFUNCTION("""COMPUTED_VALUE"""),"LOCATELLI")</f>
        <v>LOCATELLI</v>
      </c>
      <c r="D130" s="26" t="str">
        <f>IFERROR(__xludf.DUMMYFUNCTION("""COMPUTED_VALUE"""),"HÉLÈNE")</f>
        <v>HÉLÈNE</v>
      </c>
      <c r="E130" s="27" t="str">
        <f>IFERROR(__xludf.DUMMYFUNCTION("""COMPUTED_VALUE"""),"SF4")</f>
        <v>SF4</v>
      </c>
      <c r="F130" s="27">
        <f>IFERROR(__xludf.DUMMYFUNCTION("""COMPUTED_VALUE"""),4.0)</f>
        <v>4</v>
      </c>
      <c r="G130" s="28">
        <f>IFERROR(__xludf.DUMMYFUNCTION("""COMPUTED_VALUE"""),0.02616898254520943)</f>
        <v>0.02616898255</v>
      </c>
      <c r="H130" s="29">
        <f>IFERROR(__xludf.DUMMYFUNCTION("""COMPUTED_VALUE"""),0.004513888950902383)</f>
        <v>0.004513888951</v>
      </c>
      <c r="I130" s="30">
        <f>IFERROR(__xludf.DUMMYFUNCTION("""COMPUTED_VALUE"""),99.0)</f>
        <v>99</v>
      </c>
      <c r="J130" s="29">
        <f>IFERROR(__xludf.DUMMYFUNCTION("""COMPUTED_VALUE"""),0.009143518584083053)</f>
        <v>0.009143518584</v>
      </c>
      <c r="K130" s="30">
        <f>IFERROR(__xludf.DUMMYFUNCTION("""COMPUTED_VALUE"""),131.0)</f>
        <v>131</v>
      </c>
      <c r="L130" s="29">
        <f>IFERROR(__xludf.DUMMYFUNCTION("""COMPUTED_VALUE"""),0.011157407370738016)</f>
        <v>0.01115740737</v>
      </c>
      <c r="M130" s="30">
        <f>IFERROR(__xludf.DUMMYFUNCTION("""COMPUTED_VALUE"""),131.0)</f>
        <v>131</v>
      </c>
      <c r="N130" s="29">
        <f>IFERROR(__xludf.DUMMYFUNCTION("""COMPUTED_VALUE"""),0.0013541676394859788)</f>
        <v>0.001354167639</v>
      </c>
      <c r="O130" s="30">
        <f>IFERROR(__xludf.DUMMYFUNCTION("""COMPUTED_VALUE"""),110.0)</f>
        <v>110</v>
      </c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15.75" customHeight="1">
      <c r="A131" s="15">
        <f>IFERROR(__xludf.DUMMYFUNCTION("""COMPUTED_VALUE"""),130.0)</f>
        <v>130</v>
      </c>
      <c r="B131" s="16" t="str">
        <f>IFERROR(__xludf.DUMMYFUNCTION("""COMPUTED_VALUE"""),"140")</f>
        <v>140</v>
      </c>
      <c r="C131" s="17" t="str">
        <f>IFERROR(__xludf.DUMMYFUNCTION("""COMPUTED_VALUE"""),"MALET")</f>
        <v>MALET</v>
      </c>
      <c r="D131" s="18" t="str">
        <f>IFERROR(__xludf.DUMMYFUNCTION("""COMPUTED_VALUE"""),"JEANNE")</f>
        <v>JEANNE</v>
      </c>
      <c r="E131" s="19" t="str">
        <f>IFERROR(__xludf.DUMMYFUNCTION("""COMPUTED_VALUE"""),"SF3")</f>
        <v>SF3</v>
      </c>
      <c r="F131" s="19">
        <f>IFERROR(__xludf.DUMMYFUNCTION("""COMPUTED_VALUE"""),5.0)</f>
        <v>5</v>
      </c>
      <c r="G131" s="20">
        <f>IFERROR(__xludf.DUMMYFUNCTION("""COMPUTED_VALUE"""),0.026238426055317253)</f>
        <v>0.02623842606</v>
      </c>
      <c r="H131" s="21">
        <f>IFERROR(__xludf.DUMMYFUNCTION("""COMPUTED_VALUE"""),0.005312500097361468)</f>
        <v>0.005312500097</v>
      </c>
      <c r="I131" s="22">
        <f>IFERROR(__xludf.DUMMYFUNCTION("""COMPUTED_VALUE"""),136.0)</f>
        <v>136</v>
      </c>
      <c r="J131" s="21">
        <f>IFERROR(__xludf.DUMMYFUNCTION("""COMPUTED_VALUE"""),0.00875000009689379)</f>
        <v>0.008750000097</v>
      </c>
      <c r="K131" s="22">
        <f>IFERROR(__xludf.DUMMYFUNCTION("""COMPUTED_VALUE"""),108.0)</f>
        <v>108</v>
      </c>
      <c r="L131" s="21">
        <f>IFERROR(__xludf.DUMMYFUNCTION("""COMPUTED_VALUE"""),0.010983795813640826)</f>
        <v>0.01098379581</v>
      </c>
      <c r="M131" s="22">
        <f>IFERROR(__xludf.DUMMYFUNCTION("""COMPUTED_VALUE"""),127.0)</f>
        <v>127</v>
      </c>
      <c r="N131" s="21">
        <f>IFERROR(__xludf.DUMMYFUNCTION("""COMPUTED_VALUE"""),0.0011921300474211681)</f>
        <v>0.001192130047</v>
      </c>
      <c r="O131" s="22">
        <f>IFERROR(__xludf.DUMMYFUNCTION("""COMPUTED_VALUE"""),89.0)</f>
        <v>89</v>
      </c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15.75" customHeight="1">
      <c r="A132" s="23">
        <f>IFERROR(__xludf.DUMMYFUNCTION("""COMPUTED_VALUE"""),131.0)</f>
        <v>131</v>
      </c>
      <c r="B132" s="24" t="str">
        <f>IFERROR(__xludf.DUMMYFUNCTION("""COMPUTED_VALUE"""),"145")</f>
        <v>145</v>
      </c>
      <c r="C132" s="25" t="str">
        <f>IFERROR(__xludf.DUMMYFUNCTION("""COMPUTED_VALUE"""),"PAQUEREAU")</f>
        <v>PAQUEREAU</v>
      </c>
      <c r="D132" s="26" t="str">
        <f>IFERROR(__xludf.DUMMYFUNCTION("""COMPUTED_VALUE"""),"SIMON")</f>
        <v>SIMON</v>
      </c>
      <c r="E132" s="27" t="str">
        <f>IFERROR(__xludf.DUMMYFUNCTION("""COMPUTED_VALUE"""),"MH5")</f>
        <v>MH5</v>
      </c>
      <c r="F132" s="27">
        <f>IFERROR(__xludf.DUMMYFUNCTION("""COMPUTED_VALUE"""),4.0)</f>
        <v>4</v>
      </c>
      <c r="G132" s="28">
        <f>IFERROR(__xludf.DUMMYFUNCTION("""COMPUTED_VALUE"""),0.026527777884811848)</f>
        <v>0.02652777788</v>
      </c>
      <c r="H132" s="29">
        <f>IFERROR(__xludf.DUMMYFUNCTION("""COMPUTED_VALUE"""),0.005324074084810287)</f>
        <v>0.005324074085</v>
      </c>
      <c r="I132" s="30">
        <f>IFERROR(__xludf.DUMMYFUNCTION("""COMPUTED_VALUE"""),137.0)</f>
        <v>137</v>
      </c>
      <c r="J132" s="29">
        <f>IFERROR(__xludf.DUMMYFUNCTION("""COMPUTED_VALUE"""),0.008229166672634361)</f>
        <v>0.008229166673</v>
      </c>
      <c r="K132" s="30">
        <f>IFERROR(__xludf.DUMMYFUNCTION("""COMPUTED_VALUE"""),87.0)</f>
        <v>87</v>
      </c>
      <c r="L132" s="29">
        <f>IFERROR(__xludf.DUMMYFUNCTION("""COMPUTED_VALUE"""),0.011747685048372316)</f>
        <v>0.01174768505</v>
      </c>
      <c r="M132" s="30">
        <f>IFERROR(__xludf.DUMMYFUNCTION("""COMPUTED_VALUE"""),141.0)</f>
        <v>141</v>
      </c>
      <c r="N132" s="29">
        <f>IFERROR(__xludf.DUMMYFUNCTION("""COMPUTED_VALUE"""),0.001226852078994884)</f>
        <v>0.001226852079</v>
      </c>
      <c r="O132" s="30">
        <f>IFERROR(__xludf.DUMMYFUNCTION("""COMPUTED_VALUE"""),98.0)</f>
        <v>98</v>
      </c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15.75" customHeight="1">
      <c r="A133" s="15">
        <f>IFERROR(__xludf.DUMMYFUNCTION("""COMPUTED_VALUE"""),132.0)</f>
        <v>132</v>
      </c>
      <c r="B133" s="16" t="str">
        <f>IFERROR(__xludf.DUMMYFUNCTION("""COMPUTED_VALUE"""),"63")</f>
        <v>63</v>
      </c>
      <c r="C133" s="17" t="str">
        <f>IFERROR(__xludf.DUMMYFUNCTION("""COMPUTED_VALUE"""),"BASUEMI")</f>
        <v>BASUEMI</v>
      </c>
      <c r="D133" s="18" t="str">
        <f>IFERROR(__xludf.DUMMYFUNCTION("""COMPUTED_VALUE"""),"GEOFFREY")</f>
        <v>GEOFFREY</v>
      </c>
      <c r="E133" s="19" t="str">
        <f>IFERROR(__xludf.DUMMYFUNCTION("""COMPUTED_VALUE"""),"SH4")</f>
        <v>SH4</v>
      </c>
      <c r="F133" s="19">
        <f>IFERROR(__xludf.DUMMYFUNCTION("""COMPUTED_VALUE"""),24.0)</f>
        <v>24</v>
      </c>
      <c r="G133" s="20">
        <f>IFERROR(__xludf.DUMMYFUNCTION("""COMPUTED_VALUE"""),0.02659722301849501)</f>
        <v>0.02659722302</v>
      </c>
      <c r="H133" s="21">
        <f>IFERROR(__xludf.DUMMYFUNCTION("""COMPUTED_VALUE"""),0.005081018524934651)</f>
        <v>0.005081018525</v>
      </c>
      <c r="I133" s="22">
        <f>IFERROR(__xludf.DUMMYFUNCTION("""COMPUTED_VALUE"""),124.0)</f>
        <v>124</v>
      </c>
      <c r="J133" s="21">
        <f>IFERROR(__xludf.DUMMYFUNCTION("""COMPUTED_VALUE"""),0.008136574184917925)</f>
        <v>0.008136574185</v>
      </c>
      <c r="K133" s="22">
        <f>IFERROR(__xludf.DUMMYFUNCTION("""COMPUTED_VALUE"""),82.0)</f>
        <v>82</v>
      </c>
      <c r="L133" s="21">
        <f>IFERROR(__xludf.DUMMYFUNCTION("""COMPUTED_VALUE"""),0.011203703788335045)</f>
        <v>0.01120370379</v>
      </c>
      <c r="M133" s="22">
        <f>IFERROR(__xludf.DUMMYFUNCTION("""COMPUTED_VALUE"""),133.0)</f>
        <v>133</v>
      </c>
      <c r="N133" s="21">
        <f>IFERROR(__xludf.DUMMYFUNCTION("""COMPUTED_VALUE"""),0.002175926520307389)</f>
        <v>0.00217592652</v>
      </c>
      <c r="O133" s="22">
        <f>IFERROR(__xludf.DUMMYFUNCTION("""COMPUTED_VALUE"""),150.0)</f>
        <v>150</v>
      </c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15.75" customHeight="1">
      <c r="A134" s="23">
        <f>IFERROR(__xludf.DUMMYFUNCTION("""COMPUTED_VALUE"""),133.0)</f>
        <v>133</v>
      </c>
      <c r="B134" s="24" t="str">
        <f>IFERROR(__xludf.DUMMYFUNCTION("""COMPUTED_VALUE"""),"77")</f>
        <v>77</v>
      </c>
      <c r="C134" s="25" t="str">
        <f>IFERROR(__xludf.DUMMYFUNCTION("""COMPUTED_VALUE"""),"BOUDOT")</f>
        <v>BOUDOT</v>
      </c>
      <c r="D134" s="26" t="str">
        <f>IFERROR(__xludf.DUMMYFUNCTION("""COMPUTED_VALUE"""),"SOLÈNE")</f>
        <v>SOLÈNE</v>
      </c>
      <c r="E134" s="27" t="str">
        <f>IFERROR(__xludf.DUMMYFUNCTION("""COMPUTED_VALUE"""),"SF3")</f>
        <v>SF3</v>
      </c>
      <c r="F134" s="27">
        <f>IFERROR(__xludf.DUMMYFUNCTION("""COMPUTED_VALUE"""),6.0)</f>
        <v>6</v>
      </c>
      <c r="G134" s="28">
        <f>IFERROR(__xludf.DUMMYFUNCTION("""COMPUTED_VALUE"""),0.026655093162815818)</f>
        <v>0.02665509316</v>
      </c>
      <c r="H134" s="29">
        <f>IFERROR(__xludf.DUMMYFUNCTION("""COMPUTED_VALUE"""),0.004537037139844276)</f>
        <v>0.00453703714</v>
      </c>
      <c r="I134" s="30">
        <f>IFERROR(__xludf.DUMMYFUNCTION("""COMPUTED_VALUE"""),101.0)</f>
        <v>101</v>
      </c>
      <c r="J134" s="29">
        <f>IFERROR(__xludf.DUMMYFUNCTION("""COMPUTED_VALUE"""),0.009155092642967926)</f>
        <v>0.009155092643</v>
      </c>
      <c r="K134" s="30">
        <f>IFERROR(__xludf.DUMMYFUNCTION("""COMPUTED_VALUE"""),133.0)</f>
        <v>133</v>
      </c>
      <c r="L134" s="29">
        <f>IFERROR(__xludf.DUMMYFUNCTION("""COMPUTED_VALUE"""),0.011747685461638098)</f>
        <v>0.01174768546</v>
      </c>
      <c r="M134" s="30">
        <f>IFERROR(__xludf.DUMMYFUNCTION("""COMPUTED_VALUE"""),142.0)</f>
        <v>142</v>
      </c>
      <c r="N134" s="29">
        <f>IFERROR(__xludf.DUMMYFUNCTION("""COMPUTED_VALUE"""),0.001215277918365518)</f>
        <v>0.001215277918</v>
      </c>
      <c r="O134" s="30">
        <f>IFERROR(__xludf.DUMMYFUNCTION("""COMPUTED_VALUE"""),97.0)</f>
        <v>97</v>
      </c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5.75" customHeight="1">
      <c r="A135" s="15">
        <f>IFERROR(__xludf.DUMMYFUNCTION("""COMPUTED_VALUE"""),134.0)</f>
        <v>134</v>
      </c>
      <c r="B135" s="16" t="str">
        <f>IFERROR(__xludf.DUMMYFUNCTION("""COMPUTED_VALUE"""),"67")</f>
        <v>67</v>
      </c>
      <c r="C135" s="17" t="str">
        <f>IFERROR(__xludf.DUMMYFUNCTION("""COMPUTED_VALUE"""),"BALOT")</f>
        <v>BALOT</v>
      </c>
      <c r="D135" s="18" t="str">
        <f>IFERROR(__xludf.DUMMYFUNCTION("""COMPUTED_VALUE"""),"SARAH")</f>
        <v>SARAH</v>
      </c>
      <c r="E135" s="19" t="str">
        <f>IFERROR(__xludf.DUMMYFUNCTION("""COMPUTED_VALUE"""),"SF2")</f>
        <v>SF2</v>
      </c>
      <c r="F135" s="19">
        <f>IFERROR(__xludf.DUMMYFUNCTION("""COMPUTED_VALUE"""),10.0)</f>
        <v>10</v>
      </c>
      <c r="G135" s="20">
        <f>IFERROR(__xludf.DUMMYFUNCTION("""COMPUTED_VALUE"""),0.02679398240285868)</f>
        <v>0.0267939824</v>
      </c>
      <c r="H135" s="21">
        <f>IFERROR(__xludf.DUMMYFUNCTION("""COMPUTED_VALUE"""),0.005497685187225778)</f>
        <v>0.005497685187</v>
      </c>
      <c r="I135" s="22">
        <f>IFERROR(__xludf.DUMMYFUNCTION("""COMPUTED_VALUE"""),141.0)</f>
        <v>141</v>
      </c>
      <c r="J135" s="21">
        <f>IFERROR(__xludf.DUMMYFUNCTION("""COMPUTED_VALUE"""),0.009224537133720285)</f>
        <v>0.009224537134</v>
      </c>
      <c r="K135" s="22">
        <f>IFERROR(__xludf.DUMMYFUNCTION("""COMPUTED_VALUE"""),136.0)</f>
        <v>136</v>
      </c>
      <c r="L135" s="21">
        <f>IFERROR(__xludf.DUMMYFUNCTION("""COMPUTED_VALUE"""),0.010682870692332168)</f>
        <v>0.01068287069</v>
      </c>
      <c r="M135" s="22">
        <f>IFERROR(__xludf.DUMMYFUNCTION("""COMPUTED_VALUE"""),122.0)</f>
        <v>122</v>
      </c>
      <c r="N135" s="21">
        <f>IFERROR(__xludf.DUMMYFUNCTION("""COMPUTED_VALUE"""),0.0013888893895804512)</f>
        <v>0.00138888939</v>
      </c>
      <c r="O135" s="22">
        <f>IFERROR(__xludf.DUMMYFUNCTION("""COMPUTED_VALUE"""),111.0)</f>
        <v>111</v>
      </c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15.75" customHeight="1">
      <c r="A136" s="23">
        <f>IFERROR(__xludf.DUMMYFUNCTION("""COMPUTED_VALUE"""),135.0)</f>
        <v>135</v>
      </c>
      <c r="B136" s="24" t="str">
        <f>IFERROR(__xludf.DUMMYFUNCTION("""COMPUTED_VALUE"""),"72")</f>
        <v>72</v>
      </c>
      <c r="C136" s="25" t="str">
        <f>IFERROR(__xludf.DUMMYFUNCTION("""COMPUTED_VALUE"""),"HUARANCCA NINANYA")</f>
        <v>HUARANCCA NINANYA</v>
      </c>
      <c r="D136" s="26" t="str">
        <f>IFERROR(__xludf.DUMMYFUNCTION("""COMPUTED_VALUE"""),"MARCO")</f>
        <v>MARCO</v>
      </c>
      <c r="E136" s="27" t="str">
        <f>IFERROR(__xludf.DUMMYFUNCTION("""COMPUTED_VALUE"""),"SH3")</f>
        <v>SH3</v>
      </c>
      <c r="F136" s="27">
        <f>IFERROR(__xludf.DUMMYFUNCTION("""COMPUTED_VALUE"""),19.0)</f>
        <v>19</v>
      </c>
      <c r="G136" s="28">
        <f>IFERROR(__xludf.DUMMYFUNCTION("""COMPUTED_VALUE"""),0.027013889737929148)</f>
        <v>0.02701388974</v>
      </c>
      <c r="H136" s="29">
        <f>IFERROR(__xludf.DUMMYFUNCTION("""COMPUTED_VALUE"""),0.006018518633077733)</f>
        <v>0.006018518633</v>
      </c>
      <c r="I136" s="30">
        <f>IFERROR(__xludf.DUMMYFUNCTION("""COMPUTED_VALUE"""),149.0)</f>
        <v>149</v>
      </c>
      <c r="J136" s="29">
        <f>IFERROR(__xludf.DUMMYFUNCTION("""COMPUTED_VALUE"""),0.00895833343203025)</f>
        <v>0.008958333432</v>
      </c>
      <c r="K136" s="30">
        <f>IFERROR(__xludf.DUMMYFUNCTION("""COMPUTED_VALUE"""),119.0)</f>
        <v>119</v>
      </c>
      <c r="L136" s="29">
        <f>IFERROR(__xludf.DUMMYFUNCTION("""COMPUTED_VALUE"""),0.010601852082659333)</f>
        <v>0.01060185208</v>
      </c>
      <c r="M136" s="30">
        <f>IFERROR(__xludf.DUMMYFUNCTION("""COMPUTED_VALUE"""),121.0)</f>
        <v>121</v>
      </c>
      <c r="N136" s="29">
        <f>IFERROR(__xludf.DUMMYFUNCTION("""COMPUTED_VALUE"""),0.0014351855901618311)</f>
        <v>0.00143518559</v>
      </c>
      <c r="O136" s="30">
        <f>IFERROR(__xludf.DUMMYFUNCTION("""COMPUTED_VALUE"""),116.0)</f>
        <v>116</v>
      </c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15.75" customHeight="1">
      <c r="A137" s="15">
        <f>IFERROR(__xludf.DUMMYFUNCTION("""COMPUTED_VALUE"""),136.0)</f>
        <v>136</v>
      </c>
      <c r="B137" s="16" t="str">
        <f>IFERROR(__xludf.DUMMYFUNCTION("""COMPUTED_VALUE"""),"113")</f>
        <v>113</v>
      </c>
      <c r="C137" s="17" t="str">
        <f>IFERROR(__xludf.DUMMYFUNCTION("""COMPUTED_VALUE"""),"MARCHETTI")</f>
        <v>MARCHETTI</v>
      </c>
      <c r="D137" s="18" t="str">
        <f>IFERROR(__xludf.DUMMYFUNCTION("""COMPUTED_VALUE"""),"CAMILLE")</f>
        <v>CAMILLE</v>
      </c>
      <c r="E137" s="19" t="str">
        <f>IFERROR(__xludf.DUMMYFUNCTION("""COMPUTED_VALUE"""),"SF2")</f>
        <v>SF2</v>
      </c>
      <c r="F137" s="19">
        <f>IFERROR(__xludf.DUMMYFUNCTION("""COMPUTED_VALUE"""),11.0)</f>
        <v>11</v>
      </c>
      <c r="G137" s="20">
        <f>IFERROR(__xludf.DUMMYFUNCTION("""COMPUTED_VALUE"""),0.027268519380520145)</f>
        <v>0.02726851938</v>
      </c>
      <c r="H137" s="21">
        <f>IFERROR(__xludf.DUMMYFUNCTION("""COMPUTED_VALUE"""),0.0054050926678055776)</f>
        <v>0.005405092668</v>
      </c>
      <c r="I137" s="22">
        <f>IFERROR(__xludf.DUMMYFUNCTION("""COMPUTED_VALUE"""),138.0)</f>
        <v>138</v>
      </c>
      <c r="J137" s="21">
        <f>IFERROR(__xludf.DUMMYFUNCTION("""COMPUTED_VALUE"""),0.008379629643611521)</f>
        <v>0.008379629644</v>
      </c>
      <c r="K137" s="22">
        <f>IFERROR(__xludf.DUMMYFUNCTION("""COMPUTED_VALUE"""),91.0)</f>
        <v>91</v>
      </c>
      <c r="L137" s="21">
        <f>IFERROR(__xludf.DUMMYFUNCTION("""COMPUTED_VALUE"""),0.01230324047713252)</f>
        <v>0.01230324048</v>
      </c>
      <c r="M137" s="22">
        <f>IFERROR(__xludf.DUMMYFUNCTION("""COMPUTED_VALUE"""),146.0)</f>
        <v>146</v>
      </c>
      <c r="N137" s="21">
        <f>IFERROR(__xludf.DUMMYFUNCTION("""COMPUTED_VALUE"""),0.0011805565919705266)</f>
        <v>0.001180556592</v>
      </c>
      <c r="O137" s="22">
        <f>IFERROR(__xludf.DUMMYFUNCTION("""COMPUTED_VALUE"""),88.0)</f>
        <v>88</v>
      </c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15.75" customHeight="1">
      <c r="A138" s="23">
        <f>IFERROR(__xludf.DUMMYFUNCTION("""COMPUTED_VALUE"""),137.0)</f>
        <v>137</v>
      </c>
      <c r="B138" s="24" t="str">
        <f>IFERROR(__xludf.DUMMYFUNCTION("""COMPUTED_VALUE"""),"57")</f>
        <v>57</v>
      </c>
      <c r="C138" s="25" t="str">
        <f>IFERROR(__xludf.DUMMYFUNCTION("""COMPUTED_VALUE"""),"ALÉPÉE")</f>
        <v>ALÉPÉE</v>
      </c>
      <c r="D138" s="26" t="str">
        <f>IFERROR(__xludf.DUMMYFUNCTION("""COMPUTED_VALUE"""),"CHRYSTEL")</f>
        <v>CHRYSTEL</v>
      </c>
      <c r="E138" s="27" t="str">
        <f>IFERROR(__xludf.DUMMYFUNCTION("""COMPUTED_VALUE"""),"MF3")</f>
        <v>MF3</v>
      </c>
      <c r="F138" s="27">
        <f>IFERROR(__xludf.DUMMYFUNCTION("""COMPUTED_VALUE"""),3.0)</f>
        <v>3</v>
      </c>
      <c r="G138" s="28">
        <f>IFERROR(__xludf.DUMMYFUNCTION("""COMPUTED_VALUE"""),0.027395833616507343)</f>
        <v>0.02739583362</v>
      </c>
      <c r="H138" s="29">
        <f>IFERROR(__xludf.DUMMYFUNCTION("""COMPUTED_VALUE"""),0.004016203812872045)</f>
        <v>0.004016203813</v>
      </c>
      <c r="I138" s="30">
        <f>IFERROR(__xludf.DUMMYFUNCTION("""COMPUTED_VALUE"""),69.0)</f>
        <v>69</v>
      </c>
      <c r="J138" s="29">
        <f>IFERROR(__xludf.DUMMYFUNCTION("""COMPUTED_VALUE"""),0.009027777888728699)</f>
        <v>0.009027777889</v>
      </c>
      <c r="K138" s="30">
        <f>IFERROR(__xludf.DUMMYFUNCTION("""COMPUTED_VALUE"""),123.0)</f>
        <v>123</v>
      </c>
      <c r="L138" s="29">
        <f>IFERROR(__xludf.DUMMYFUNCTION("""COMPUTED_VALUE"""),0.01289351800876155)</f>
        <v>0.01289351801</v>
      </c>
      <c r="M138" s="30">
        <f>IFERROR(__xludf.DUMMYFUNCTION("""COMPUTED_VALUE"""),151.0)</f>
        <v>151</v>
      </c>
      <c r="N138" s="29">
        <f>IFERROR(__xludf.DUMMYFUNCTION("""COMPUTED_VALUE"""),0.0014583339061450488)</f>
        <v>0.001458333906</v>
      </c>
      <c r="O138" s="30">
        <f>IFERROR(__xludf.DUMMYFUNCTION("""COMPUTED_VALUE"""),121.0)</f>
        <v>121</v>
      </c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15.75" customHeight="1">
      <c r="A139" s="15">
        <f>IFERROR(__xludf.DUMMYFUNCTION("""COMPUTED_VALUE"""),138.0)</f>
        <v>138</v>
      </c>
      <c r="B139" s="16" t="str">
        <f>IFERROR(__xludf.DUMMYFUNCTION("""COMPUTED_VALUE"""),"58")</f>
        <v>58</v>
      </c>
      <c r="C139" s="17" t="str">
        <f>IFERROR(__xludf.DUMMYFUNCTION("""COMPUTED_VALUE"""),"NONY-DAVADIE")</f>
        <v>NONY-DAVADIE</v>
      </c>
      <c r="D139" s="18" t="str">
        <f>IFERROR(__xludf.DUMMYFUNCTION("""COMPUTED_VALUE"""),"MAXIMILIEN")</f>
        <v>MAXIMILIEN</v>
      </c>
      <c r="E139" s="19" t="str">
        <f>IFERROR(__xludf.DUMMYFUNCTION("""COMPUTED_VALUE"""),"SH4")</f>
        <v>SH4</v>
      </c>
      <c r="F139" s="19">
        <f>IFERROR(__xludf.DUMMYFUNCTION("""COMPUTED_VALUE"""),25.0)</f>
        <v>25</v>
      </c>
      <c r="G139" s="20">
        <f>IFERROR(__xludf.DUMMYFUNCTION("""COMPUTED_VALUE"""),0.027453704513199517)</f>
        <v>0.02745370451</v>
      </c>
      <c r="H139" s="21">
        <f>IFERROR(__xludf.DUMMYFUNCTION("""COMPUTED_VALUE"""),0.005625000103609586)</f>
        <v>0.005625000104</v>
      </c>
      <c r="I139" s="22">
        <f>IFERROR(__xludf.DUMMYFUNCTION("""COMPUTED_VALUE"""),146.0)</f>
        <v>146</v>
      </c>
      <c r="J139" s="21">
        <f>IFERROR(__xludf.DUMMYFUNCTION("""COMPUTED_VALUE"""),0.008414351890867583)</f>
        <v>0.008414351891</v>
      </c>
      <c r="K139" s="22">
        <f>IFERROR(__xludf.DUMMYFUNCTION("""COMPUTED_VALUE"""),93.0)</f>
        <v>93</v>
      </c>
      <c r="L139" s="21">
        <f>IFERROR(__xludf.DUMMYFUNCTION("""COMPUTED_VALUE"""),0.011608796791738825)</f>
        <v>0.01160879679</v>
      </c>
      <c r="M139" s="22">
        <f>IFERROR(__xludf.DUMMYFUNCTION("""COMPUTED_VALUE"""),140.0)</f>
        <v>140</v>
      </c>
      <c r="N139" s="21">
        <f>IFERROR(__xludf.DUMMYFUNCTION("""COMPUTED_VALUE"""),0.0018055557269835223)</f>
        <v>0.001805555727</v>
      </c>
      <c r="O139" s="22">
        <f>IFERROR(__xludf.DUMMYFUNCTION("""COMPUTED_VALUE"""),140.0)</f>
        <v>140</v>
      </c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15.75" customHeight="1">
      <c r="A140" s="23">
        <f>IFERROR(__xludf.DUMMYFUNCTION("""COMPUTED_VALUE"""),139.0)</f>
        <v>139</v>
      </c>
      <c r="B140" s="24" t="str">
        <f>IFERROR(__xludf.DUMMYFUNCTION("""COMPUTED_VALUE"""),"169")</f>
        <v>169</v>
      </c>
      <c r="C140" s="25" t="str">
        <f>IFERROR(__xludf.DUMMYFUNCTION("""COMPUTED_VALUE"""),"SOULAT")</f>
        <v>SOULAT</v>
      </c>
      <c r="D140" s="26" t="str">
        <f>IFERROR(__xludf.DUMMYFUNCTION("""COMPUTED_VALUE"""),"KARINE")</f>
        <v>KARINE</v>
      </c>
      <c r="E140" s="27" t="str">
        <f>IFERROR(__xludf.DUMMYFUNCTION("""COMPUTED_VALUE"""),"MF3")</f>
        <v>MF3</v>
      </c>
      <c r="F140" s="27">
        <f>IFERROR(__xludf.DUMMYFUNCTION("""COMPUTED_VALUE"""),4.0)</f>
        <v>4</v>
      </c>
      <c r="G140" s="28">
        <f>IFERROR(__xludf.DUMMYFUNCTION("""COMPUTED_VALUE"""),0.02754629653821367)</f>
        <v>0.02754629654</v>
      </c>
      <c r="H140" s="29">
        <f>IFERROR(__xludf.DUMMYFUNCTION("""COMPUTED_VALUE"""),0.005532407431527489)</f>
        <v>0.005532407432</v>
      </c>
      <c r="I140" s="30">
        <f>IFERROR(__xludf.DUMMYFUNCTION("""COMPUTED_VALUE"""),144.0)</f>
        <v>144</v>
      </c>
      <c r="J140" s="29">
        <f>IFERROR(__xludf.DUMMYFUNCTION("""COMPUTED_VALUE"""),0.009293981502811435)</f>
        <v>0.009293981503</v>
      </c>
      <c r="K140" s="30">
        <f>IFERROR(__xludf.DUMMYFUNCTION("""COMPUTED_VALUE"""),138.0)</f>
        <v>138</v>
      </c>
      <c r="L140" s="29">
        <f>IFERROR(__xludf.DUMMYFUNCTION("""COMPUTED_VALUE"""),0.011087962890848273)</f>
        <v>0.01108796289</v>
      </c>
      <c r="M140" s="30">
        <f>IFERROR(__xludf.DUMMYFUNCTION("""COMPUTED_VALUE"""),129.0)</f>
        <v>129</v>
      </c>
      <c r="N140" s="29">
        <f>IFERROR(__xludf.DUMMYFUNCTION("""COMPUTED_VALUE"""),0.0016319447130264727)</f>
        <v>0.001631944713</v>
      </c>
      <c r="O140" s="30">
        <f>IFERROR(__xludf.DUMMYFUNCTION("""COMPUTED_VALUE"""),134.0)</f>
        <v>134</v>
      </c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15.75" customHeight="1">
      <c r="A141" s="15">
        <f>IFERROR(__xludf.DUMMYFUNCTION("""COMPUTED_VALUE"""),140.0)</f>
        <v>140</v>
      </c>
      <c r="B141" s="16" t="str">
        <f>IFERROR(__xludf.DUMMYFUNCTION("""COMPUTED_VALUE"""),"128")</f>
        <v>128</v>
      </c>
      <c r="C141" s="17" t="str">
        <f>IFERROR(__xludf.DUMMYFUNCTION("""COMPUTED_VALUE"""),"MERLEAU")</f>
        <v>MERLEAU</v>
      </c>
      <c r="D141" s="18" t="str">
        <f>IFERROR(__xludf.DUMMYFUNCTION("""COMPUTED_VALUE"""),"AUDREY")</f>
        <v>AUDREY</v>
      </c>
      <c r="E141" s="19" t="str">
        <f>IFERROR(__xludf.DUMMYFUNCTION("""COMPUTED_VALUE"""),"SF3")</f>
        <v>SF3</v>
      </c>
      <c r="F141" s="19">
        <f>IFERROR(__xludf.DUMMYFUNCTION("""COMPUTED_VALUE"""),7.0)</f>
        <v>7</v>
      </c>
      <c r="G141" s="20">
        <f>IFERROR(__xludf.DUMMYFUNCTION("""COMPUTED_VALUE"""),0.02754629722857321)</f>
        <v>0.02754629723</v>
      </c>
      <c r="H141" s="21">
        <f>IFERROR(__xludf.DUMMYFUNCTION("""COMPUTED_VALUE"""),0.004953703743309753)</f>
        <v>0.004953703743</v>
      </c>
      <c r="I141" s="22">
        <f>IFERROR(__xludf.DUMMYFUNCTION("""COMPUTED_VALUE"""),120.0)</f>
        <v>120</v>
      </c>
      <c r="J141" s="21">
        <f>IFERROR(__xludf.DUMMYFUNCTION("""COMPUTED_VALUE"""),0.011134259330340778)</f>
        <v>0.01113425933</v>
      </c>
      <c r="K141" s="22">
        <f>IFERROR(__xludf.DUMMYFUNCTION("""COMPUTED_VALUE"""),152.0)</f>
        <v>152</v>
      </c>
      <c r="L141" s="21">
        <f>IFERROR(__xludf.DUMMYFUNCTION("""COMPUTED_VALUE"""),0.010856481388134335)</f>
        <v>0.01085648139</v>
      </c>
      <c r="M141" s="22">
        <f>IFERROR(__xludf.DUMMYFUNCTION("""COMPUTED_VALUE"""),124.0)</f>
        <v>124</v>
      </c>
      <c r="N141" s="21">
        <f>IFERROR(__xludf.DUMMYFUNCTION("""COMPUTED_VALUE"""),6.018527667883437E-4)</f>
        <v>0.0006018527668</v>
      </c>
      <c r="O141" s="22">
        <f>IFERROR(__xludf.DUMMYFUNCTION("""COMPUTED_VALUE"""),16.0)</f>
        <v>16</v>
      </c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15.75" customHeight="1">
      <c r="A142" s="23">
        <f>IFERROR(__xludf.DUMMYFUNCTION("""COMPUTED_VALUE"""),141.0)</f>
        <v>141</v>
      </c>
      <c r="B142" s="24" t="str">
        <f>IFERROR(__xludf.DUMMYFUNCTION("""COMPUTED_VALUE"""),"111")</f>
        <v>111</v>
      </c>
      <c r="C142" s="25" t="str">
        <f>IFERROR(__xludf.DUMMYFUNCTION("""COMPUTED_VALUE"""),"DASSÉ")</f>
        <v>DASSÉ</v>
      </c>
      <c r="D142" s="26" t="str">
        <f>IFERROR(__xludf.DUMMYFUNCTION("""COMPUTED_VALUE"""),"LOUISE")</f>
        <v>LOUISE</v>
      </c>
      <c r="E142" s="27" t="str">
        <f>IFERROR(__xludf.DUMMYFUNCTION("""COMPUTED_VALUE"""),"SF2")</f>
        <v>SF2</v>
      </c>
      <c r="F142" s="27">
        <f>IFERROR(__xludf.DUMMYFUNCTION("""COMPUTED_VALUE"""),12.0)</f>
        <v>12</v>
      </c>
      <c r="G142" s="28">
        <f>IFERROR(__xludf.DUMMYFUNCTION("""COMPUTED_VALUE"""),0.02778935212552516)</f>
        <v>0.02778935213</v>
      </c>
      <c r="H142" s="29">
        <f>IFERROR(__xludf.DUMMYFUNCTION("""COMPUTED_VALUE"""),0.004513888953868142)</f>
        <v>0.004513888954</v>
      </c>
      <c r="I142" s="30">
        <f>IFERROR(__xludf.DUMMYFUNCTION("""COMPUTED_VALUE"""),100.0)</f>
        <v>100</v>
      </c>
      <c r="J142" s="29">
        <f>IFERROR(__xludf.DUMMYFUNCTION("""COMPUTED_VALUE"""),0.009745370444781321)</f>
        <v>0.009745370445</v>
      </c>
      <c r="K142" s="30">
        <f>IFERROR(__xludf.DUMMYFUNCTION("""COMPUTED_VALUE"""),146.0)</f>
        <v>146</v>
      </c>
      <c r="L142" s="29">
        <f>IFERROR(__xludf.DUMMYFUNCTION("""COMPUTED_VALUE"""),0.012094906842255716)</f>
        <v>0.01209490684</v>
      </c>
      <c r="M142" s="30">
        <f>IFERROR(__xludf.DUMMYFUNCTION("""COMPUTED_VALUE"""),143.0)</f>
        <v>143</v>
      </c>
      <c r="N142" s="29">
        <f>IFERROR(__xludf.DUMMYFUNCTION("""COMPUTED_VALUE"""),0.0014351858846199808)</f>
        <v>0.001435185885</v>
      </c>
      <c r="O142" s="30">
        <f>IFERROR(__xludf.DUMMYFUNCTION("""COMPUTED_VALUE"""),118.0)</f>
        <v>118</v>
      </c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15.75" customHeight="1">
      <c r="A143" s="15">
        <f>IFERROR(__xludf.DUMMYFUNCTION("""COMPUTED_VALUE"""),142.0)</f>
        <v>142</v>
      </c>
      <c r="B143" s="16" t="str">
        <f>IFERROR(__xludf.DUMMYFUNCTION("""COMPUTED_VALUE"""),"112")</f>
        <v>112</v>
      </c>
      <c r="C143" s="17" t="str">
        <f>IFERROR(__xludf.DUMMYFUNCTION("""COMPUTED_VALUE"""),"FRONT")</f>
        <v>FRONT</v>
      </c>
      <c r="D143" s="18" t="str">
        <f>IFERROR(__xludf.DUMMYFUNCTION("""COMPUTED_VALUE"""),"ISABELLE")</f>
        <v>ISABELLE</v>
      </c>
      <c r="E143" s="19" t="str">
        <f>IFERROR(__xludf.DUMMYFUNCTION("""COMPUTED_VALUE"""),"MF4")</f>
        <v>MF4</v>
      </c>
      <c r="F143" s="19">
        <f>IFERROR(__xludf.DUMMYFUNCTION("""COMPUTED_VALUE"""),1.0)</f>
        <v>1</v>
      </c>
      <c r="G143" s="20">
        <f>IFERROR(__xludf.DUMMYFUNCTION("""COMPUTED_VALUE"""),0.02778935286527126)</f>
        <v>0.02778935287</v>
      </c>
      <c r="H143" s="21">
        <f>IFERROR(__xludf.DUMMYFUNCTION("""COMPUTED_VALUE"""),0.004340277842084276)</f>
        <v>0.004340277842</v>
      </c>
      <c r="I143" s="22">
        <f>IFERROR(__xludf.DUMMYFUNCTION("""COMPUTED_VALUE"""),89.0)</f>
        <v>89</v>
      </c>
      <c r="J143" s="21">
        <f>IFERROR(__xludf.DUMMYFUNCTION("""COMPUTED_VALUE"""),0.009953703726112482)</f>
        <v>0.009953703726</v>
      </c>
      <c r="K143" s="22">
        <f>IFERROR(__xludf.DUMMYFUNCTION("""COMPUTED_VALUE"""),148.0)</f>
        <v>148</v>
      </c>
      <c r="L143" s="21">
        <f>IFERROR(__xludf.DUMMYFUNCTION("""COMPUTED_VALUE"""),0.012094908284593246)</f>
        <v>0.01209490828</v>
      </c>
      <c r="M143" s="22">
        <f>IFERROR(__xludf.DUMMYFUNCTION("""COMPUTED_VALUE"""),144.0)</f>
        <v>144</v>
      </c>
      <c r="N143" s="21">
        <f>IFERROR(__xludf.DUMMYFUNCTION("""COMPUTED_VALUE"""),0.0014004630124812567)</f>
        <v>0.001400463012</v>
      </c>
      <c r="O143" s="22">
        <f>IFERROR(__xludf.DUMMYFUNCTION("""COMPUTED_VALUE"""),112.0)</f>
        <v>112</v>
      </c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5.75" customHeight="1">
      <c r="A144" s="23">
        <f>IFERROR(__xludf.DUMMYFUNCTION("""COMPUTED_VALUE"""),143.0)</f>
        <v>143</v>
      </c>
      <c r="B144" s="24" t="str">
        <f>IFERROR(__xludf.DUMMYFUNCTION("""COMPUTED_VALUE"""),"166")</f>
        <v>166</v>
      </c>
      <c r="C144" s="25" t="str">
        <f>IFERROR(__xludf.DUMMYFUNCTION("""COMPUTED_VALUE"""),"BOUCHÉ")</f>
        <v>BOUCHÉ</v>
      </c>
      <c r="D144" s="26" t="str">
        <f>IFERROR(__xludf.DUMMYFUNCTION("""COMPUTED_VALUE"""),"AMÉLIE")</f>
        <v>AMÉLIE</v>
      </c>
      <c r="E144" s="27" t="str">
        <f>IFERROR(__xludf.DUMMYFUNCTION("""COMPUTED_VALUE"""),"SF3")</f>
        <v>SF3</v>
      </c>
      <c r="F144" s="27">
        <f>IFERROR(__xludf.DUMMYFUNCTION("""COMPUTED_VALUE"""),8.0)</f>
        <v>8</v>
      </c>
      <c r="G144" s="28">
        <f>IFERROR(__xludf.DUMMYFUNCTION("""COMPUTED_VALUE"""),0.028078703985006108)</f>
        <v>0.02807870399</v>
      </c>
      <c r="H144" s="29">
        <f>IFERROR(__xludf.DUMMYFUNCTION("""COMPUTED_VALUE"""),0.005162037151066553)</f>
        <v>0.005162037151</v>
      </c>
      <c r="I144" s="30">
        <f>IFERROR(__xludf.DUMMYFUNCTION("""COMPUTED_VALUE"""),129.0)</f>
        <v>129</v>
      </c>
      <c r="J144" s="29">
        <f>IFERROR(__xludf.DUMMYFUNCTION("""COMPUTED_VALUE"""),0.009305555578500489)</f>
        <v>0.009305555579</v>
      </c>
      <c r="K144" s="30">
        <f>IFERROR(__xludf.DUMMYFUNCTION("""COMPUTED_VALUE"""),139.0)</f>
        <v>139</v>
      </c>
      <c r="L144" s="29">
        <f>IFERROR(__xludf.DUMMYFUNCTION("""COMPUTED_VALUE"""),0.01247685141042386)</f>
        <v>0.01247685141</v>
      </c>
      <c r="M144" s="30">
        <f>IFERROR(__xludf.DUMMYFUNCTION("""COMPUTED_VALUE"""),148.0)</f>
        <v>148</v>
      </c>
      <c r="N144" s="29">
        <f>IFERROR(__xludf.DUMMYFUNCTION("""COMPUTED_VALUE"""),0.0011342598450152057)</f>
        <v>0.001134259845</v>
      </c>
      <c r="O144" s="30">
        <f>IFERROR(__xludf.DUMMYFUNCTION("""COMPUTED_VALUE"""),78.0)</f>
        <v>78</v>
      </c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5.75" customHeight="1">
      <c r="A145" s="15">
        <f>IFERROR(__xludf.DUMMYFUNCTION("""COMPUTED_VALUE"""),144.0)</f>
        <v>144</v>
      </c>
      <c r="B145" s="16" t="str">
        <f>IFERROR(__xludf.DUMMYFUNCTION("""COMPUTED_VALUE"""),"138")</f>
        <v>138</v>
      </c>
      <c r="C145" s="17" t="str">
        <f>IFERROR(__xludf.DUMMYFUNCTION("""COMPUTED_VALUE"""),"CARIMANTRAN")</f>
        <v>CARIMANTRAN</v>
      </c>
      <c r="D145" s="18" t="str">
        <f>IFERROR(__xludf.DUMMYFUNCTION("""COMPUTED_VALUE"""),"CLAIRE")</f>
        <v>CLAIRE</v>
      </c>
      <c r="E145" s="19" t="str">
        <f>IFERROR(__xludf.DUMMYFUNCTION("""COMPUTED_VALUE"""),"MF3")</f>
        <v>MF3</v>
      </c>
      <c r="F145" s="19">
        <f>IFERROR(__xludf.DUMMYFUNCTION("""COMPUTED_VALUE"""),5.0)</f>
        <v>5</v>
      </c>
      <c r="G145" s="20">
        <f>IFERROR(__xludf.DUMMYFUNCTION("""COMPUTED_VALUE"""),0.028206018552832956)</f>
        <v>0.02820601855</v>
      </c>
      <c r="H145" s="21">
        <f>IFERROR(__xludf.DUMMYFUNCTION("""COMPUTED_VALUE"""),0.005092592643689418)</f>
        <v>0.005092592644</v>
      </c>
      <c r="I145" s="22">
        <f>IFERROR(__xludf.DUMMYFUNCTION("""COMPUTED_VALUE"""),125.0)</f>
        <v>125</v>
      </c>
      <c r="J145" s="21">
        <f>IFERROR(__xludf.DUMMYFUNCTION("""COMPUTED_VALUE"""),0.011527777822537236)</f>
        <v>0.01152777782</v>
      </c>
      <c r="K145" s="22">
        <f>IFERROR(__xludf.DUMMYFUNCTION("""COMPUTED_VALUE"""),153.0)</f>
        <v>153</v>
      </c>
      <c r="L145" s="21">
        <f>IFERROR(__xludf.DUMMYFUNCTION("""COMPUTED_VALUE"""),0.01038194374764708)</f>
        <v>0.01038194375</v>
      </c>
      <c r="M145" s="22">
        <f>IFERROR(__xludf.DUMMYFUNCTION("""COMPUTED_VALUE"""),119.0)</f>
        <v>119</v>
      </c>
      <c r="N145" s="21">
        <f>IFERROR(__xludf.DUMMYFUNCTION("""COMPUTED_VALUE"""),0.0012037043389592217)</f>
        <v>0.001203704339</v>
      </c>
      <c r="O145" s="22">
        <f>IFERROR(__xludf.DUMMYFUNCTION("""COMPUTED_VALUE"""),94.0)</f>
        <v>94</v>
      </c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5.75" customHeight="1">
      <c r="A146" s="23">
        <f>IFERROR(__xludf.DUMMYFUNCTION("""COMPUTED_VALUE"""),145.0)</f>
        <v>145</v>
      </c>
      <c r="B146" s="24" t="str">
        <f>IFERROR(__xludf.DUMMYFUNCTION("""COMPUTED_VALUE"""),"62")</f>
        <v>62</v>
      </c>
      <c r="C146" s="25" t="str">
        <f>IFERROR(__xludf.DUMMYFUNCTION("""COMPUTED_VALUE"""),"TANNER")</f>
        <v>TANNER</v>
      </c>
      <c r="D146" s="26" t="str">
        <f>IFERROR(__xludf.DUMMYFUNCTION("""COMPUTED_VALUE"""),"RENAUD")</f>
        <v>RENAUD</v>
      </c>
      <c r="E146" s="27" t="str">
        <f>IFERROR(__xludf.DUMMYFUNCTION("""COMPUTED_VALUE"""),"MH1")</f>
        <v>MH1</v>
      </c>
      <c r="F146" s="27">
        <f>IFERROR(__xludf.DUMMYFUNCTION("""COMPUTED_VALUE"""),15.0)</f>
        <v>15</v>
      </c>
      <c r="G146" s="28">
        <f>IFERROR(__xludf.DUMMYFUNCTION("""COMPUTED_VALUE"""),0.02821759265430833)</f>
        <v>0.02821759265</v>
      </c>
      <c r="H146" s="29">
        <f>IFERROR(__xludf.DUMMYFUNCTION("""COMPUTED_VALUE"""),0.004930555598018108)</f>
        <v>0.004930555598</v>
      </c>
      <c r="I146" s="30">
        <f>IFERROR(__xludf.DUMMYFUNCTION("""COMPUTED_VALUE"""),117.0)</f>
        <v>117</v>
      </c>
      <c r="J146" s="29">
        <f>IFERROR(__xludf.DUMMYFUNCTION("""COMPUTED_VALUE"""),0.008599537101484724)</f>
        <v>0.008599537101</v>
      </c>
      <c r="K146" s="30">
        <f>IFERROR(__xludf.DUMMYFUNCTION("""COMPUTED_VALUE"""),104.0)</f>
        <v>104</v>
      </c>
      <c r="L146" s="29">
        <f>IFERROR(__xludf.DUMMYFUNCTION("""COMPUTED_VALUE"""),0.012812499982810095)</f>
        <v>0.01281249998</v>
      </c>
      <c r="M146" s="30">
        <f>IFERROR(__xludf.DUMMYFUNCTION("""COMPUTED_VALUE"""),149.0)</f>
        <v>149</v>
      </c>
      <c r="N146" s="29">
        <f>IFERROR(__xludf.DUMMYFUNCTION("""COMPUTED_VALUE"""),0.0018749999719954022)</f>
        <v>0.001874999972</v>
      </c>
      <c r="O146" s="30">
        <f>IFERROR(__xludf.DUMMYFUNCTION("""COMPUTED_VALUE"""),144.0)</f>
        <v>144</v>
      </c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5.75" customHeight="1">
      <c r="A147" s="15">
        <f>IFERROR(__xludf.DUMMYFUNCTION("""COMPUTED_VALUE"""),146.0)</f>
        <v>146</v>
      </c>
      <c r="B147" s="16" t="str">
        <f>IFERROR(__xludf.DUMMYFUNCTION("""COMPUTED_VALUE"""),"98")</f>
        <v>98</v>
      </c>
      <c r="C147" s="17" t="str">
        <f>IFERROR(__xludf.DUMMYFUNCTION("""COMPUTED_VALUE"""),"DEJEAN")</f>
        <v>DEJEAN</v>
      </c>
      <c r="D147" s="18" t="str">
        <f>IFERROR(__xludf.DUMMYFUNCTION("""COMPUTED_VALUE"""),"LEA")</f>
        <v>LEA</v>
      </c>
      <c r="E147" s="19" t="str">
        <f>IFERROR(__xludf.DUMMYFUNCTION("""COMPUTED_VALUE"""),"SF2")</f>
        <v>SF2</v>
      </c>
      <c r="F147" s="19">
        <f>IFERROR(__xludf.DUMMYFUNCTION("""COMPUTED_VALUE"""),13.0)</f>
        <v>13</v>
      </c>
      <c r="G147" s="20">
        <f>IFERROR(__xludf.DUMMYFUNCTION("""COMPUTED_VALUE"""),0.028263889648335146)</f>
        <v>0.02826388965</v>
      </c>
      <c r="H147" s="21">
        <f>IFERROR(__xludf.DUMMYFUNCTION("""COMPUTED_VALUE"""),0.0040972222461836405)</f>
        <v>0.004097222246</v>
      </c>
      <c r="I147" s="22">
        <f>IFERROR(__xludf.DUMMYFUNCTION("""COMPUTED_VALUE"""),72.0)</f>
        <v>72</v>
      </c>
      <c r="J147" s="21">
        <f>IFERROR(__xludf.DUMMYFUNCTION("""COMPUTED_VALUE"""),0.009583333408838138)</f>
        <v>0.009583333409</v>
      </c>
      <c r="K147" s="22">
        <f>IFERROR(__xludf.DUMMYFUNCTION("""COMPUTED_VALUE"""),142.0)</f>
        <v>142</v>
      </c>
      <c r="L147" s="21">
        <f>IFERROR(__xludf.DUMMYFUNCTION("""COMPUTED_VALUE"""),0.013113426366333218)</f>
        <v>0.01311342637</v>
      </c>
      <c r="M147" s="22">
        <f>IFERROR(__xludf.DUMMYFUNCTION("""COMPUTED_VALUE"""),152.0)</f>
        <v>152</v>
      </c>
      <c r="N147" s="21">
        <f>IFERROR(__xludf.DUMMYFUNCTION("""COMPUTED_VALUE"""),0.0014699076269801496)</f>
        <v>0.001469907627</v>
      </c>
      <c r="O147" s="22">
        <f>IFERROR(__xludf.DUMMYFUNCTION("""COMPUTED_VALUE"""),122.0)</f>
        <v>122</v>
      </c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5.75" customHeight="1">
      <c r="A148" s="23">
        <f>IFERROR(__xludf.DUMMYFUNCTION("""COMPUTED_VALUE"""),147.0)</f>
        <v>147</v>
      </c>
      <c r="B148" s="24" t="str">
        <f>IFERROR(__xludf.DUMMYFUNCTION("""COMPUTED_VALUE"""),"199")</f>
        <v>199</v>
      </c>
      <c r="C148" s="25" t="str">
        <f>IFERROR(__xludf.DUMMYFUNCTION("""COMPUTED_VALUE"""),"LE HUËROU")</f>
        <v>LE HUËROU</v>
      </c>
      <c r="D148" s="26" t="str">
        <f>IFERROR(__xludf.DUMMYFUNCTION("""COMPUTED_VALUE"""),"MORGANE")</f>
        <v>MORGANE</v>
      </c>
      <c r="E148" s="27" t="str">
        <f>IFERROR(__xludf.DUMMYFUNCTION("""COMPUTED_VALUE"""),"SF3")</f>
        <v>SF3</v>
      </c>
      <c r="F148" s="27">
        <f>IFERROR(__xludf.DUMMYFUNCTION("""COMPUTED_VALUE"""),9.0)</f>
        <v>9</v>
      </c>
      <c r="G148" s="28">
        <f>IFERROR(__xludf.DUMMYFUNCTION("""COMPUTED_VALUE"""),0.02834490850448618)</f>
        <v>0.0283449085</v>
      </c>
      <c r="H148" s="29">
        <f>IFERROR(__xludf.DUMMYFUNCTION("""COMPUTED_VALUE"""),0.004085648222507913)</f>
        <v>0.004085648223</v>
      </c>
      <c r="I148" s="30">
        <f>IFERROR(__xludf.DUMMYFUNCTION("""COMPUTED_VALUE"""),71.0)</f>
        <v>71</v>
      </c>
      <c r="J148" s="29">
        <f>IFERROR(__xludf.DUMMYFUNCTION("""COMPUTED_VALUE"""),0.01065972233441587)</f>
        <v>0.01065972233</v>
      </c>
      <c r="K148" s="30">
        <f>IFERROR(__xludf.DUMMYFUNCTION("""COMPUTED_VALUE"""),151.0)</f>
        <v>151</v>
      </c>
      <c r="L148" s="29">
        <f>IFERROR(__xludf.DUMMYFUNCTION("""COMPUTED_VALUE"""),0.012256945260675233)</f>
        <v>0.01225694526</v>
      </c>
      <c r="M148" s="30">
        <f>IFERROR(__xludf.DUMMYFUNCTION("""COMPUTED_VALUE"""),145.0)</f>
        <v>145</v>
      </c>
      <c r="N148" s="29">
        <f>IFERROR(__xludf.DUMMYFUNCTION("""COMPUTED_VALUE"""),0.0013425926868871644)</f>
        <v>0.001342592687</v>
      </c>
      <c r="O148" s="30">
        <f>IFERROR(__xludf.DUMMYFUNCTION("""COMPUTED_VALUE"""),108.0)</f>
        <v>108</v>
      </c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5.75" customHeight="1">
      <c r="A149" s="15">
        <f>IFERROR(__xludf.DUMMYFUNCTION("""COMPUTED_VALUE"""),148.0)</f>
        <v>148</v>
      </c>
      <c r="B149" s="16" t="str">
        <f>IFERROR(__xludf.DUMMYFUNCTION("""COMPUTED_VALUE"""),"172")</f>
        <v>172</v>
      </c>
      <c r="C149" s="17" t="str">
        <f>IFERROR(__xludf.DUMMYFUNCTION("""COMPUTED_VALUE"""),"LE POËZELLER")</f>
        <v>LE POËZELLER</v>
      </c>
      <c r="D149" s="18" t="str">
        <f>IFERROR(__xludf.DUMMYFUNCTION("""COMPUTED_VALUE"""),"DIANE")</f>
        <v>DIANE</v>
      </c>
      <c r="E149" s="19" t="str">
        <f>IFERROR(__xludf.DUMMYFUNCTION("""COMPUTED_VALUE"""),"SF1")</f>
        <v>SF1</v>
      </c>
      <c r="F149" s="19">
        <f>IFERROR(__xludf.DUMMYFUNCTION("""COMPUTED_VALUE"""),6.0)</f>
        <v>6</v>
      </c>
      <c r="G149" s="20">
        <f>IFERROR(__xludf.DUMMYFUNCTION("""COMPUTED_VALUE"""),0.028368056671543605)</f>
        <v>0.02836805667</v>
      </c>
      <c r="H149" s="21">
        <f>IFERROR(__xludf.DUMMYFUNCTION("""COMPUTED_VALUE"""),0.005694444486177794)</f>
        <v>0.005694444486</v>
      </c>
      <c r="I149" s="22">
        <f>IFERROR(__xludf.DUMMYFUNCTION("""COMPUTED_VALUE"""),147.0)</f>
        <v>147</v>
      </c>
      <c r="J149" s="21">
        <f>IFERROR(__xludf.DUMMYFUNCTION("""COMPUTED_VALUE"""),0.009131944458597139)</f>
        <v>0.009131944459</v>
      </c>
      <c r="K149" s="22">
        <f>IFERROR(__xludf.DUMMYFUNCTION("""COMPUTED_VALUE"""),129.0)</f>
        <v>129</v>
      </c>
      <c r="L149" s="21">
        <f>IFERROR(__xludf.DUMMYFUNCTION("""COMPUTED_VALUE"""),0.011157407443914896)</f>
        <v>0.01115740744</v>
      </c>
      <c r="M149" s="22">
        <f>IFERROR(__xludf.DUMMYFUNCTION("""COMPUTED_VALUE"""),132.0)</f>
        <v>132</v>
      </c>
      <c r="N149" s="21">
        <f>IFERROR(__xludf.DUMMYFUNCTION("""COMPUTED_VALUE"""),0.002384260282853776)</f>
        <v>0.002384260283</v>
      </c>
      <c r="O149" s="22">
        <f>IFERROR(__xludf.DUMMYFUNCTION("""COMPUTED_VALUE"""),151.0)</f>
        <v>151</v>
      </c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15.75" customHeight="1">
      <c r="A150" s="23">
        <f>IFERROR(__xludf.DUMMYFUNCTION("""COMPUTED_VALUE"""),149.0)</f>
        <v>149</v>
      </c>
      <c r="B150" s="24" t="str">
        <f>IFERROR(__xludf.DUMMYFUNCTION("""COMPUTED_VALUE"""),"97")</f>
        <v>97</v>
      </c>
      <c r="C150" s="25" t="str">
        <f>IFERROR(__xludf.DUMMYFUNCTION("""COMPUTED_VALUE"""),"PIONTEK")</f>
        <v>PIONTEK</v>
      </c>
      <c r="D150" s="26" t="str">
        <f>IFERROR(__xludf.DUMMYFUNCTION("""COMPUTED_VALUE"""),"ANNE")</f>
        <v>ANNE</v>
      </c>
      <c r="E150" s="27" t="str">
        <f>IFERROR(__xludf.DUMMYFUNCTION("""COMPUTED_VALUE"""),"MF3")</f>
        <v>MF3</v>
      </c>
      <c r="F150" s="27">
        <f>IFERROR(__xludf.DUMMYFUNCTION("""COMPUTED_VALUE"""),6.0)</f>
        <v>6</v>
      </c>
      <c r="G150" s="28">
        <f>IFERROR(__xludf.DUMMYFUNCTION("""COMPUTED_VALUE"""),0.02847222250738921)</f>
        <v>0.02847222251</v>
      </c>
      <c r="H150" s="29">
        <f>IFERROR(__xludf.DUMMYFUNCTION("""COMPUTED_VALUE"""),0.005891203798880285)</f>
        <v>0.005891203799</v>
      </c>
      <c r="I150" s="30">
        <f>IFERROR(__xludf.DUMMYFUNCTION("""COMPUTED_VALUE"""),148.0)</f>
        <v>148</v>
      </c>
      <c r="J150" s="29">
        <f>IFERROR(__xludf.DUMMYFUNCTION("""COMPUTED_VALUE"""),0.009571759303971234)</f>
        <v>0.009571759304</v>
      </c>
      <c r="K150" s="30">
        <f>IFERROR(__xludf.DUMMYFUNCTION("""COMPUTED_VALUE"""),141.0)</f>
        <v>141</v>
      </c>
      <c r="L150" s="29">
        <f>IFERROR(__xludf.DUMMYFUNCTION("""COMPUTED_VALUE"""),0.011377314820804726)</f>
        <v>0.01137731482</v>
      </c>
      <c r="M150" s="30">
        <f>IFERROR(__xludf.DUMMYFUNCTION("""COMPUTED_VALUE"""),136.0)</f>
        <v>136</v>
      </c>
      <c r="N150" s="29">
        <f>IFERROR(__xludf.DUMMYFUNCTION("""COMPUTED_VALUE"""),0.0016319445837329636)</f>
        <v>0.001631944584</v>
      </c>
      <c r="O150" s="30">
        <f>IFERROR(__xludf.DUMMYFUNCTION("""COMPUTED_VALUE"""),133.0)</f>
        <v>133</v>
      </c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15.75" customHeight="1">
      <c r="A151" s="15">
        <f>IFERROR(__xludf.DUMMYFUNCTION("""COMPUTED_VALUE"""),150.0)</f>
        <v>150</v>
      </c>
      <c r="B151" s="16" t="str">
        <f>IFERROR(__xludf.DUMMYFUNCTION("""COMPUTED_VALUE"""),"152")</f>
        <v>152</v>
      </c>
      <c r="C151" s="17" t="str">
        <f>IFERROR(__xludf.DUMMYFUNCTION("""COMPUTED_VALUE"""),"PETIT")</f>
        <v>PETIT</v>
      </c>
      <c r="D151" s="18" t="str">
        <f>IFERROR(__xludf.DUMMYFUNCTION("""COMPUTED_VALUE"""),"LAURENE")</f>
        <v>LAURENE</v>
      </c>
      <c r="E151" s="19" t="str">
        <f>IFERROR(__xludf.DUMMYFUNCTION("""COMPUTED_VALUE"""),"SF2")</f>
        <v>SF2</v>
      </c>
      <c r="F151" s="19">
        <f>IFERROR(__xludf.DUMMYFUNCTION("""COMPUTED_VALUE"""),14.0)</f>
        <v>14</v>
      </c>
      <c r="G151" s="20">
        <f>IFERROR(__xludf.DUMMYFUNCTION("""COMPUTED_VALUE"""),0.029849537493109767)</f>
        <v>0.02984953749</v>
      </c>
      <c r="H151" s="21">
        <f>IFERROR(__xludf.DUMMYFUNCTION("""COMPUTED_VALUE"""),0.005486111169445932)</f>
        <v>0.005486111169</v>
      </c>
      <c r="I151" s="22">
        <f>IFERROR(__xludf.DUMMYFUNCTION("""COMPUTED_VALUE"""),140.0)</f>
        <v>140</v>
      </c>
      <c r="J151" s="21">
        <f>IFERROR(__xludf.DUMMYFUNCTION("""COMPUTED_VALUE"""),0.01023148149054275)</f>
        <v>0.01023148149</v>
      </c>
      <c r="K151" s="22">
        <f>IFERROR(__xludf.DUMMYFUNCTION("""COMPUTED_VALUE"""),149.0)</f>
        <v>149</v>
      </c>
      <c r="L151" s="21">
        <f>IFERROR(__xludf.DUMMYFUNCTION("""COMPUTED_VALUE"""),0.012870370738249034)</f>
        <v>0.01287037074</v>
      </c>
      <c r="M151" s="22">
        <f>IFERROR(__xludf.DUMMYFUNCTION("""COMPUTED_VALUE"""),150.0)</f>
        <v>150</v>
      </c>
      <c r="N151" s="21">
        <f>IFERROR(__xludf.DUMMYFUNCTION("""COMPUTED_VALUE"""),0.0012615740948720517)</f>
        <v>0.001261574095</v>
      </c>
      <c r="O151" s="22">
        <f>IFERROR(__xludf.DUMMYFUNCTION("""COMPUTED_VALUE"""),102.0)</f>
        <v>102</v>
      </c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15.75" customHeight="1">
      <c r="A152" s="23">
        <f>IFERROR(__xludf.DUMMYFUNCTION("""COMPUTED_VALUE"""),151.0)</f>
        <v>151</v>
      </c>
      <c r="B152" s="24" t="str">
        <f>IFERROR(__xludf.DUMMYFUNCTION("""COMPUTED_VALUE"""),"142")</f>
        <v>142</v>
      </c>
      <c r="C152" s="25" t="str">
        <f>IFERROR(__xludf.DUMMYFUNCTION("""COMPUTED_VALUE"""),"RAMADAN-ALBAN")</f>
        <v>RAMADAN-ALBAN</v>
      </c>
      <c r="D152" s="26" t="str">
        <f>IFERROR(__xludf.DUMMYFUNCTION("""COMPUTED_VALUE"""),"WENDY")</f>
        <v>WENDY</v>
      </c>
      <c r="E152" s="27" t="str">
        <f>IFERROR(__xludf.DUMMYFUNCTION("""COMPUTED_VALUE"""),"SF4")</f>
        <v>SF4</v>
      </c>
      <c r="F152" s="27">
        <f>IFERROR(__xludf.DUMMYFUNCTION("""COMPUTED_VALUE"""),5.0)</f>
        <v>5</v>
      </c>
      <c r="G152" s="28">
        <f>IFERROR(__xludf.DUMMYFUNCTION("""COMPUTED_VALUE"""),0.03067129689823295)</f>
        <v>0.0306712969</v>
      </c>
      <c r="H152" s="29">
        <f>IFERROR(__xludf.DUMMYFUNCTION("""COMPUTED_VALUE"""),0.0060995371156182965)</f>
        <v>0.006099537116</v>
      </c>
      <c r="I152" s="30">
        <f>IFERROR(__xludf.DUMMYFUNCTION("""COMPUTED_VALUE"""),151.0)</f>
        <v>151</v>
      </c>
      <c r="J152" s="29">
        <f>IFERROR(__xludf.DUMMYFUNCTION("""COMPUTED_VALUE"""),0.010358796381237951)</f>
        <v>0.01035879638</v>
      </c>
      <c r="K152" s="30">
        <f>IFERROR(__xludf.DUMMYFUNCTION("""COMPUTED_VALUE"""),150.0)</f>
        <v>150</v>
      </c>
      <c r="L152" s="29">
        <f>IFERROR(__xludf.DUMMYFUNCTION("""COMPUTED_VALUE"""),0.012326389217753711)</f>
        <v>0.01232638922</v>
      </c>
      <c r="M152" s="30">
        <f>IFERROR(__xludf.DUMMYFUNCTION("""COMPUTED_VALUE"""),147.0)</f>
        <v>147</v>
      </c>
      <c r="N152" s="29">
        <f>IFERROR(__xludf.DUMMYFUNCTION("""COMPUTED_VALUE"""),0.001886574183622992)</f>
        <v>0.001886574184</v>
      </c>
      <c r="O152" s="30">
        <f>IFERROR(__xludf.DUMMYFUNCTION("""COMPUTED_VALUE"""),146.0)</f>
        <v>146</v>
      </c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15.75" customHeight="1">
      <c r="A153" s="15">
        <f>IFERROR(__xludf.DUMMYFUNCTION("""COMPUTED_VALUE"""),152.0)</f>
        <v>152</v>
      </c>
      <c r="B153" s="16" t="str">
        <f>IFERROR(__xludf.DUMMYFUNCTION("""COMPUTED_VALUE"""),"59")</f>
        <v>59</v>
      </c>
      <c r="C153" s="17" t="str">
        <f>IFERROR(__xludf.DUMMYFUNCTION("""COMPUTED_VALUE"""),"TANNER")</f>
        <v>TANNER</v>
      </c>
      <c r="D153" s="18" t="str">
        <f>IFERROR(__xludf.DUMMYFUNCTION("""COMPUTED_VALUE"""),"MICHEL")</f>
        <v>MICHEL</v>
      </c>
      <c r="E153" s="19" t="str">
        <f>IFERROR(__xludf.DUMMYFUNCTION("""COMPUTED_VALUE"""),"MH6")</f>
        <v>MH6</v>
      </c>
      <c r="F153" s="19">
        <f>IFERROR(__xludf.DUMMYFUNCTION("""COMPUTED_VALUE"""),1.0)</f>
        <v>1</v>
      </c>
      <c r="G153" s="20">
        <f>IFERROR(__xludf.DUMMYFUNCTION("""COMPUTED_VALUE"""),0.0317939816343476)</f>
        <v>0.03179398163</v>
      </c>
      <c r="H153" s="21">
        <f>IFERROR(__xludf.DUMMYFUNCTION("""COMPUTED_VALUE"""),0.008356481523017581)</f>
        <v>0.008356481523</v>
      </c>
      <c r="I153" s="22">
        <f>IFERROR(__xludf.DUMMYFUNCTION("""COMPUTED_VALUE"""),153.0)</f>
        <v>153</v>
      </c>
      <c r="J153" s="21">
        <f>IFERROR(__xludf.DUMMYFUNCTION("""COMPUTED_VALUE"""),0.009479166698375393)</f>
        <v>0.009479166698</v>
      </c>
      <c r="K153" s="22">
        <f>IFERROR(__xludf.DUMMYFUNCTION("""COMPUTED_VALUE"""),140.0)</f>
        <v>140</v>
      </c>
      <c r="L153" s="21">
        <f>IFERROR(__xludf.DUMMYFUNCTION("""COMPUTED_VALUE"""),0.011527777852628613)</f>
        <v>0.01152777785</v>
      </c>
      <c r="M153" s="22">
        <f>IFERROR(__xludf.DUMMYFUNCTION("""COMPUTED_VALUE"""),139.0)</f>
        <v>139</v>
      </c>
      <c r="N153" s="21">
        <f>IFERROR(__xludf.DUMMYFUNCTION("""COMPUTED_VALUE"""),0.002430555560326014)</f>
        <v>0.00243055556</v>
      </c>
      <c r="O153" s="22">
        <f>IFERROR(__xludf.DUMMYFUNCTION("""COMPUTED_VALUE"""),152.0)</f>
        <v>152</v>
      </c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15.75" customHeight="1">
      <c r="A154" s="23">
        <f>IFERROR(__xludf.DUMMYFUNCTION("""COMPUTED_VALUE"""),153.0)</f>
        <v>153</v>
      </c>
      <c r="B154" s="24" t="str">
        <f>IFERROR(__xludf.DUMMYFUNCTION("""COMPUTED_VALUE"""),"68")</f>
        <v>68</v>
      </c>
      <c r="C154" s="25" t="str">
        <f>IFERROR(__xludf.DUMMYFUNCTION("""COMPUTED_VALUE"""),"URSULET")</f>
        <v>URSULET</v>
      </c>
      <c r="D154" s="26" t="str">
        <f>IFERROR(__xludf.DUMMYFUNCTION("""COMPUTED_VALUE"""),"BRUNO")</f>
        <v>BRUNO</v>
      </c>
      <c r="E154" s="27" t="str">
        <f>IFERROR(__xludf.DUMMYFUNCTION("""COMPUTED_VALUE"""),"MH5")</f>
        <v>MH5</v>
      </c>
      <c r="F154" s="27">
        <f>IFERROR(__xludf.DUMMYFUNCTION("""COMPUTED_VALUE"""),5.0)</f>
        <v>5</v>
      </c>
      <c r="G154" s="28">
        <f>IFERROR(__xludf.DUMMYFUNCTION("""COMPUTED_VALUE"""),0.03780092628991552)</f>
        <v>0.03780092629</v>
      </c>
      <c r="H154" s="29">
        <f>IFERROR(__xludf.DUMMYFUNCTION("""COMPUTED_VALUE"""),0.006793981577697487)</f>
        <v>0.006793981578</v>
      </c>
      <c r="I154" s="30">
        <f>IFERROR(__xludf.DUMMYFUNCTION("""COMPUTED_VALUE"""),152.0)</f>
        <v>152</v>
      </c>
      <c r="J154" s="29">
        <f>IFERROR(__xludf.DUMMYFUNCTION("""COMPUTED_VALUE"""),0.009780092701226546)</f>
        <v>0.009780092701</v>
      </c>
      <c r="K154" s="30">
        <f>IFERROR(__xludf.DUMMYFUNCTION("""COMPUTED_VALUE"""),147.0)</f>
        <v>147</v>
      </c>
      <c r="L154" s="29">
        <f>IFERROR(__xludf.DUMMYFUNCTION("""COMPUTED_VALUE"""),0.018032407109976455)</f>
        <v>0.01803240711</v>
      </c>
      <c r="M154" s="30">
        <f>IFERROR(__xludf.DUMMYFUNCTION("""COMPUTED_VALUE"""),153.0)</f>
        <v>153</v>
      </c>
      <c r="N154" s="29">
        <f>IFERROR(__xludf.DUMMYFUNCTION("""COMPUTED_VALUE"""),0.003194444901015032)</f>
        <v>0.003194444901</v>
      </c>
      <c r="O154" s="30">
        <f>IFERROR(__xludf.DUMMYFUNCTION("""COMPUTED_VALUE"""),153.0)</f>
        <v>153</v>
      </c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15.75" customHeight="1">
      <c r="A155" s="15" t="str">
        <f>IFERROR(__xludf.DUMMYFUNCTION("""COMPUTED_VALUE"""),"")</f>
        <v/>
      </c>
      <c r="B155" s="19" t="str">
        <f>IFERROR(__xludf.DUMMYFUNCTION("""COMPUTED_VALUE"""),"")</f>
        <v/>
      </c>
      <c r="C155" s="18" t="str">
        <f>IFERROR(__xludf.DUMMYFUNCTION("""COMPUTED_VALUE"""),"")</f>
        <v/>
      </c>
      <c r="D155" s="18" t="str">
        <f>IFERROR(__xludf.DUMMYFUNCTION("""COMPUTED_VALUE"""),"")</f>
        <v/>
      </c>
      <c r="E155" s="19" t="str">
        <f>IFERROR(__xludf.DUMMYFUNCTION("""COMPUTED_VALUE"""),"")</f>
        <v/>
      </c>
      <c r="F155" s="19" t="str">
        <f>IFERROR(__xludf.DUMMYFUNCTION("""COMPUTED_VALUE"""),"")</f>
        <v/>
      </c>
      <c r="G155" s="20" t="str">
        <f>IFERROR(__xludf.DUMMYFUNCTION("""COMPUTED_VALUE"""),"")</f>
        <v/>
      </c>
      <c r="H155" s="21" t="str">
        <f>IFERROR(__xludf.DUMMYFUNCTION("""COMPUTED_VALUE"""),"")</f>
        <v/>
      </c>
      <c r="I155" s="22" t="str">
        <f>IFERROR(__xludf.DUMMYFUNCTION("""COMPUTED_VALUE"""),"")</f>
        <v/>
      </c>
      <c r="J155" s="21" t="str">
        <f>IFERROR(__xludf.DUMMYFUNCTION("""COMPUTED_VALUE"""),"")</f>
        <v/>
      </c>
      <c r="K155" s="22" t="str">
        <f>IFERROR(__xludf.DUMMYFUNCTION("""COMPUTED_VALUE"""),"")</f>
        <v/>
      </c>
      <c r="L155" s="21" t="str">
        <f>IFERROR(__xludf.DUMMYFUNCTION("""COMPUTED_VALUE"""),"")</f>
        <v/>
      </c>
      <c r="M155" s="22" t="str">
        <f>IFERROR(__xludf.DUMMYFUNCTION("""COMPUTED_VALUE"""),"")</f>
        <v/>
      </c>
      <c r="N155" s="21" t="str">
        <f>IFERROR(__xludf.DUMMYFUNCTION("""COMPUTED_VALUE"""),"")</f>
        <v/>
      </c>
      <c r="O155" s="22" t="str">
        <f>IFERROR(__xludf.DUMMYFUNCTION("""COMPUTED_VALUE"""),"")</f>
        <v/>
      </c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15.75" customHeight="1">
      <c r="A156" s="23" t="str">
        <f>IFERROR(__xludf.DUMMYFUNCTION("""COMPUTED_VALUE"""),"")</f>
        <v/>
      </c>
      <c r="B156" s="27" t="str">
        <f>IFERROR(__xludf.DUMMYFUNCTION("""COMPUTED_VALUE"""),"")</f>
        <v/>
      </c>
      <c r="C156" s="26" t="str">
        <f>IFERROR(__xludf.DUMMYFUNCTION("""COMPUTED_VALUE"""),"")</f>
        <v/>
      </c>
      <c r="D156" s="26" t="str">
        <f>IFERROR(__xludf.DUMMYFUNCTION("""COMPUTED_VALUE"""),"")</f>
        <v/>
      </c>
      <c r="E156" s="27" t="str">
        <f>IFERROR(__xludf.DUMMYFUNCTION("""COMPUTED_VALUE"""),"")</f>
        <v/>
      </c>
      <c r="F156" s="27" t="str">
        <f>IFERROR(__xludf.DUMMYFUNCTION("""COMPUTED_VALUE"""),"")</f>
        <v/>
      </c>
      <c r="G156" s="28" t="str">
        <f>IFERROR(__xludf.DUMMYFUNCTION("""COMPUTED_VALUE"""),"")</f>
        <v/>
      </c>
      <c r="H156" s="29" t="str">
        <f>IFERROR(__xludf.DUMMYFUNCTION("""COMPUTED_VALUE"""),"")</f>
        <v/>
      </c>
      <c r="I156" s="30" t="str">
        <f>IFERROR(__xludf.DUMMYFUNCTION("""COMPUTED_VALUE"""),"")</f>
        <v/>
      </c>
      <c r="J156" s="29" t="str">
        <f>IFERROR(__xludf.DUMMYFUNCTION("""COMPUTED_VALUE"""),"")</f>
        <v/>
      </c>
      <c r="K156" s="30" t="str">
        <f>IFERROR(__xludf.DUMMYFUNCTION("""COMPUTED_VALUE"""),"")</f>
        <v/>
      </c>
      <c r="L156" s="29" t="str">
        <f>IFERROR(__xludf.DUMMYFUNCTION("""COMPUTED_VALUE"""),"")</f>
        <v/>
      </c>
      <c r="M156" s="30" t="str">
        <f>IFERROR(__xludf.DUMMYFUNCTION("""COMPUTED_VALUE"""),"")</f>
        <v/>
      </c>
      <c r="N156" s="29" t="str">
        <f>IFERROR(__xludf.DUMMYFUNCTION("""COMPUTED_VALUE"""),"")</f>
        <v/>
      </c>
      <c r="O156" s="30" t="str">
        <f>IFERROR(__xludf.DUMMYFUNCTION("""COMPUTED_VALUE"""),"")</f>
        <v/>
      </c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15.75" customHeight="1">
      <c r="A157" s="15" t="str">
        <f>IFERROR(__xludf.DUMMYFUNCTION("""COMPUTED_VALUE"""),"")</f>
        <v/>
      </c>
      <c r="B157" s="19" t="str">
        <f>IFERROR(__xludf.DUMMYFUNCTION("""COMPUTED_VALUE"""),"")</f>
        <v/>
      </c>
      <c r="C157" s="18" t="str">
        <f>IFERROR(__xludf.DUMMYFUNCTION("""COMPUTED_VALUE"""),"")</f>
        <v/>
      </c>
      <c r="D157" s="18" t="str">
        <f>IFERROR(__xludf.DUMMYFUNCTION("""COMPUTED_VALUE"""),"")</f>
        <v/>
      </c>
      <c r="E157" s="19" t="str">
        <f>IFERROR(__xludf.DUMMYFUNCTION("""COMPUTED_VALUE"""),"")</f>
        <v/>
      </c>
      <c r="F157" s="19" t="str">
        <f>IFERROR(__xludf.DUMMYFUNCTION("""COMPUTED_VALUE"""),"")</f>
        <v/>
      </c>
      <c r="G157" s="20" t="str">
        <f>IFERROR(__xludf.DUMMYFUNCTION("""COMPUTED_VALUE"""),"")</f>
        <v/>
      </c>
      <c r="H157" s="21" t="str">
        <f>IFERROR(__xludf.DUMMYFUNCTION("""COMPUTED_VALUE"""),"")</f>
        <v/>
      </c>
      <c r="I157" s="22" t="str">
        <f>IFERROR(__xludf.DUMMYFUNCTION("""COMPUTED_VALUE"""),"")</f>
        <v/>
      </c>
      <c r="J157" s="21" t="str">
        <f>IFERROR(__xludf.DUMMYFUNCTION("""COMPUTED_VALUE"""),"")</f>
        <v/>
      </c>
      <c r="K157" s="22" t="str">
        <f>IFERROR(__xludf.DUMMYFUNCTION("""COMPUTED_VALUE"""),"")</f>
        <v/>
      </c>
      <c r="L157" s="21" t="str">
        <f>IFERROR(__xludf.DUMMYFUNCTION("""COMPUTED_VALUE"""),"")</f>
        <v/>
      </c>
      <c r="M157" s="22" t="str">
        <f>IFERROR(__xludf.DUMMYFUNCTION("""COMPUTED_VALUE"""),"")</f>
        <v/>
      </c>
      <c r="N157" s="21" t="str">
        <f>IFERROR(__xludf.DUMMYFUNCTION("""COMPUTED_VALUE"""),"")</f>
        <v/>
      </c>
      <c r="O157" s="22" t="str">
        <f>IFERROR(__xludf.DUMMYFUNCTION("""COMPUTED_VALUE"""),"")</f>
        <v/>
      </c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15.75" customHeight="1">
      <c r="A158" s="23" t="str">
        <f>IFERROR(__xludf.DUMMYFUNCTION("""COMPUTED_VALUE"""),"")</f>
        <v/>
      </c>
      <c r="B158" s="27" t="str">
        <f>IFERROR(__xludf.DUMMYFUNCTION("""COMPUTED_VALUE"""),"")</f>
        <v/>
      </c>
      <c r="C158" s="26" t="str">
        <f>IFERROR(__xludf.DUMMYFUNCTION("""COMPUTED_VALUE"""),"")</f>
        <v/>
      </c>
      <c r="D158" s="26" t="str">
        <f>IFERROR(__xludf.DUMMYFUNCTION("""COMPUTED_VALUE"""),"")</f>
        <v/>
      </c>
      <c r="E158" s="27" t="str">
        <f>IFERROR(__xludf.DUMMYFUNCTION("""COMPUTED_VALUE"""),"")</f>
        <v/>
      </c>
      <c r="F158" s="27" t="str">
        <f>IFERROR(__xludf.DUMMYFUNCTION("""COMPUTED_VALUE"""),"")</f>
        <v/>
      </c>
      <c r="G158" s="28" t="str">
        <f>IFERROR(__xludf.DUMMYFUNCTION("""COMPUTED_VALUE"""),"")</f>
        <v/>
      </c>
      <c r="H158" s="29" t="str">
        <f>IFERROR(__xludf.DUMMYFUNCTION("""COMPUTED_VALUE"""),"")</f>
        <v/>
      </c>
      <c r="I158" s="30" t="str">
        <f>IFERROR(__xludf.DUMMYFUNCTION("""COMPUTED_VALUE"""),"")</f>
        <v/>
      </c>
      <c r="J158" s="29" t="str">
        <f>IFERROR(__xludf.DUMMYFUNCTION("""COMPUTED_VALUE"""),"")</f>
        <v/>
      </c>
      <c r="K158" s="30" t="str">
        <f>IFERROR(__xludf.DUMMYFUNCTION("""COMPUTED_VALUE"""),"")</f>
        <v/>
      </c>
      <c r="L158" s="29" t="str">
        <f>IFERROR(__xludf.DUMMYFUNCTION("""COMPUTED_VALUE"""),"")</f>
        <v/>
      </c>
      <c r="M158" s="30" t="str">
        <f>IFERROR(__xludf.DUMMYFUNCTION("""COMPUTED_VALUE"""),"")</f>
        <v/>
      </c>
      <c r="N158" s="29" t="str">
        <f>IFERROR(__xludf.DUMMYFUNCTION("""COMPUTED_VALUE"""),"")</f>
        <v/>
      </c>
      <c r="O158" s="30" t="str">
        <f>IFERROR(__xludf.DUMMYFUNCTION("""COMPUTED_VALUE"""),"")</f>
        <v/>
      </c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15.75" customHeight="1">
      <c r="A159" s="15" t="str">
        <f>IFERROR(__xludf.DUMMYFUNCTION("""COMPUTED_VALUE"""),"")</f>
        <v/>
      </c>
      <c r="B159" s="19" t="str">
        <f>IFERROR(__xludf.DUMMYFUNCTION("""COMPUTED_VALUE"""),"")</f>
        <v/>
      </c>
      <c r="C159" s="18" t="str">
        <f>IFERROR(__xludf.DUMMYFUNCTION("""COMPUTED_VALUE"""),"")</f>
        <v/>
      </c>
      <c r="D159" s="18" t="str">
        <f>IFERROR(__xludf.DUMMYFUNCTION("""COMPUTED_VALUE"""),"")</f>
        <v/>
      </c>
      <c r="E159" s="19" t="str">
        <f>IFERROR(__xludf.DUMMYFUNCTION("""COMPUTED_VALUE"""),"")</f>
        <v/>
      </c>
      <c r="F159" s="19" t="str">
        <f>IFERROR(__xludf.DUMMYFUNCTION("""COMPUTED_VALUE"""),"")</f>
        <v/>
      </c>
      <c r="G159" s="20" t="str">
        <f>IFERROR(__xludf.DUMMYFUNCTION("""COMPUTED_VALUE"""),"")</f>
        <v/>
      </c>
      <c r="H159" s="21" t="str">
        <f>IFERROR(__xludf.DUMMYFUNCTION("""COMPUTED_VALUE"""),"")</f>
        <v/>
      </c>
      <c r="I159" s="22" t="str">
        <f>IFERROR(__xludf.DUMMYFUNCTION("""COMPUTED_VALUE"""),"")</f>
        <v/>
      </c>
      <c r="J159" s="21" t="str">
        <f>IFERROR(__xludf.DUMMYFUNCTION("""COMPUTED_VALUE"""),"")</f>
        <v/>
      </c>
      <c r="K159" s="22" t="str">
        <f>IFERROR(__xludf.DUMMYFUNCTION("""COMPUTED_VALUE"""),"")</f>
        <v/>
      </c>
      <c r="L159" s="21" t="str">
        <f>IFERROR(__xludf.DUMMYFUNCTION("""COMPUTED_VALUE"""),"")</f>
        <v/>
      </c>
      <c r="M159" s="22" t="str">
        <f>IFERROR(__xludf.DUMMYFUNCTION("""COMPUTED_VALUE"""),"")</f>
        <v/>
      </c>
      <c r="N159" s="21" t="str">
        <f>IFERROR(__xludf.DUMMYFUNCTION("""COMPUTED_VALUE"""),"")</f>
        <v/>
      </c>
      <c r="O159" s="22" t="str">
        <f>IFERROR(__xludf.DUMMYFUNCTION("""COMPUTED_VALUE"""),"")</f>
        <v/>
      </c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15.75" customHeight="1">
      <c r="A160" s="23" t="str">
        <f>IFERROR(__xludf.DUMMYFUNCTION("""COMPUTED_VALUE"""),"")</f>
        <v/>
      </c>
      <c r="B160" s="27" t="str">
        <f>IFERROR(__xludf.DUMMYFUNCTION("""COMPUTED_VALUE"""),"")</f>
        <v/>
      </c>
      <c r="C160" s="26" t="str">
        <f>IFERROR(__xludf.DUMMYFUNCTION("""COMPUTED_VALUE"""),"")</f>
        <v/>
      </c>
      <c r="D160" s="26" t="str">
        <f>IFERROR(__xludf.DUMMYFUNCTION("""COMPUTED_VALUE"""),"")</f>
        <v/>
      </c>
      <c r="E160" s="27" t="str">
        <f>IFERROR(__xludf.DUMMYFUNCTION("""COMPUTED_VALUE"""),"")</f>
        <v/>
      </c>
      <c r="F160" s="27" t="str">
        <f>IFERROR(__xludf.DUMMYFUNCTION("""COMPUTED_VALUE"""),"")</f>
        <v/>
      </c>
      <c r="G160" s="28" t="str">
        <f>IFERROR(__xludf.DUMMYFUNCTION("""COMPUTED_VALUE"""),"")</f>
        <v/>
      </c>
      <c r="H160" s="29" t="str">
        <f>IFERROR(__xludf.DUMMYFUNCTION("""COMPUTED_VALUE"""),"")</f>
        <v/>
      </c>
      <c r="I160" s="30" t="str">
        <f>IFERROR(__xludf.DUMMYFUNCTION("""COMPUTED_VALUE"""),"")</f>
        <v/>
      </c>
      <c r="J160" s="29" t="str">
        <f>IFERROR(__xludf.DUMMYFUNCTION("""COMPUTED_VALUE"""),"")</f>
        <v/>
      </c>
      <c r="K160" s="30" t="str">
        <f>IFERROR(__xludf.DUMMYFUNCTION("""COMPUTED_VALUE"""),"")</f>
        <v/>
      </c>
      <c r="L160" s="29" t="str">
        <f>IFERROR(__xludf.DUMMYFUNCTION("""COMPUTED_VALUE"""),"")</f>
        <v/>
      </c>
      <c r="M160" s="30" t="str">
        <f>IFERROR(__xludf.DUMMYFUNCTION("""COMPUTED_VALUE"""),"")</f>
        <v/>
      </c>
      <c r="N160" s="29" t="str">
        <f>IFERROR(__xludf.DUMMYFUNCTION("""COMPUTED_VALUE"""),"")</f>
        <v/>
      </c>
      <c r="O160" s="30" t="str">
        <f>IFERROR(__xludf.DUMMYFUNCTION("""COMPUTED_VALUE"""),"")</f>
        <v/>
      </c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15.75" customHeight="1">
      <c r="A161" s="15" t="str">
        <f>IFERROR(__xludf.DUMMYFUNCTION("""COMPUTED_VALUE"""),"")</f>
        <v/>
      </c>
      <c r="B161" s="19" t="str">
        <f>IFERROR(__xludf.DUMMYFUNCTION("""COMPUTED_VALUE"""),"")</f>
        <v/>
      </c>
      <c r="C161" s="18" t="str">
        <f>IFERROR(__xludf.DUMMYFUNCTION("""COMPUTED_VALUE"""),"")</f>
        <v/>
      </c>
      <c r="D161" s="18" t="str">
        <f>IFERROR(__xludf.DUMMYFUNCTION("""COMPUTED_VALUE"""),"")</f>
        <v/>
      </c>
      <c r="E161" s="19" t="str">
        <f>IFERROR(__xludf.DUMMYFUNCTION("""COMPUTED_VALUE"""),"")</f>
        <v/>
      </c>
      <c r="F161" s="19" t="str">
        <f>IFERROR(__xludf.DUMMYFUNCTION("""COMPUTED_VALUE"""),"")</f>
        <v/>
      </c>
      <c r="G161" s="20" t="str">
        <f>IFERROR(__xludf.DUMMYFUNCTION("""COMPUTED_VALUE"""),"")</f>
        <v/>
      </c>
      <c r="H161" s="21" t="str">
        <f>IFERROR(__xludf.DUMMYFUNCTION("""COMPUTED_VALUE"""),"")</f>
        <v/>
      </c>
      <c r="I161" s="22" t="str">
        <f>IFERROR(__xludf.DUMMYFUNCTION("""COMPUTED_VALUE"""),"")</f>
        <v/>
      </c>
      <c r="J161" s="21" t="str">
        <f>IFERROR(__xludf.DUMMYFUNCTION("""COMPUTED_VALUE"""),"")</f>
        <v/>
      </c>
      <c r="K161" s="22" t="str">
        <f>IFERROR(__xludf.DUMMYFUNCTION("""COMPUTED_VALUE"""),"")</f>
        <v/>
      </c>
      <c r="L161" s="21" t="str">
        <f>IFERROR(__xludf.DUMMYFUNCTION("""COMPUTED_VALUE"""),"")</f>
        <v/>
      </c>
      <c r="M161" s="22" t="str">
        <f>IFERROR(__xludf.DUMMYFUNCTION("""COMPUTED_VALUE"""),"")</f>
        <v/>
      </c>
      <c r="N161" s="21" t="str">
        <f>IFERROR(__xludf.DUMMYFUNCTION("""COMPUTED_VALUE"""),"")</f>
        <v/>
      </c>
      <c r="O161" s="22" t="str">
        <f>IFERROR(__xludf.DUMMYFUNCTION("""COMPUTED_VALUE"""),"")</f>
        <v/>
      </c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15.75" customHeight="1">
      <c r="A162" s="23" t="str">
        <f>IFERROR(__xludf.DUMMYFUNCTION("""COMPUTED_VALUE"""),"")</f>
        <v/>
      </c>
      <c r="B162" s="27" t="str">
        <f>IFERROR(__xludf.DUMMYFUNCTION("""COMPUTED_VALUE"""),"")</f>
        <v/>
      </c>
      <c r="C162" s="26" t="str">
        <f>IFERROR(__xludf.DUMMYFUNCTION("""COMPUTED_VALUE"""),"")</f>
        <v/>
      </c>
      <c r="D162" s="26" t="str">
        <f>IFERROR(__xludf.DUMMYFUNCTION("""COMPUTED_VALUE"""),"")</f>
        <v/>
      </c>
      <c r="E162" s="27" t="str">
        <f>IFERROR(__xludf.DUMMYFUNCTION("""COMPUTED_VALUE"""),"")</f>
        <v/>
      </c>
      <c r="F162" s="27" t="str">
        <f>IFERROR(__xludf.DUMMYFUNCTION("""COMPUTED_VALUE"""),"")</f>
        <v/>
      </c>
      <c r="G162" s="28" t="str">
        <f>IFERROR(__xludf.DUMMYFUNCTION("""COMPUTED_VALUE"""),"")</f>
        <v/>
      </c>
      <c r="H162" s="29" t="str">
        <f>IFERROR(__xludf.DUMMYFUNCTION("""COMPUTED_VALUE"""),"")</f>
        <v/>
      </c>
      <c r="I162" s="30" t="str">
        <f>IFERROR(__xludf.DUMMYFUNCTION("""COMPUTED_VALUE"""),"")</f>
        <v/>
      </c>
      <c r="J162" s="29" t="str">
        <f>IFERROR(__xludf.DUMMYFUNCTION("""COMPUTED_VALUE"""),"")</f>
        <v/>
      </c>
      <c r="K162" s="30" t="str">
        <f>IFERROR(__xludf.DUMMYFUNCTION("""COMPUTED_VALUE"""),"")</f>
        <v/>
      </c>
      <c r="L162" s="29" t="str">
        <f>IFERROR(__xludf.DUMMYFUNCTION("""COMPUTED_VALUE"""),"")</f>
        <v/>
      </c>
      <c r="M162" s="30" t="str">
        <f>IFERROR(__xludf.DUMMYFUNCTION("""COMPUTED_VALUE"""),"")</f>
        <v/>
      </c>
      <c r="N162" s="29" t="str">
        <f>IFERROR(__xludf.DUMMYFUNCTION("""COMPUTED_VALUE"""),"")</f>
        <v/>
      </c>
      <c r="O162" s="30" t="str">
        <f>IFERROR(__xludf.DUMMYFUNCTION("""COMPUTED_VALUE"""),"")</f>
        <v/>
      </c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15.75" customHeight="1">
      <c r="A163" s="15" t="str">
        <f>IFERROR(__xludf.DUMMYFUNCTION("""COMPUTED_VALUE"""),"")</f>
        <v/>
      </c>
      <c r="B163" s="19" t="str">
        <f>IFERROR(__xludf.DUMMYFUNCTION("""COMPUTED_VALUE"""),"")</f>
        <v/>
      </c>
      <c r="C163" s="18" t="str">
        <f>IFERROR(__xludf.DUMMYFUNCTION("""COMPUTED_VALUE"""),"")</f>
        <v/>
      </c>
      <c r="D163" s="18" t="str">
        <f>IFERROR(__xludf.DUMMYFUNCTION("""COMPUTED_VALUE"""),"")</f>
        <v/>
      </c>
      <c r="E163" s="19" t="str">
        <f>IFERROR(__xludf.DUMMYFUNCTION("""COMPUTED_VALUE"""),"")</f>
        <v/>
      </c>
      <c r="F163" s="19" t="str">
        <f>IFERROR(__xludf.DUMMYFUNCTION("""COMPUTED_VALUE"""),"")</f>
        <v/>
      </c>
      <c r="G163" s="20" t="str">
        <f>IFERROR(__xludf.DUMMYFUNCTION("""COMPUTED_VALUE"""),"")</f>
        <v/>
      </c>
      <c r="H163" s="21" t="str">
        <f>IFERROR(__xludf.DUMMYFUNCTION("""COMPUTED_VALUE"""),"")</f>
        <v/>
      </c>
      <c r="I163" s="22" t="str">
        <f>IFERROR(__xludf.DUMMYFUNCTION("""COMPUTED_VALUE"""),"")</f>
        <v/>
      </c>
      <c r="J163" s="21" t="str">
        <f>IFERROR(__xludf.DUMMYFUNCTION("""COMPUTED_VALUE"""),"")</f>
        <v/>
      </c>
      <c r="K163" s="22" t="str">
        <f>IFERROR(__xludf.DUMMYFUNCTION("""COMPUTED_VALUE"""),"")</f>
        <v/>
      </c>
      <c r="L163" s="21" t="str">
        <f>IFERROR(__xludf.DUMMYFUNCTION("""COMPUTED_VALUE"""),"")</f>
        <v/>
      </c>
      <c r="M163" s="22" t="str">
        <f>IFERROR(__xludf.DUMMYFUNCTION("""COMPUTED_VALUE"""),"")</f>
        <v/>
      </c>
      <c r="N163" s="21" t="str">
        <f>IFERROR(__xludf.DUMMYFUNCTION("""COMPUTED_VALUE"""),"")</f>
        <v/>
      </c>
      <c r="O163" s="22" t="str">
        <f>IFERROR(__xludf.DUMMYFUNCTION("""COMPUTED_VALUE"""),"")</f>
        <v/>
      </c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15.75" customHeight="1">
      <c r="A164" s="23" t="str">
        <f>IFERROR(__xludf.DUMMYFUNCTION("""COMPUTED_VALUE"""),"")</f>
        <v/>
      </c>
      <c r="B164" s="27" t="str">
        <f>IFERROR(__xludf.DUMMYFUNCTION("""COMPUTED_VALUE"""),"")</f>
        <v/>
      </c>
      <c r="C164" s="26" t="str">
        <f>IFERROR(__xludf.DUMMYFUNCTION("""COMPUTED_VALUE"""),"")</f>
        <v/>
      </c>
      <c r="D164" s="26" t="str">
        <f>IFERROR(__xludf.DUMMYFUNCTION("""COMPUTED_VALUE"""),"")</f>
        <v/>
      </c>
      <c r="E164" s="27" t="str">
        <f>IFERROR(__xludf.DUMMYFUNCTION("""COMPUTED_VALUE"""),"")</f>
        <v/>
      </c>
      <c r="F164" s="27" t="str">
        <f>IFERROR(__xludf.DUMMYFUNCTION("""COMPUTED_VALUE"""),"")</f>
        <v/>
      </c>
      <c r="G164" s="28" t="str">
        <f>IFERROR(__xludf.DUMMYFUNCTION("""COMPUTED_VALUE"""),"")</f>
        <v/>
      </c>
      <c r="H164" s="29" t="str">
        <f>IFERROR(__xludf.DUMMYFUNCTION("""COMPUTED_VALUE"""),"")</f>
        <v/>
      </c>
      <c r="I164" s="30" t="str">
        <f>IFERROR(__xludf.DUMMYFUNCTION("""COMPUTED_VALUE"""),"")</f>
        <v/>
      </c>
      <c r="J164" s="29" t="str">
        <f>IFERROR(__xludf.DUMMYFUNCTION("""COMPUTED_VALUE"""),"")</f>
        <v/>
      </c>
      <c r="K164" s="30" t="str">
        <f>IFERROR(__xludf.DUMMYFUNCTION("""COMPUTED_VALUE"""),"")</f>
        <v/>
      </c>
      <c r="L164" s="29" t="str">
        <f>IFERROR(__xludf.DUMMYFUNCTION("""COMPUTED_VALUE"""),"")</f>
        <v/>
      </c>
      <c r="M164" s="30" t="str">
        <f>IFERROR(__xludf.DUMMYFUNCTION("""COMPUTED_VALUE"""),"")</f>
        <v/>
      </c>
      <c r="N164" s="29" t="str">
        <f>IFERROR(__xludf.DUMMYFUNCTION("""COMPUTED_VALUE"""),"")</f>
        <v/>
      </c>
      <c r="O164" s="30" t="str">
        <f>IFERROR(__xludf.DUMMYFUNCTION("""COMPUTED_VALUE"""),"")</f>
        <v/>
      </c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15.75" customHeight="1">
      <c r="A165" s="31" t="str">
        <f>IFERROR(__xludf.DUMMYFUNCTION("""COMPUTED_VALUE"""),"")</f>
        <v/>
      </c>
      <c r="B165" s="32" t="str">
        <f>IFERROR(__xludf.DUMMYFUNCTION("""COMPUTED_VALUE"""),"")</f>
        <v/>
      </c>
      <c r="C165" s="14" t="str">
        <f>IFERROR(__xludf.DUMMYFUNCTION("""COMPUTED_VALUE"""),"")</f>
        <v/>
      </c>
      <c r="D165" s="14" t="str">
        <f>IFERROR(__xludf.DUMMYFUNCTION("""COMPUTED_VALUE"""),"")</f>
        <v/>
      </c>
      <c r="E165" s="32" t="str">
        <f>IFERROR(__xludf.DUMMYFUNCTION("""COMPUTED_VALUE"""),"")</f>
        <v/>
      </c>
      <c r="F165" s="32" t="str">
        <f>IFERROR(__xludf.DUMMYFUNCTION("""COMPUTED_VALUE"""),"")</f>
        <v/>
      </c>
      <c r="G165" s="33" t="str">
        <f>IFERROR(__xludf.DUMMYFUNCTION("""COMPUTED_VALUE"""),"")</f>
        <v/>
      </c>
      <c r="H165" s="34" t="str">
        <f>IFERROR(__xludf.DUMMYFUNCTION("""COMPUTED_VALUE"""),"")</f>
        <v/>
      </c>
      <c r="I165" s="35" t="str">
        <f>IFERROR(__xludf.DUMMYFUNCTION("""COMPUTED_VALUE"""),"")</f>
        <v/>
      </c>
      <c r="J165" s="34" t="str">
        <f>IFERROR(__xludf.DUMMYFUNCTION("""COMPUTED_VALUE"""),"")</f>
        <v/>
      </c>
      <c r="K165" s="35" t="str">
        <f>IFERROR(__xludf.DUMMYFUNCTION("""COMPUTED_VALUE"""),"")</f>
        <v/>
      </c>
      <c r="L165" s="34" t="str">
        <f>IFERROR(__xludf.DUMMYFUNCTION("""COMPUTED_VALUE"""),"")</f>
        <v/>
      </c>
      <c r="M165" s="35" t="str">
        <f>IFERROR(__xludf.DUMMYFUNCTION("""COMPUTED_VALUE"""),"")</f>
        <v/>
      </c>
      <c r="N165" s="34" t="str">
        <f>IFERROR(__xludf.DUMMYFUNCTION("""COMPUTED_VALUE"""),"")</f>
        <v/>
      </c>
      <c r="O165" s="35" t="str">
        <f>IFERROR(__xludf.DUMMYFUNCTION("""COMPUTED_VALUE"""),"")</f>
        <v/>
      </c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15.75" customHeight="1">
      <c r="A166" s="31" t="str">
        <f>IFERROR(__xludf.DUMMYFUNCTION("""COMPUTED_VALUE"""),"")</f>
        <v/>
      </c>
      <c r="B166" s="32" t="str">
        <f>IFERROR(__xludf.DUMMYFUNCTION("""COMPUTED_VALUE"""),"")</f>
        <v/>
      </c>
      <c r="C166" s="14" t="str">
        <f>IFERROR(__xludf.DUMMYFUNCTION("""COMPUTED_VALUE"""),"")</f>
        <v/>
      </c>
      <c r="D166" s="14" t="str">
        <f>IFERROR(__xludf.DUMMYFUNCTION("""COMPUTED_VALUE"""),"")</f>
        <v/>
      </c>
      <c r="E166" s="32" t="str">
        <f>IFERROR(__xludf.DUMMYFUNCTION("""COMPUTED_VALUE"""),"")</f>
        <v/>
      </c>
      <c r="F166" s="32" t="str">
        <f>IFERROR(__xludf.DUMMYFUNCTION("""COMPUTED_VALUE"""),"")</f>
        <v/>
      </c>
      <c r="G166" s="33" t="str">
        <f>IFERROR(__xludf.DUMMYFUNCTION("""COMPUTED_VALUE"""),"")</f>
        <v/>
      </c>
      <c r="H166" s="34" t="str">
        <f>IFERROR(__xludf.DUMMYFUNCTION("""COMPUTED_VALUE"""),"")</f>
        <v/>
      </c>
      <c r="I166" s="35" t="str">
        <f>IFERROR(__xludf.DUMMYFUNCTION("""COMPUTED_VALUE"""),"")</f>
        <v/>
      </c>
      <c r="J166" s="34" t="str">
        <f>IFERROR(__xludf.DUMMYFUNCTION("""COMPUTED_VALUE"""),"")</f>
        <v/>
      </c>
      <c r="K166" s="35" t="str">
        <f>IFERROR(__xludf.DUMMYFUNCTION("""COMPUTED_VALUE"""),"")</f>
        <v/>
      </c>
      <c r="L166" s="34" t="str">
        <f>IFERROR(__xludf.DUMMYFUNCTION("""COMPUTED_VALUE"""),"")</f>
        <v/>
      </c>
      <c r="M166" s="35" t="str">
        <f>IFERROR(__xludf.DUMMYFUNCTION("""COMPUTED_VALUE"""),"")</f>
        <v/>
      </c>
      <c r="N166" s="34" t="str">
        <f>IFERROR(__xludf.DUMMYFUNCTION("""COMPUTED_VALUE"""),"")</f>
        <v/>
      </c>
      <c r="O166" s="35" t="str">
        <f>IFERROR(__xludf.DUMMYFUNCTION("""COMPUTED_VALUE"""),"")</f>
        <v/>
      </c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15.75" customHeight="1">
      <c r="A167" s="31" t="str">
        <f>IFERROR(__xludf.DUMMYFUNCTION("""COMPUTED_VALUE"""),"")</f>
        <v/>
      </c>
      <c r="B167" s="32" t="str">
        <f>IFERROR(__xludf.DUMMYFUNCTION("""COMPUTED_VALUE"""),"")</f>
        <v/>
      </c>
      <c r="C167" s="14" t="str">
        <f>IFERROR(__xludf.DUMMYFUNCTION("""COMPUTED_VALUE"""),"")</f>
        <v/>
      </c>
      <c r="D167" s="14" t="str">
        <f>IFERROR(__xludf.DUMMYFUNCTION("""COMPUTED_VALUE"""),"")</f>
        <v/>
      </c>
      <c r="E167" s="32" t="str">
        <f>IFERROR(__xludf.DUMMYFUNCTION("""COMPUTED_VALUE"""),"")</f>
        <v/>
      </c>
      <c r="F167" s="32" t="str">
        <f>IFERROR(__xludf.DUMMYFUNCTION("""COMPUTED_VALUE"""),"")</f>
        <v/>
      </c>
      <c r="G167" s="33" t="str">
        <f>IFERROR(__xludf.DUMMYFUNCTION("""COMPUTED_VALUE"""),"")</f>
        <v/>
      </c>
      <c r="H167" s="34" t="str">
        <f>IFERROR(__xludf.DUMMYFUNCTION("""COMPUTED_VALUE"""),"")</f>
        <v/>
      </c>
      <c r="I167" s="35" t="str">
        <f>IFERROR(__xludf.DUMMYFUNCTION("""COMPUTED_VALUE"""),"")</f>
        <v/>
      </c>
      <c r="J167" s="34" t="str">
        <f>IFERROR(__xludf.DUMMYFUNCTION("""COMPUTED_VALUE"""),"")</f>
        <v/>
      </c>
      <c r="K167" s="35" t="str">
        <f>IFERROR(__xludf.DUMMYFUNCTION("""COMPUTED_VALUE"""),"")</f>
        <v/>
      </c>
      <c r="L167" s="34" t="str">
        <f>IFERROR(__xludf.DUMMYFUNCTION("""COMPUTED_VALUE"""),"")</f>
        <v/>
      </c>
      <c r="M167" s="35" t="str">
        <f>IFERROR(__xludf.DUMMYFUNCTION("""COMPUTED_VALUE"""),"")</f>
        <v/>
      </c>
      <c r="N167" s="34" t="str">
        <f>IFERROR(__xludf.DUMMYFUNCTION("""COMPUTED_VALUE"""),"")</f>
        <v/>
      </c>
      <c r="O167" s="35" t="str">
        <f>IFERROR(__xludf.DUMMYFUNCTION("""COMPUTED_VALUE"""),"")</f>
        <v/>
      </c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15.75" customHeight="1">
      <c r="A168" s="31" t="str">
        <f>IFERROR(__xludf.DUMMYFUNCTION("""COMPUTED_VALUE"""),"")</f>
        <v/>
      </c>
      <c r="B168" s="32" t="str">
        <f>IFERROR(__xludf.DUMMYFUNCTION("""COMPUTED_VALUE"""),"")</f>
        <v/>
      </c>
      <c r="C168" s="14" t="str">
        <f>IFERROR(__xludf.DUMMYFUNCTION("""COMPUTED_VALUE"""),"")</f>
        <v/>
      </c>
      <c r="D168" s="14" t="str">
        <f>IFERROR(__xludf.DUMMYFUNCTION("""COMPUTED_VALUE"""),"")</f>
        <v/>
      </c>
      <c r="E168" s="32" t="str">
        <f>IFERROR(__xludf.DUMMYFUNCTION("""COMPUTED_VALUE"""),"")</f>
        <v/>
      </c>
      <c r="F168" s="32" t="str">
        <f>IFERROR(__xludf.DUMMYFUNCTION("""COMPUTED_VALUE"""),"")</f>
        <v/>
      </c>
      <c r="G168" s="33" t="str">
        <f>IFERROR(__xludf.DUMMYFUNCTION("""COMPUTED_VALUE"""),"")</f>
        <v/>
      </c>
      <c r="H168" s="34" t="str">
        <f>IFERROR(__xludf.DUMMYFUNCTION("""COMPUTED_VALUE"""),"")</f>
        <v/>
      </c>
      <c r="I168" s="35" t="str">
        <f>IFERROR(__xludf.DUMMYFUNCTION("""COMPUTED_VALUE"""),"")</f>
        <v/>
      </c>
      <c r="J168" s="34" t="str">
        <f>IFERROR(__xludf.DUMMYFUNCTION("""COMPUTED_VALUE"""),"")</f>
        <v/>
      </c>
      <c r="K168" s="35" t="str">
        <f>IFERROR(__xludf.DUMMYFUNCTION("""COMPUTED_VALUE"""),"")</f>
        <v/>
      </c>
      <c r="L168" s="34" t="str">
        <f>IFERROR(__xludf.DUMMYFUNCTION("""COMPUTED_VALUE"""),"")</f>
        <v/>
      </c>
      <c r="M168" s="35" t="str">
        <f>IFERROR(__xludf.DUMMYFUNCTION("""COMPUTED_VALUE"""),"")</f>
        <v/>
      </c>
      <c r="N168" s="34" t="str">
        <f>IFERROR(__xludf.DUMMYFUNCTION("""COMPUTED_VALUE"""),"")</f>
        <v/>
      </c>
      <c r="O168" s="35" t="str">
        <f>IFERROR(__xludf.DUMMYFUNCTION("""COMPUTED_VALUE"""),"")</f>
        <v/>
      </c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15.75" customHeight="1">
      <c r="A169" s="31" t="str">
        <f>IFERROR(__xludf.DUMMYFUNCTION("""COMPUTED_VALUE"""),"")</f>
        <v/>
      </c>
      <c r="B169" s="32" t="str">
        <f>IFERROR(__xludf.DUMMYFUNCTION("""COMPUTED_VALUE"""),"")</f>
        <v/>
      </c>
      <c r="C169" s="14" t="str">
        <f>IFERROR(__xludf.DUMMYFUNCTION("""COMPUTED_VALUE"""),"")</f>
        <v/>
      </c>
      <c r="D169" s="14" t="str">
        <f>IFERROR(__xludf.DUMMYFUNCTION("""COMPUTED_VALUE"""),"")</f>
        <v/>
      </c>
      <c r="E169" s="32" t="str">
        <f>IFERROR(__xludf.DUMMYFUNCTION("""COMPUTED_VALUE"""),"")</f>
        <v/>
      </c>
      <c r="F169" s="32" t="str">
        <f>IFERROR(__xludf.DUMMYFUNCTION("""COMPUTED_VALUE"""),"")</f>
        <v/>
      </c>
      <c r="G169" s="33" t="str">
        <f>IFERROR(__xludf.DUMMYFUNCTION("""COMPUTED_VALUE"""),"")</f>
        <v/>
      </c>
      <c r="H169" s="34" t="str">
        <f>IFERROR(__xludf.DUMMYFUNCTION("""COMPUTED_VALUE"""),"")</f>
        <v/>
      </c>
      <c r="I169" s="35" t="str">
        <f>IFERROR(__xludf.DUMMYFUNCTION("""COMPUTED_VALUE"""),"")</f>
        <v/>
      </c>
      <c r="J169" s="34" t="str">
        <f>IFERROR(__xludf.DUMMYFUNCTION("""COMPUTED_VALUE"""),"")</f>
        <v/>
      </c>
      <c r="K169" s="35" t="str">
        <f>IFERROR(__xludf.DUMMYFUNCTION("""COMPUTED_VALUE"""),"")</f>
        <v/>
      </c>
      <c r="L169" s="34" t="str">
        <f>IFERROR(__xludf.DUMMYFUNCTION("""COMPUTED_VALUE"""),"")</f>
        <v/>
      </c>
      <c r="M169" s="35" t="str">
        <f>IFERROR(__xludf.DUMMYFUNCTION("""COMPUTED_VALUE"""),"")</f>
        <v/>
      </c>
      <c r="N169" s="34" t="str">
        <f>IFERROR(__xludf.DUMMYFUNCTION("""COMPUTED_VALUE"""),"")</f>
        <v/>
      </c>
      <c r="O169" s="35" t="str">
        <f>IFERROR(__xludf.DUMMYFUNCTION("""COMPUTED_VALUE"""),"")</f>
        <v/>
      </c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15.75" customHeight="1">
      <c r="A170" s="31" t="str">
        <f>IFERROR(__xludf.DUMMYFUNCTION("""COMPUTED_VALUE"""),"")</f>
        <v/>
      </c>
      <c r="B170" s="32" t="str">
        <f>IFERROR(__xludf.DUMMYFUNCTION("""COMPUTED_VALUE"""),"")</f>
        <v/>
      </c>
      <c r="C170" s="14" t="str">
        <f>IFERROR(__xludf.DUMMYFUNCTION("""COMPUTED_VALUE"""),"")</f>
        <v/>
      </c>
      <c r="D170" s="14" t="str">
        <f>IFERROR(__xludf.DUMMYFUNCTION("""COMPUTED_VALUE"""),"")</f>
        <v/>
      </c>
      <c r="E170" s="32" t="str">
        <f>IFERROR(__xludf.DUMMYFUNCTION("""COMPUTED_VALUE"""),"")</f>
        <v/>
      </c>
      <c r="F170" s="32" t="str">
        <f>IFERROR(__xludf.DUMMYFUNCTION("""COMPUTED_VALUE"""),"")</f>
        <v/>
      </c>
      <c r="G170" s="33" t="str">
        <f>IFERROR(__xludf.DUMMYFUNCTION("""COMPUTED_VALUE"""),"")</f>
        <v/>
      </c>
      <c r="H170" s="34" t="str">
        <f>IFERROR(__xludf.DUMMYFUNCTION("""COMPUTED_VALUE"""),"")</f>
        <v/>
      </c>
      <c r="I170" s="35" t="str">
        <f>IFERROR(__xludf.DUMMYFUNCTION("""COMPUTED_VALUE"""),"")</f>
        <v/>
      </c>
      <c r="J170" s="34" t="str">
        <f>IFERROR(__xludf.DUMMYFUNCTION("""COMPUTED_VALUE"""),"")</f>
        <v/>
      </c>
      <c r="K170" s="35" t="str">
        <f>IFERROR(__xludf.DUMMYFUNCTION("""COMPUTED_VALUE"""),"")</f>
        <v/>
      </c>
      <c r="L170" s="34" t="str">
        <f>IFERROR(__xludf.DUMMYFUNCTION("""COMPUTED_VALUE"""),"")</f>
        <v/>
      </c>
      <c r="M170" s="35" t="str">
        <f>IFERROR(__xludf.DUMMYFUNCTION("""COMPUTED_VALUE"""),"")</f>
        <v/>
      </c>
      <c r="N170" s="34" t="str">
        <f>IFERROR(__xludf.DUMMYFUNCTION("""COMPUTED_VALUE"""),"")</f>
        <v/>
      </c>
      <c r="O170" s="35" t="str">
        <f>IFERROR(__xludf.DUMMYFUNCTION("""COMPUTED_VALUE"""),"")</f>
        <v/>
      </c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15.75" customHeight="1">
      <c r="A171" s="31" t="str">
        <f>IFERROR(__xludf.DUMMYFUNCTION("""COMPUTED_VALUE"""),"")</f>
        <v/>
      </c>
      <c r="B171" s="32" t="str">
        <f>IFERROR(__xludf.DUMMYFUNCTION("""COMPUTED_VALUE"""),"")</f>
        <v/>
      </c>
      <c r="C171" s="14" t="str">
        <f>IFERROR(__xludf.DUMMYFUNCTION("""COMPUTED_VALUE"""),"")</f>
        <v/>
      </c>
      <c r="D171" s="14" t="str">
        <f>IFERROR(__xludf.DUMMYFUNCTION("""COMPUTED_VALUE"""),"")</f>
        <v/>
      </c>
      <c r="E171" s="32" t="str">
        <f>IFERROR(__xludf.DUMMYFUNCTION("""COMPUTED_VALUE"""),"")</f>
        <v/>
      </c>
      <c r="F171" s="32" t="str">
        <f>IFERROR(__xludf.DUMMYFUNCTION("""COMPUTED_VALUE"""),"")</f>
        <v/>
      </c>
      <c r="G171" s="33" t="str">
        <f>IFERROR(__xludf.DUMMYFUNCTION("""COMPUTED_VALUE"""),"")</f>
        <v/>
      </c>
      <c r="H171" s="34" t="str">
        <f>IFERROR(__xludf.DUMMYFUNCTION("""COMPUTED_VALUE"""),"")</f>
        <v/>
      </c>
      <c r="I171" s="35" t="str">
        <f>IFERROR(__xludf.DUMMYFUNCTION("""COMPUTED_VALUE"""),"")</f>
        <v/>
      </c>
      <c r="J171" s="34" t="str">
        <f>IFERROR(__xludf.DUMMYFUNCTION("""COMPUTED_VALUE"""),"")</f>
        <v/>
      </c>
      <c r="K171" s="35" t="str">
        <f>IFERROR(__xludf.DUMMYFUNCTION("""COMPUTED_VALUE"""),"")</f>
        <v/>
      </c>
      <c r="L171" s="34" t="str">
        <f>IFERROR(__xludf.DUMMYFUNCTION("""COMPUTED_VALUE"""),"")</f>
        <v/>
      </c>
      <c r="M171" s="35" t="str">
        <f>IFERROR(__xludf.DUMMYFUNCTION("""COMPUTED_VALUE"""),"")</f>
        <v/>
      </c>
      <c r="N171" s="34" t="str">
        <f>IFERROR(__xludf.DUMMYFUNCTION("""COMPUTED_VALUE"""),"")</f>
        <v/>
      </c>
      <c r="O171" s="35" t="str">
        <f>IFERROR(__xludf.DUMMYFUNCTION("""COMPUTED_VALUE"""),"")</f>
        <v/>
      </c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5.75" customHeight="1">
      <c r="A172" s="31" t="str">
        <f>IFERROR(__xludf.DUMMYFUNCTION("""COMPUTED_VALUE"""),"")</f>
        <v/>
      </c>
      <c r="B172" s="32" t="str">
        <f>IFERROR(__xludf.DUMMYFUNCTION("""COMPUTED_VALUE"""),"")</f>
        <v/>
      </c>
      <c r="C172" s="14" t="str">
        <f>IFERROR(__xludf.DUMMYFUNCTION("""COMPUTED_VALUE"""),"")</f>
        <v/>
      </c>
      <c r="D172" s="14" t="str">
        <f>IFERROR(__xludf.DUMMYFUNCTION("""COMPUTED_VALUE"""),"")</f>
        <v/>
      </c>
      <c r="E172" s="32" t="str">
        <f>IFERROR(__xludf.DUMMYFUNCTION("""COMPUTED_VALUE"""),"")</f>
        <v/>
      </c>
      <c r="F172" s="32" t="str">
        <f>IFERROR(__xludf.DUMMYFUNCTION("""COMPUTED_VALUE"""),"")</f>
        <v/>
      </c>
      <c r="G172" s="33" t="str">
        <f>IFERROR(__xludf.DUMMYFUNCTION("""COMPUTED_VALUE"""),"")</f>
        <v/>
      </c>
      <c r="H172" s="34" t="str">
        <f>IFERROR(__xludf.DUMMYFUNCTION("""COMPUTED_VALUE"""),"")</f>
        <v/>
      </c>
      <c r="I172" s="35" t="str">
        <f>IFERROR(__xludf.DUMMYFUNCTION("""COMPUTED_VALUE"""),"")</f>
        <v/>
      </c>
      <c r="J172" s="34" t="str">
        <f>IFERROR(__xludf.DUMMYFUNCTION("""COMPUTED_VALUE"""),"")</f>
        <v/>
      </c>
      <c r="K172" s="35" t="str">
        <f>IFERROR(__xludf.DUMMYFUNCTION("""COMPUTED_VALUE"""),"")</f>
        <v/>
      </c>
      <c r="L172" s="34" t="str">
        <f>IFERROR(__xludf.DUMMYFUNCTION("""COMPUTED_VALUE"""),"")</f>
        <v/>
      </c>
      <c r="M172" s="35" t="str">
        <f>IFERROR(__xludf.DUMMYFUNCTION("""COMPUTED_VALUE"""),"")</f>
        <v/>
      </c>
      <c r="N172" s="34" t="str">
        <f>IFERROR(__xludf.DUMMYFUNCTION("""COMPUTED_VALUE"""),"")</f>
        <v/>
      </c>
      <c r="O172" s="35" t="str">
        <f>IFERROR(__xludf.DUMMYFUNCTION("""COMPUTED_VALUE"""),"")</f>
        <v/>
      </c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5.75" customHeight="1">
      <c r="A173" s="31" t="str">
        <f>IFERROR(__xludf.DUMMYFUNCTION("""COMPUTED_VALUE"""),"")</f>
        <v/>
      </c>
      <c r="B173" s="32" t="str">
        <f>IFERROR(__xludf.DUMMYFUNCTION("""COMPUTED_VALUE"""),"")</f>
        <v/>
      </c>
      <c r="C173" s="14" t="str">
        <f>IFERROR(__xludf.DUMMYFUNCTION("""COMPUTED_VALUE"""),"")</f>
        <v/>
      </c>
      <c r="D173" s="14" t="str">
        <f>IFERROR(__xludf.DUMMYFUNCTION("""COMPUTED_VALUE"""),"")</f>
        <v/>
      </c>
      <c r="E173" s="32" t="str">
        <f>IFERROR(__xludf.DUMMYFUNCTION("""COMPUTED_VALUE"""),"")</f>
        <v/>
      </c>
      <c r="F173" s="32" t="str">
        <f>IFERROR(__xludf.DUMMYFUNCTION("""COMPUTED_VALUE"""),"")</f>
        <v/>
      </c>
      <c r="G173" s="33" t="str">
        <f>IFERROR(__xludf.DUMMYFUNCTION("""COMPUTED_VALUE"""),"")</f>
        <v/>
      </c>
      <c r="H173" s="34" t="str">
        <f>IFERROR(__xludf.DUMMYFUNCTION("""COMPUTED_VALUE"""),"")</f>
        <v/>
      </c>
      <c r="I173" s="35" t="str">
        <f>IFERROR(__xludf.DUMMYFUNCTION("""COMPUTED_VALUE"""),"")</f>
        <v/>
      </c>
      <c r="J173" s="34" t="str">
        <f>IFERROR(__xludf.DUMMYFUNCTION("""COMPUTED_VALUE"""),"")</f>
        <v/>
      </c>
      <c r="K173" s="35" t="str">
        <f>IFERROR(__xludf.DUMMYFUNCTION("""COMPUTED_VALUE"""),"")</f>
        <v/>
      </c>
      <c r="L173" s="34" t="str">
        <f>IFERROR(__xludf.DUMMYFUNCTION("""COMPUTED_VALUE"""),"")</f>
        <v/>
      </c>
      <c r="M173" s="35" t="str">
        <f>IFERROR(__xludf.DUMMYFUNCTION("""COMPUTED_VALUE"""),"")</f>
        <v/>
      </c>
      <c r="N173" s="34" t="str">
        <f>IFERROR(__xludf.DUMMYFUNCTION("""COMPUTED_VALUE"""),"")</f>
        <v/>
      </c>
      <c r="O173" s="35" t="str">
        <f>IFERROR(__xludf.DUMMYFUNCTION("""COMPUTED_VALUE"""),"")</f>
        <v/>
      </c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5.75" customHeight="1">
      <c r="A174" s="31" t="str">
        <f>IFERROR(__xludf.DUMMYFUNCTION("""COMPUTED_VALUE"""),"")</f>
        <v/>
      </c>
      <c r="B174" s="32" t="str">
        <f>IFERROR(__xludf.DUMMYFUNCTION("""COMPUTED_VALUE"""),"")</f>
        <v/>
      </c>
      <c r="C174" s="14" t="str">
        <f>IFERROR(__xludf.DUMMYFUNCTION("""COMPUTED_VALUE"""),"")</f>
        <v/>
      </c>
      <c r="D174" s="14" t="str">
        <f>IFERROR(__xludf.DUMMYFUNCTION("""COMPUTED_VALUE"""),"")</f>
        <v/>
      </c>
      <c r="E174" s="32" t="str">
        <f>IFERROR(__xludf.DUMMYFUNCTION("""COMPUTED_VALUE"""),"")</f>
        <v/>
      </c>
      <c r="F174" s="32" t="str">
        <f>IFERROR(__xludf.DUMMYFUNCTION("""COMPUTED_VALUE"""),"")</f>
        <v/>
      </c>
      <c r="G174" s="33" t="str">
        <f>IFERROR(__xludf.DUMMYFUNCTION("""COMPUTED_VALUE"""),"")</f>
        <v/>
      </c>
      <c r="H174" s="34" t="str">
        <f>IFERROR(__xludf.DUMMYFUNCTION("""COMPUTED_VALUE"""),"")</f>
        <v/>
      </c>
      <c r="I174" s="35" t="str">
        <f>IFERROR(__xludf.DUMMYFUNCTION("""COMPUTED_VALUE"""),"")</f>
        <v/>
      </c>
      <c r="J174" s="34" t="str">
        <f>IFERROR(__xludf.DUMMYFUNCTION("""COMPUTED_VALUE"""),"")</f>
        <v/>
      </c>
      <c r="K174" s="35" t="str">
        <f>IFERROR(__xludf.DUMMYFUNCTION("""COMPUTED_VALUE"""),"")</f>
        <v/>
      </c>
      <c r="L174" s="34" t="str">
        <f>IFERROR(__xludf.DUMMYFUNCTION("""COMPUTED_VALUE"""),"")</f>
        <v/>
      </c>
      <c r="M174" s="35" t="str">
        <f>IFERROR(__xludf.DUMMYFUNCTION("""COMPUTED_VALUE"""),"")</f>
        <v/>
      </c>
      <c r="N174" s="34" t="str">
        <f>IFERROR(__xludf.DUMMYFUNCTION("""COMPUTED_VALUE"""),"")</f>
        <v/>
      </c>
      <c r="O174" s="35" t="str">
        <f>IFERROR(__xludf.DUMMYFUNCTION("""COMPUTED_VALUE"""),"")</f>
        <v/>
      </c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5.75" customHeight="1">
      <c r="A175" s="31" t="str">
        <f>IFERROR(__xludf.DUMMYFUNCTION("""COMPUTED_VALUE"""),"")</f>
        <v/>
      </c>
      <c r="B175" s="32" t="str">
        <f>IFERROR(__xludf.DUMMYFUNCTION("""COMPUTED_VALUE"""),"")</f>
        <v/>
      </c>
      <c r="C175" s="14" t="str">
        <f>IFERROR(__xludf.DUMMYFUNCTION("""COMPUTED_VALUE"""),"")</f>
        <v/>
      </c>
      <c r="D175" s="14" t="str">
        <f>IFERROR(__xludf.DUMMYFUNCTION("""COMPUTED_VALUE"""),"")</f>
        <v/>
      </c>
      <c r="E175" s="32" t="str">
        <f>IFERROR(__xludf.DUMMYFUNCTION("""COMPUTED_VALUE"""),"")</f>
        <v/>
      </c>
      <c r="F175" s="32" t="str">
        <f>IFERROR(__xludf.DUMMYFUNCTION("""COMPUTED_VALUE"""),"")</f>
        <v/>
      </c>
      <c r="G175" s="33" t="str">
        <f>IFERROR(__xludf.DUMMYFUNCTION("""COMPUTED_VALUE"""),"")</f>
        <v/>
      </c>
      <c r="H175" s="34" t="str">
        <f>IFERROR(__xludf.DUMMYFUNCTION("""COMPUTED_VALUE"""),"")</f>
        <v/>
      </c>
      <c r="I175" s="35" t="str">
        <f>IFERROR(__xludf.DUMMYFUNCTION("""COMPUTED_VALUE"""),"")</f>
        <v/>
      </c>
      <c r="J175" s="34" t="str">
        <f>IFERROR(__xludf.DUMMYFUNCTION("""COMPUTED_VALUE"""),"")</f>
        <v/>
      </c>
      <c r="K175" s="35" t="str">
        <f>IFERROR(__xludf.DUMMYFUNCTION("""COMPUTED_VALUE"""),"")</f>
        <v/>
      </c>
      <c r="L175" s="34" t="str">
        <f>IFERROR(__xludf.DUMMYFUNCTION("""COMPUTED_VALUE"""),"")</f>
        <v/>
      </c>
      <c r="M175" s="35" t="str">
        <f>IFERROR(__xludf.DUMMYFUNCTION("""COMPUTED_VALUE"""),"")</f>
        <v/>
      </c>
      <c r="N175" s="34" t="str">
        <f>IFERROR(__xludf.DUMMYFUNCTION("""COMPUTED_VALUE"""),"")</f>
        <v/>
      </c>
      <c r="O175" s="35" t="str">
        <f>IFERROR(__xludf.DUMMYFUNCTION("""COMPUTED_VALUE"""),"")</f>
        <v/>
      </c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5.75" customHeight="1">
      <c r="A176" s="31" t="str">
        <f>IFERROR(__xludf.DUMMYFUNCTION("""COMPUTED_VALUE"""),"")</f>
        <v/>
      </c>
      <c r="B176" s="32" t="str">
        <f>IFERROR(__xludf.DUMMYFUNCTION("""COMPUTED_VALUE"""),"")</f>
        <v/>
      </c>
      <c r="C176" s="14" t="str">
        <f>IFERROR(__xludf.DUMMYFUNCTION("""COMPUTED_VALUE"""),"")</f>
        <v/>
      </c>
      <c r="D176" s="14" t="str">
        <f>IFERROR(__xludf.DUMMYFUNCTION("""COMPUTED_VALUE"""),"")</f>
        <v/>
      </c>
      <c r="E176" s="32" t="str">
        <f>IFERROR(__xludf.DUMMYFUNCTION("""COMPUTED_VALUE"""),"")</f>
        <v/>
      </c>
      <c r="F176" s="32" t="str">
        <f>IFERROR(__xludf.DUMMYFUNCTION("""COMPUTED_VALUE"""),"")</f>
        <v/>
      </c>
      <c r="G176" s="33" t="str">
        <f>IFERROR(__xludf.DUMMYFUNCTION("""COMPUTED_VALUE"""),"")</f>
        <v/>
      </c>
      <c r="H176" s="34" t="str">
        <f>IFERROR(__xludf.DUMMYFUNCTION("""COMPUTED_VALUE"""),"")</f>
        <v/>
      </c>
      <c r="I176" s="35" t="str">
        <f>IFERROR(__xludf.DUMMYFUNCTION("""COMPUTED_VALUE"""),"")</f>
        <v/>
      </c>
      <c r="J176" s="34" t="str">
        <f>IFERROR(__xludf.DUMMYFUNCTION("""COMPUTED_VALUE"""),"")</f>
        <v/>
      </c>
      <c r="K176" s="35" t="str">
        <f>IFERROR(__xludf.DUMMYFUNCTION("""COMPUTED_VALUE"""),"")</f>
        <v/>
      </c>
      <c r="L176" s="34" t="str">
        <f>IFERROR(__xludf.DUMMYFUNCTION("""COMPUTED_VALUE"""),"")</f>
        <v/>
      </c>
      <c r="M176" s="35" t="str">
        <f>IFERROR(__xludf.DUMMYFUNCTION("""COMPUTED_VALUE"""),"")</f>
        <v/>
      </c>
      <c r="N176" s="34" t="str">
        <f>IFERROR(__xludf.DUMMYFUNCTION("""COMPUTED_VALUE"""),"")</f>
        <v/>
      </c>
      <c r="O176" s="35" t="str">
        <f>IFERROR(__xludf.DUMMYFUNCTION("""COMPUTED_VALUE"""),"")</f>
        <v/>
      </c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5.75" customHeight="1">
      <c r="A177" s="31" t="str">
        <f>IFERROR(__xludf.DUMMYFUNCTION("""COMPUTED_VALUE"""),"")</f>
        <v/>
      </c>
      <c r="B177" s="32" t="str">
        <f>IFERROR(__xludf.DUMMYFUNCTION("""COMPUTED_VALUE"""),"")</f>
        <v/>
      </c>
      <c r="C177" s="14" t="str">
        <f>IFERROR(__xludf.DUMMYFUNCTION("""COMPUTED_VALUE"""),"")</f>
        <v/>
      </c>
      <c r="D177" s="14" t="str">
        <f>IFERROR(__xludf.DUMMYFUNCTION("""COMPUTED_VALUE"""),"")</f>
        <v/>
      </c>
      <c r="E177" s="32" t="str">
        <f>IFERROR(__xludf.DUMMYFUNCTION("""COMPUTED_VALUE"""),"")</f>
        <v/>
      </c>
      <c r="F177" s="32" t="str">
        <f>IFERROR(__xludf.DUMMYFUNCTION("""COMPUTED_VALUE"""),"")</f>
        <v/>
      </c>
      <c r="G177" s="33" t="str">
        <f>IFERROR(__xludf.DUMMYFUNCTION("""COMPUTED_VALUE"""),"")</f>
        <v/>
      </c>
      <c r="H177" s="34" t="str">
        <f>IFERROR(__xludf.DUMMYFUNCTION("""COMPUTED_VALUE"""),"")</f>
        <v/>
      </c>
      <c r="I177" s="35" t="str">
        <f>IFERROR(__xludf.DUMMYFUNCTION("""COMPUTED_VALUE"""),"")</f>
        <v/>
      </c>
      <c r="J177" s="34" t="str">
        <f>IFERROR(__xludf.DUMMYFUNCTION("""COMPUTED_VALUE"""),"")</f>
        <v/>
      </c>
      <c r="K177" s="35" t="str">
        <f>IFERROR(__xludf.DUMMYFUNCTION("""COMPUTED_VALUE"""),"")</f>
        <v/>
      </c>
      <c r="L177" s="34" t="str">
        <f>IFERROR(__xludf.DUMMYFUNCTION("""COMPUTED_VALUE"""),"")</f>
        <v/>
      </c>
      <c r="M177" s="35" t="str">
        <f>IFERROR(__xludf.DUMMYFUNCTION("""COMPUTED_VALUE"""),"")</f>
        <v/>
      </c>
      <c r="N177" s="34" t="str">
        <f>IFERROR(__xludf.DUMMYFUNCTION("""COMPUTED_VALUE"""),"")</f>
        <v/>
      </c>
      <c r="O177" s="35" t="str">
        <f>IFERROR(__xludf.DUMMYFUNCTION("""COMPUTED_VALUE"""),"")</f>
        <v/>
      </c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5.75" customHeight="1">
      <c r="A178" s="31" t="str">
        <f>IFERROR(__xludf.DUMMYFUNCTION("""COMPUTED_VALUE"""),"")</f>
        <v/>
      </c>
      <c r="B178" s="32" t="str">
        <f>IFERROR(__xludf.DUMMYFUNCTION("""COMPUTED_VALUE"""),"")</f>
        <v/>
      </c>
      <c r="C178" s="14" t="str">
        <f>IFERROR(__xludf.DUMMYFUNCTION("""COMPUTED_VALUE"""),"")</f>
        <v/>
      </c>
      <c r="D178" s="14" t="str">
        <f>IFERROR(__xludf.DUMMYFUNCTION("""COMPUTED_VALUE"""),"")</f>
        <v/>
      </c>
      <c r="E178" s="32" t="str">
        <f>IFERROR(__xludf.DUMMYFUNCTION("""COMPUTED_VALUE"""),"")</f>
        <v/>
      </c>
      <c r="F178" s="32" t="str">
        <f>IFERROR(__xludf.DUMMYFUNCTION("""COMPUTED_VALUE"""),"")</f>
        <v/>
      </c>
      <c r="G178" s="33" t="str">
        <f>IFERROR(__xludf.DUMMYFUNCTION("""COMPUTED_VALUE"""),"")</f>
        <v/>
      </c>
      <c r="H178" s="34" t="str">
        <f>IFERROR(__xludf.DUMMYFUNCTION("""COMPUTED_VALUE"""),"")</f>
        <v/>
      </c>
      <c r="I178" s="35" t="str">
        <f>IFERROR(__xludf.DUMMYFUNCTION("""COMPUTED_VALUE"""),"")</f>
        <v/>
      </c>
      <c r="J178" s="34" t="str">
        <f>IFERROR(__xludf.DUMMYFUNCTION("""COMPUTED_VALUE"""),"")</f>
        <v/>
      </c>
      <c r="K178" s="35" t="str">
        <f>IFERROR(__xludf.DUMMYFUNCTION("""COMPUTED_VALUE"""),"")</f>
        <v/>
      </c>
      <c r="L178" s="34" t="str">
        <f>IFERROR(__xludf.DUMMYFUNCTION("""COMPUTED_VALUE"""),"")</f>
        <v/>
      </c>
      <c r="M178" s="35" t="str">
        <f>IFERROR(__xludf.DUMMYFUNCTION("""COMPUTED_VALUE"""),"")</f>
        <v/>
      </c>
      <c r="N178" s="34" t="str">
        <f>IFERROR(__xludf.DUMMYFUNCTION("""COMPUTED_VALUE"""),"")</f>
        <v/>
      </c>
      <c r="O178" s="35" t="str">
        <f>IFERROR(__xludf.DUMMYFUNCTION("""COMPUTED_VALUE"""),"")</f>
        <v/>
      </c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5.75" customHeight="1">
      <c r="A179" s="31" t="str">
        <f>IFERROR(__xludf.DUMMYFUNCTION("""COMPUTED_VALUE"""),"")</f>
        <v/>
      </c>
      <c r="B179" s="32" t="str">
        <f>IFERROR(__xludf.DUMMYFUNCTION("""COMPUTED_VALUE"""),"")</f>
        <v/>
      </c>
      <c r="C179" s="14" t="str">
        <f>IFERROR(__xludf.DUMMYFUNCTION("""COMPUTED_VALUE"""),"")</f>
        <v/>
      </c>
      <c r="D179" s="14" t="str">
        <f>IFERROR(__xludf.DUMMYFUNCTION("""COMPUTED_VALUE"""),"")</f>
        <v/>
      </c>
      <c r="E179" s="32" t="str">
        <f>IFERROR(__xludf.DUMMYFUNCTION("""COMPUTED_VALUE"""),"")</f>
        <v/>
      </c>
      <c r="F179" s="32" t="str">
        <f>IFERROR(__xludf.DUMMYFUNCTION("""COMPUTED_VALUE"""),"")</f>
        <v/>
      </c>
      <c r="G179" s="33" t="str">
        <f>IFERROR(__xludf.DUMMYFUNCTION("""COMPUTED_VALUE"""),"")</f>
        <v/>
      </c>
      <c r="H179" s="34" t="str">
        <f>IFERROR(__xludf.DUMMYFUNCTION("""COMPUTED_VALUE"""),"")</f>
        <v/>
      </c>
      <c r="I179" s="35" t="str">
        <f>IFERROR(__xludf.DUMMYFUNCTION("""COMPUTED_VALUE"""),"")</f>
        <v/>
      </c>
      <c r="J179" s="34" t="str">
        <f>IFERROR(__xludf.DUMMYFUNCTION("""COMPUTED_VALUE"""),"")</f>
        <v/>
      </c>
      <c r="K179" s="35" t="str">
        <f>IFERROR(__xludf.DUMMYFUNCTION("""COMPUTED_VALUE"""),"")</f>
        <v/>
      </c>
      <c r="L179" s="34" t="str">
        <f>IFERROR(__xludf.DUMMYFUNCTION("""COMPUTED_VALUE"""),"")</f>
        <v/>
      </c>
      <c r="M179" s="35" t="str">
        <f>IFERROR(__xludf.DUMMYFUNCTION("""COMPUTED_VALUE"""),"")</f>
        <v/>
      </c>
      <c r="N179" s="34" t="str">
        <f>IFERROR(__xludf.DUMMYFUNCTION("""COMPUTED_VALUE"""),"")</f>
        <v/>
      </c>
      <c r="O179" s="35" t="str">
        <f>IFERROR(__xludf.DUMMYFUNCTION("""COMPUTED_VALUE"""),"")</f>
        <v/>
      </c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5.75" customHeight="1">
      <c r="A180" s="31" t="str">
        <f>IFERROR(__xludf.DUMMYFUNCTION("""COMPUTED_VALUE"""),"")</f>
        <v/>
      </c>
      <c r="B180" s="32" t="str">
        <f>IFERROR(__xludf.DUMMYFUNCTION("""COMPUTED_VALUE"""),"")</f>
        <v/>
      </c>
      <c r="C180" s="14" t="str">
        <f>IFERROR(__xludf.DUMMYFUNCTION("""COMPUTED_VALUE"""),"")</f>
        <v/>
      </c>
      <c r="D180" s="14" t="str">
        <f>IFERROR(__xludf.DUMMYFUNCTION("""COMPUTED_VALUE"""),"")</f>
        <v/>
      </c>
      <c r="E180" s="32" t="str">
        <f>IFERROR(__xludf.DUMMYFUNCTION("""COMPUTED_VALUE"""),"")</f>
        <v/>
      </c>
      <c r="F180" s="32" t="str">
        <f>IFERROR(__xludf.DUMMYFUNCTION("""COMPUTED_VALUE"""),"")</f>
        <v/>
      </c>
      <c r="G180" s="33" t="str">
        <f>IFERROR(__xludf.DUMMYFUNCTION("""COMPUTED_VALUE"""),"")</f>
        <v/>
      </c>
      <c r="H180" s="34" t="str">
        <f>IFERROR(__xludf.DUMMYFUNCTION("""COMPUTED_VALUE"""),"")</f>
        <v/>
      </c>
      <c r="I180" s="35" t="str">
        <f>IFERROR(__xludf.DUMMYFUNCTION("""COMPUTED_VALUE"""),"")</f>
        <v/>
      </c>
      <c r="J180" s="34" t="str">
        <f>IFERROR(__xludf.DUMMYFUNCTION("""COMPUTED_VALUE"""),"")</f>
        <v/>
      </c>
      <c r="K180" s="35" t="str">
        <f>IFERROR(__xludf.DUMMYFUNCTION("""COMPUTED_VALUE"""),"")</f>
        <v/>
      </c>
      <c r="L180" s="34" t="str">
        <f>IFERROR(__xludf.DUMMYFUNCTION("""COMPUTED_VALUE"""),"")</f>
        <v/>
      </c>
      <c r="M180" s="35" t="str">
        <f>IFERROR(__xludf.DUMMYFUNCTION("""COMPUTED_VALUE"""),"")</f>
        <v/>
      </c>
      <c r="N180" s="34" t="str">
        <f>IFERROR(__xludf.DUMMYFUNCTION("""COMPUTED_VALUE"""),"")</f>
        <v/>
      </c>
      <c r="O180" s="35" t="str">
        <f>IFERROR(__xludf.DUMMYFUNCTION("""COMPUTED_VALUE"""),"")</f>
        <v/>
      </c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5.75" customHeight="1">
      <c r="A181" s="36"/>
      <c r="B181" s="37"/>
      <c r="C181" s="38"/>
      <c r="D181" s="38"/>
      <c r="E181" s="37"/>
      <c r="F181" s="37"/>
      <c r="G181" s="36"/>
      <c r="H181" s="37"/>
      <c r="I181" s="37"/>
      <c r="J181" s="37"/>
      <c r="K181" s="37"/>
      <c r="L181" s="37"/>
      <c r="M181" s="37"/>
      <c r="N181" s="37"/>
      <c r="O181" s="37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ht="15.75" customHeight="1">
      <c r="A182" s="36"/>
      <c r="B182" s="37"/>
      <c r="C182" s="38"/>
      <c r="D182" s="38"/>
      <c r="E182" s="37"/>
      <c r="F182" s="37"/>
      <c r="G182" s="36"/>
      <c r="H182" s="37"/>
      <c r="I182" s="37"/>
      <c r="J182" s="37"/>
      <c r="K182" s="37"/>
      <c r="L182" s="37"/>
      <c r="M182" s="37"/>
      <c r="N182" s="37"/>
      <c r="O182" s="37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ht="15.75" customHeight="1">
      <c r="A183" s="36"/>
      <c r="B183" s="37"/>
      <c r="C183" s="38"/>
      <c r="D183" s="38"/>
      <c r="E183" s="37"/>
      <c r="F183" s="37"/>
      <c r="G183" s="36"/>
      <c r="H183" s="37"/>
      <c r="I183" s="37"/>
      <c r="J183" s="37"/>
      <c r="K183" s="37"/>
      <c r="L183" s="37"/>
      <c r="M183" s="37"/>
      <c r="N183" s="37"/>
      <c r="O183" s="37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ht="15.75" customHeight="1">
      <c r="A184" s="36"/>
      <c r="B184" s="37"/>
      <c r="C184" s="38"/>
      <c r="D184" s="38"/>
      <c r="E184" s="37"/>
      <c r="F184" s="37"/>
      <c r="G184" s="36"/>
      <c r="H184" s="37"/>
      <c r="I184" s="37"/>
      <c r="J184" s="37"/>
      <c r="K184" s="37"/>
      <c r="L184" s="37"/>
      <c r="M184" s="37"/>
      <c r="N184" s="37"/>
      <c r="O184" s="37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ht="15.75" customHeight="1">
      <c r="A185" s="36"/>
      <c r="B185" s="37"/>
      <c r="C185" s="38"/>
      <c r="D185" s="38"/>
      <c r="E185" s="37"/>
      <c r="F185" s="37"/>
      <c r="G185" s="36"/>
      <c r="H185" s="37"/>
      <c r="I185" s="37"/>
      <c r="J185" s="37"/>
      <c r="K185" s="37"/>
      <c r="L185" s="37"/>
      <c r="M185" s="37"/>
      <c r="N185" s="37"/>
      <c r="O185" s="37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ht="15.75" customHeight="1">
      <c r="A186" s="36"/>
      <c r="B186" s="37"/>
      <c r="C186" s="38"/>
      <c r="D186" s="38"/>
      <c r="E186" s="37"/>
      <c r="F186" s="37"/>
      <c r="G186" s="36"/>
      <c r="H186" s="37"/>
      <c r="I186" s="37"/>
      <c r="J186" s="37"/>
      <c r="K186" s="37"/>
      <c r="L186" s="37"/>
      <c r="M186" s="37"/>
      <c r="N186" s="37"/>
      <c r="O186" s="37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ht="15.75" customHeight="1">
      <c r="A187" s="36"/>
      <c r="B187" s="37"/>
      <c r="C187" s="38"/>
      <c r="D187" s="38"/>
      <c r="E187" s="37"/>
      <c r="F187" s="37"/>
      <c r="G187" s="36"/>
      <c r="H187" s="37"/>
      <c r="I187" s="37"/>
      <c r="J187" s="37"/>
      <c r="K187" s="37"/>
      <c r="L187" s="37"/>
      <c r="M187" s="37"/>
      <c r="N187" s="37"/>
      <c r="O187" s="37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ht="15.75" customHeight="1">
      <c r="A188" s="36"/>
      <c r="B188" s="37"/>
      <c r="C188" s="38"/>
      <c r="D188" s="38"/>
      <c r="E188" s="37"/>
      <c r="F188" s="37"/>
      <c r="G188" s="36"/>
      <c r="H188" s="37"/>
      <c r="I188" s="37"/>
      <c r="J188" s="37"/>
      <c r="K188" s="37"/>
      <c r="L188" s="37"/>
      <c r="M188" s="37"/>
      <c r="N188" s="37"/>
      <c r="O188" s="37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ht="15.75" customHeight="1">
      <c r="A189" s="36"/>
      <c r="B189" s="37"/>
      <c r="C189" s="38"/>
      <c r="D189" s="38"/>
      <c r="E189" s="37"/>
      <c r="F189" s="37"/>
      <c r="G189" s="36"/>
      <c r="H189" s="37"/>
      <c r="I189" s="37"/>
      <c r="J189" s="37"/>
      <c r="K189" s="37"/>
      <c r="L189" s="37"/>
      <c r="M189" s="37"/>
      <c r="N189" s="37"/>
      <c r="O189" s="37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ht="15.75" customHeight="1">
      <c r="A190" s="36"/>
      <c r="B190" s="37"/>
      <c r="C190" s="38"/>
      <c r="D190" s="38"/>
      <c r="E190" s="37"/>
      <c r="F190" s="37"/>
      <c r="G190" s="36"/>
      <c r="H190" s="37"/>
      <c r="I190" s="37"/>
      <c r="J190" s="37"/>
      <c r="K190" s="37"/>
      <c r="L190" s="37"/>
      <c r="M190" s="37"/>
      <c r="N190" s="37"/>
      <c r="O190" s="37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ht="15.75" customHeight="1">
      <c r="A191" s="36"/>
      <c r="B191" s="37"/>
      <c r="C191" s="38"/>
      <c r="D191" s="38"/>
      <c r="E191" s="37"/>
      <c r="F191" s="37"/>
      <c r="G191" s="36"/>
      <c r="H191" s="37"/>
      <c r="I191" s="37"/>
      <c r="J191" s="37"/>
      <c r="K191" s="37"/>
      <c r="L191" s="37"/>
      <c r="M191" s="37"/>
      <c r="N191" s="37"/>
      <c r="O191" s="37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ht="15.75" customHeight="1">
      <c r="A192" s="36"/>
      <c r="B192" s="37"/>
      <c r="C192" s="38"/>
      <c r="D192" s="38"/>
      <c r="E192" s="37"/>
      <c r="F192" s="37"/>
      <c r="G192" s="36"/>
      <c r="H192" s="37"/>
      <c r="I192" s="37"/>
      <c r="J192" s="37"/>
      <c r="K192" s="37"/>
      <c r="L192" s="37"/>
      <c r="M192" s="37"/>
      <c r="N192" s="37"/>
      <c r="O192" s="37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ht="15.75" customHeight="1">
      <c r="A193" s="36"/>
      <c r="B193" s="37"/>
      <c r="C193" s="38"/>
      <c r="D193" s="38"/>
      <c r="E193" s="37"/>
      <c r="F193" s="37"/>
      <c r="G193" s="36"/>
      <c r="H193" s="37"/>
      <c r="I193" s="37"/>
      <c r="J193" s="37"/>
      <c r="K193" s="37"/>
      <c r="L193" s="37"/>
      <c r="M193" s="37"/>
      <c r="N193" s="37"/>
      <c r="O193" s="37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ht="15.75" customHeight="1">
      <c r="A194" s="36"/>
      <c r="B194" s="37"/>
      <c r="C194" s="38"/>
      <c r="D194" s="38"/>
      <c r="E194" s="37"/>
      <c r="F194" s="37"/>
      <c r="G194" s="36"/>
      <c r="H194" s="37"/>
      <c r="I194" s="37"/>
      <c r="J194" s="37"/>
      <c r="K194" s="37"/>
      <c r="L194" s="37"/>
      <c r="M194" s="37"/>
      <c r="N194" s="37"/>
      <c r="O194" s="37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ht="15.75" customHeight="1">
      <c r="A195" s="36"/>
      <c r="B195" s="37"/>
      <c r="C195" s="38"/>
      <c r="D195" s="38"/>
      <c r="E195" s="37"/>
      <c r="F195" s="37"/>
      <c r="G195" s="36"/>
      <c r="H195" s="37"/>
      <c r="I195" s="37"/>
      <c r="J195" s="37"/>
      <c r="K195" s="37"/>
      <c r="L195" s="37"/>
      <c r="M195" s="37"/>
      <c r="N195" s="37"/>
      <c r="O195" s="37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ht="15.75" customHeight="1">
      <c r="A196" s="36"/>
      <c r="B196" s="37"/>
      <c r="C196" s="38"/>
      <c r="D196" s="38"/>
      <c r="E196" s="37"/>
      <c r="F196" s="37"/>
      <c r="G196" s="36"/>
      <c r="H196" s="37"/>
      <c r="I196" s="37"/>
      <c r="J196" s="37"/>
      <c r="K196" s="37"/>
      <c r="L196" s="37"/>
      <c r="M196" s="37"/>
      <c r="N196" s="37"/>
      <c r="O196" s="37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ht="15.75" customHeight="1">
      <c r="A197" s="36"/>
      <c r="B197" s="37"/>
      <c r="C197" s="38"/>
      <c r="D197" s="38"/>
      <c r="E197" s="37"/>
      <c r="F197" s="37"/>
      <c r="G197" s="36"/>
      <c r="H197" s="37"/>
      <c r="I197" s="37"/>
      <c r="J197" s="37"/>
      <c r="K197" s="37"/>
      <c r="L197" s="37"/>
      <c r="M197" s="37"/>
      <c r="N197" s="37"/>
      <c r="O197" s="37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ht="15.75" customHeight="1">
      <c r="A198" s="36"/>
      <c r="B198" s="37"/>
      <c r="C198" s="38"/>
      <c r="D198" s="38"/>
      <c r="E198" s="37"/>
      <c r="F198" s="37"/>
      <c r="G198" s="36"/>
      <c r="H198" s="37"/>
      <c r="I198" s="37"/>
      <c r="J198" s="37"/>
      <c r="K198" s="37"/>
      <c r="L198" s="37"/>
      <c r="M198" s="37"/>
      <c r="N198" s="37"/>
      <c r="O198" s="37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ht="15.75" customHeight="1">
      <c r="A199" s="36"/>
      <c r="B199" s="37"/>
      <c r="C199" s="38"/>
      <c r="D199" s="38"/>
      <c r="E199" s="37"/>
      <c r="F199" s="37"/>
      <c r="G199" s="36"/>
      <c r="H199" s="37"/>
      <c r="I199" s="37"/>
      <c r="J199" s="37"/>
      <c r="K199" s="37"/>
      <c r="L199" s="37"/>
      <c r="M199" s="37"/>
      <c r="N199" s="37"/>
      <c r="O199" s="37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ht="15.75" customHeight="1">
      <c r="A200" s="36"/>
      <c r="B200" s="37"/>
      <c r="C200" s="38"/>
      <c r="D200" s="38"/>
      <c r="E200" s="37"/>
      <c r="F200" s="37"/>
      <c r="G200" s="36"/>
      <c r="H200" s="37"/>
      <c r="I200" s="37"/>
      <c r="J200" s="37"/>
      <c r="K200" s="37"/>
      <c r="L200" s="37"/>
      <c r="M200" s="37"/>
      <c r="N200" s="37"/>
      <c r="O200" s="37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ht="15.75" customHeight="1">
      <c r="A201" s="36"/>
      <c r="B201" s="37"/>
      <c r="C201" s="38"/>
      <c r="D201" s="38"/>
      <c r="E201" s="37"/>
      <c r="F201" s="37"/>
      <c r="G201" s="36"/>
      <c r="H201" s="37"/>
      <c r="I201" s="37"/>
      <c r="J201" s="37"/>
      <c r="K201" s="37"/>
      <c r="L201" s="37"/>
      <c r="M201" s="37"/>
      <c r="N201" s="37"/>
      <c r="O201" s="37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ht="15.75" customHeight="1">
      <c r="A202" s="36"/>
      <c r="B202" s="37"/>
      <c r="C202" s="38"/>
      <c r="D202" s="38"/>
      <c r="E202" s="37"/>
      <c r="F202" s="37"/>
      <c r="G202" s="36"/>
      <c r="H202" s="37"/>
      <c r="I202" s="37"/>
      <c r="J202" s="37"/>
      <c r="K202" s="37"/>
      <c r="L202" s="37"/>
      <c r="M202" s="37"/>
      <c r="N202" s="37"/>
      <c r="O202" s="37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ht="15.75" customHeight="1">
      <c r="A203" s="36"/>
      <c r="B203" s="37"/>
      <c r="C203" s="38"/>
      <c r="D203" s="38"/>
      <c r="E203" s="37"/>
      <c r="F203" s="37"/>
      <c r="G203" s="36"/>
      <c r="H203" s="37"/>
      <c r="I203" s="37"/>
      <c r="J203" s="37"/>
      <c r="K203" s="37"/>
      <c r="L203" s="37"/>
      <c r="M203" s="37"/>
      <c r="N203" s="37"/>
      <c r="O203" s="37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ht="15.75" customHeight="1">
      <c r="A204" s="36"/>
      <c r="B204" s="37"/>
      <c r="C204" s="38"/>
      <c r="D204" s="38"/>
      <c r="E204" s="37"/>
      <c r="F204" s="37"/>
      <c r="G204" s="36"/>
      <c r="H204" s="37"/>
      <c r="I204" s="37"/>
      <c r="J204" s="37"/>
      <c r="K204" s="37"/>
      <c r="L204" s="37"/>
      <c r="M204" s="37"/>
      <c r="N204" s="37"/>
      <c r="O204" s="37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ht="15.75" customHeight="1">
      <c r="A205" s="36"/>
      <c r="B205" s="37"/>
      <c r="C205" s="38"/>
      <c r="D205" s="38"/>
      <c r="E205" s="37"/>
      <c r="F205" s="37"/>
      <c r="G205" s="36"/>
      <c r="H205" s="37"/>
      <c r="I205" s="37"/>
      <c r="J205" s="37"/>
      <c r="K205" s="37"/>
      <c r="L205" s="37"/>
      <c r="M205" s="37"/>
      <c r="N205" s="37"/>
      <c r="O205" s="37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ht="15.75" customHeight="1">
      <c r="A206" s="36"/>
      <c r="B206" s="37"/>
      <c r="C206" s="38"/>
      <c r="D206" s="38"/>
      <c r="E206" s="37"/>
      <c r="F206" s="37"/>
      <c r="G206" s="36"/>
      <c r="H206" s="37"/>
      <c r="I206" s="37"/>
      <c r="J206" s="37"/>
      <c r="K206" s="37"/>
      <c r="L206" s="37"/>
      <c r="M206" s="37"/>
      <c r="N206" s="37"/>
      <c r="O206" s="37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ht="15.75" customHeight="1">
      <c r="A207" s="36"/>
      <c r="B207" s="37"/>
      <c r="C207" s="38"/>
      <c r="D207" s="38"/>
      <c r="E207" s="37"/>
      <c r="F207" s="37"/>
      <c r="G207" s="36"/>
      <c r="H207" s="37"/>
      <c r="I207" s="37"/>
      <c r="J207" s="37"/>
      <c r="K207" s="37"/>
      <c r="L207" s="37"/>
      <c r="M207" s="37"/>
      <c r="N207" s="37"/>
      <c r="O207" s="37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ht="15.75" customHeight="1">
      <c r="A208" s="36"/>
      <c r="B208" s="37"/>
      <c r="C208" s="38"/>
      <c r="D208" s="38"/>
      <c r="E208" s="37"/>
      <c r="F208" s="37"/>
      <c r="G208" s="36"/>
      <c r="H208" s="37"/>
      <c r="I208" s="37"/>
      <c r="J208" s="37"/>
      <c r="K208" s="37"/>
      <c r="L208" s="37"/>
      <c r="M208" s="37"/>
      <c r="N208" s="37"/>
      <c r="O208" s="37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ht="15.75" customHeight="1">
      <c r="A209" s="36"/>
      <c r="B209" s="37"/>
      <c r="C209" s="38"/>
      <c r="D209" s="38"/>
      <c r="E209" s="37"/>
      <c r="F209" s="37"/>
      <c r="G209" s="36"/>
      <c r="H209" s="37"/>
      <c r="I209" s="37"/>
      <c r="J209" s="37"/>
      <c r="K209" s="37"/>
      <c r="L209" s="37"/>
      <c r="M209" s="37"/>
      <c r="N209" s="37"/>
      <c r="O209" s="37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ht="15.75" customHeight="1">
      <c r="A210" s="36"/>
      <c r="B210" s="37"/>
      <c r="C210" s="38"/>
      <c r="D210" s="38"/>
      <c r="E210" s="37"/>
      <c r="F210" s="37"/>
      <c r="G210" s="36"/>
      <c r="H210" s="37"/>
      <c r="I210" s="37"/>
      <c r="J210" s="37"/>
      <c r="K210" s="37"/>
      <c r="L210" s="37"/>
      <c r="M210" s="37"/>
      <c r="N210" s="37"/>
      <c r="O210" s="37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ht="15.75" customHeight="1">
      <c r="A211" s="36"/>
      <c r="B211" s="37"/>
      <c r="C211" s="38"/>
      <c r="D211" s="38"/>
      <c r="E211" s="37"/>
      <c r="F211" s="37"/>
      <c r="G211" s="36"/>
      <c r="H211" s="37"/>
      <c r="I211" s="37"/>
      <c r="J211" s="37"/>
      <c r="K211" s="37"/>
      <c r="L211" s="37"/>
      <c r="M211" s="37"/>
      <c r="N211" s="37"/>
      <c r="O211" s="37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ht="15.75" customHeight="1">
      <c r="A212" s="36"/>
      <c r="B212" s="37"/>
      <c r="C212" s="38"/>
      <c r="D212" s="38"/>
      <c r="E212" s="37"/>
      <c r="F212" s="37"/>
      <c r="G212" s="36"/>
      <c r="H212" s="37"/>
      <c r="I212" s="37"/>
      <c r="J212" s="37"/>
      <c r="K212" s="37"/>
      <c r="L212" s="37"/>
      <c r="M212" s="37"/>
      <c r="N212" s="37"/>
      <c r="O212" s="37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ht="15.75" customHeight="1">
      <c r="A213" s="36"/>
      <c r="B213" s="37"/>
      <c r="C213" s="38"/>
      <c r="D213" s="38"/>
      <c r="E213" s="37"/>
      <c r="F213" s="37"/>
      <c r="G213" s="36"/>
      <c r="H213" s="37"/>
      <c r="I213" s="37"/>
      <c r="J213" s="37"/>
      <c r="K213" s="37"/>
      <c r="L213" s="37"/>
      <c r="M213" s="37"/>
      <c r="N213" s="37"/>
      <c r="O213" s="37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ht="15.75" customHeight="1">
      <c r="A214" s="36"/>
      <c r="B214" s="37"/>
      <c r="C214" s="38"/>
      <c r="D214" s="38"/>
      <c r="E214" s="37"/>
      <c r="F214" s="37"/>
      <c r="G214" s="36"/>
      <c r="H214" s="37"/>
      <c r="I214" s="37"/>
      <c r="J214" s="37"/>
      <c r="K214" s="37"/>
      <c r="L214" s="37"/>
      <c r="M214" s="37"/>
      <c r="N214" s="37"/>
      <c r="O214" s="37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ht="15.75" customHeight="1">
      <c r="A215" s="36"/>
      <c r="B215" s="37"/>
      <c r="C215" s="38"/>
      <c r="D215" s="38"/>
      <c r="E215" s="37"/>
      <c r="F215" s="37"/>
      <c r="G215" s="36"/>
      <c r="H215" s="37"/>
      <c r="I215" s="37"/>
      <c r="J215" s="37"/>
      <c r="K215" s="37"/>
      <c r="L215" s="37"/>
      <c r="M215" s="37"/>
      <c r="N215" s="37"/>
      <c r="O215" s="37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ht="15.75" customHeight="1">
      <c r="A216" s="36"/>
      <c r="B216" s="37"/>
      <c r="C216" s="38"/>
      <c r="D216" s="38"/>
      <c r="E216" s="37"/>
      <c r="F216" s="37"/>
      <c r="G216" s="36"/>
      <c r="H216" s="37"/>
      <c r="I216" s="37"/>
      <c r="J216" s="37"/>
      <c r="K216" s="37"/>
      <c r="L216" s="37"/>
      <c r="M216" s="37"/>
      <c r="N216" s="37"/>
      <c r="O216" s="37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ht="15.75" customHeight="1">
      <c r="A217" s="36"/>
      <c r="B217" s="37"/>
      <c r="C217" s="38"/>
      <c r="D217" s="38"/>
      <c r="E217" s="37"/>
      <c r="F217" s="37"/>
      <c r="G217" s="36"/>
      <c r="H217" s="37"/>
      <c r="I217" s="37"/>
      <c r="J217" s="37"/>
      <c r="K217" s="37"/>
      <c r="L217" s="37"/>
      <c r="M217" s="37"/>
      <c r="N217" s="37"/>
      <c r="O217" s="37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ht="15.75" customHeight="1">
      <c r="A218" s="36"/>
      <c r="B218" s="37"/>
      <c r="C218" s="38"/>
      <c r="D218" s="38"/>
      <c r="E218" s="37"/>
      <c r="F218" s="37"/>
      <c r="G218" s="36"/>
      <c r="H218" s="37"/>
      <c r="I218" s="37"/>
      <c r="J218" s="37"/>
      <c r="K218" s="37"/>
      <c r="L218" s="37"/>
      <c r="M218" s="37"/>
      <c r="N218" s="37"/>
      <c r="O218" s="37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ht="15.75" customHeight="1">
      <c r="A219" s="36"/>
      <c r="B219" s="37"/>
      <c r="C219" s="38"/>
      <c r="D219" s="38"/>
      <c r="E219" s="37"/>
      <c r="F219" s="37"/>
      <c r="G219" s="36"/>
      <c r="H219" s="37"/>
      <c r="I219" s="37"/>
      <c r="J219" s="37"/>
      <c r="K219" s="37"/>
      <c r="L219" s="37"/>
      <c r="M219" s="37"/>
      <c r="N219" s="37"/>
      <c r="O219" s="37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ht="15.75" customHeight="1">
      <c r="A220" s="36"/>
      <c r="B220" s="37"/>
      <c r="C220" s="38"/>
      <c r="D220" s="38"/>
      <c r="E220" s="37"/>
      <c r="F220" s="37"/>
      <c r="G220" s="36"/>
      <c r="H220" s="37"/>
      <c r="I220" s="37"/>
      <c r="J220" s="37"/>
      <c r="K220" s="37"/>
      <c r="L220" s="37"/>
      <c r="M220" s="37"/>
      <c r="N220" s="37"/>
      <c r="O220" s="37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ht="15.75" customHeight="1">
      <c r="A221" s="36"/>
      <c r="B221" s="37"/>
      <c r="C221" s="38"/>
      <c r="D221" s="38"/>
      <c r="E221" s="37"/>
      <c r="F221" s="37"/>
      <c r="G221" s="36"/>
      <c r="H221" s="37"/>
      <c r="I221" s="37"/>
      <c r="J221" s="37"/>
      <c r="K221" s="37"/>
      <c r="L221" s="37"/>
      <c r="M221" s="37"/>
      <c r="N221" s="37"/>
      <c r="O221" s="37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ht="15.75" customHeight="1">
      <c r="A222" s="36"/>
      <c r="B222" s="37"/>
      <c r="C222" s="38"/>
      <c r="D222" s="38"/>
      <c r="E222" s="37"/>
      <c r="F222" s="37"/>
      <c r="G222" s="36"/>
      <c r="H222" s="37"/>
      <c r="I222" s="37"/>
      <c r="J222" s="37"/>
      <c r="K222" s="37"/>
      <c r="L222" s="37"/>
      <c r="M222" s="37"/>
      <c r="N222" s="37"/>
      <c r="O222" s="37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ht="15.75" customHeight="1">
      <c r="A223" s="36"/>
      <c r="B223" s="37"/>
      <c r="C223" s="38"/>
      <c r="D223" s="38"/>
      <c r="E223" s="37"/>
      <c r="F223" s="37"/>
      <c r="G223" s="36"/>
      <c r="H223" s="37"/>
      <c r="I223" s="37"/>
      <c r="J223" s="37"/>
      <c r="K223" s="37"/>
      <c r="L223" s="37"/>
      <c r="M223" s="37"/>
      <c r="N223" s="37"/>
      <c r="O223" s="37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ht="15.75" customHeight="1">
      <c r="A224" s="36"/>
      <c r="B224" s="37"/>
      <c r="C224" s="38"/>
      <c r="D224" s="38"/>
      <c r="E224" s="37"/>
      <c r="F224" s="37"/>
      <c r="G224" s="36"/>
      <c r="H224" s="37"/>
      <c r="I224" s="37"/>
      <c r="J224" s="37"/>
      <c r="K224" s="37"/>
      <c r="L224" s="37"/>
      <c r="M224" s="37"/>
      <c r="N224" s="37"/>
      <c r="O224" s="37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ht="15.75" customHeight="1">
      <c r="A225" s="36"/>
      <c r="B225" s="37"/>
      <c r="C225" s="38"/>
      <c r="D225" s="38"/>
      <c r="E225" s="37"/>
      <c r="F225" s="37"/>
      <c r="G225" s="36"/>
      <c r="H225" s="37"/>
      <c r="I225" s="37"/>
      <c r="J225" s="37"/>
      <c r="K225" s="37"/>
      <c r="L225" s="37"/>
      <c r="M225" s="37"/>
      <c r="N225" s="37"/>
      <c r="O225" s="37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ht="15.75" customHeight="1">
      <c r="A226" s="36"/>
      <c r="B226" s="37"/>
      <c r="C226" s="38"/>
      <c r="D226" s="38"/>
      <c r="E226" s="37"/>
      <c r="F226" s="37"/>
      <c r="G226" s="36"/>
      <c r="H226" s="37"/>
      <c r="I226" s="37"/>
      <c r="J226" s="37"/>
      <c r="K226" s="37"/>
      <c r="L226" s="37"/>
      <c r="M226" s="37"/>
      <c r="N226" s="37"/>
      <c r="O226" s="37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ht="15.75" customHeight="1">
      <c r="A227" s="36"/>
      <c r="B227" s="37"/>
      <c r="C227" s="38"/>
      <c r="D227" s="38"/>
      <c r="E227" s="37"/>
      <c r="F227" s="37"/>
      <c r="G227" s="36"/>
      <c r="H227" s="37"/>
      <c r="I227" s="37"/>
      <c r="J227" s="37"/>
      <c r="K227" s="37"/>
      <c r="L227" s="37"/>
      <c r="M227" s="37"/>
      <c r="N227" s="37"/>
      <c r="O227" s="37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ht="15.75" customHeight="1">
      <c r="A228" s="36"/>
      <c r="B228" s="37"/>
      <c r="C228" s="38"/>
      <c r="D228" s="38"/>
      <c r="E228" s="37"/>
      <c r="F228" s="37"/>
      <c r="G228" s="36"/>
      <c r="H228" s="37"/>
      <c r="I228" s="37"/>
      <c r="J228" s="37"/>
      <c r="K228" s="37"/>
      <c r="L228" s="37"/>
      <c r="M228" s="37"/>
      <c r="N228" s="37"/>
      <c r="O228" s="37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ht="15.75" customHeight="1">
      <c r="A229" s="36"/>
      <c r="B229" s="37"/>
      <c r="C229" s="38"/>
      <c r="D229" s="38"/>
      <c r="E229" s="37"/>
      <c r="F229" s="37"/>
      <c r="G229" s="36"/>
      <c r="H229" s="37"/>
      <c r="I229" s="37"/>
      <c r="J229" s="37"/>
      <c r="K229" s="37"/>
      <c r="L229" s="37"/>
      <c r="M229" s="37"/>
      <c r="N229" s="37"/>
      <c r="O229" s="37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ht="15.75" customHeight="1">
      <c r="A230" s="36"/>
      <c r="B230" s="37"/>
      <c r="C230" s="38"/>
      <c r="D230" s="38"/>
      <c r="E230" s="37"/>
      <c r="F230" s="37"/>
      <c r="G230" s="36"/>
      <c r="H230" s="37"/>
      <c r="I230" s="37"/>
      <c r="J230" s="37"/>
      <c r="K230" s="37"/>
      <c r="L230" s="37"/>
      <c r="M230" s="37"/>
      <c r="N230" s="37"/>
      <c r="O230" s="37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ht="15.75" customHeight="1">
      <c r="A231" s="36"/>
      <c r="B231" s="37"/>
      <c r="C231" s="38"/>
      <c r="D231" s="38"/>
      <c r="E231" s="37"/>
      <c r="F231" s="37"/>
      <c r="G231" s="36"/>
      <c r="H231" s="37"/>
      <c r="I231" s="37"/>
      <c r="J231" s="37"/>
      <c r="K231" s="37"/>
      <c r="L231" s="37"/>
      <c r="M231" s="37"/>
      <c r="N231" s="37"/>
      <c r="O231" s="37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ht="15.75" customHeight="1">
      <c r="A232" s="36"/>
      <c r="B232" s="37"/>
      <c r="C232" s="38"/>
      <c r="D232" s="38"/>
      <c r="E232" s="37"/>
      <c r="F232" s="37"/>
      <c r="G232" s="36"/>
      <c r="H232" s="37"/>
      <c r="I232" s="37"/>
      <c r="J232" s="37"/>
      <c r="K232" s="37"/>
      <c r="L232" s="37"/>
      <c r="M232" s="37"/>
      <c r="N232" s="37"/>
      <c r="O232" s="37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ht="15.75" customHeight="1">
      <c r="A233" s="36"/>
      <c r="B233" s="37"/>
      <c r="C233" s="38"/>
      <c r="D233" s="38"/>
      <c r="E233" s="37"/>
      <c r="F233" s="37"/>
      <c r="G233" s="36"/>
      <c r="H233" s="37"/>
      <c r="I233" s="37"/>
      <c r="J233" s="37"/>
      <c r="K233" s="37"/>
      <c r="L233" s="37"/>
      <c r="M233" s="37"/>
      <c r="N233" s="37"/>
      <c r="O233" s="37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ht="15.75" customHeight="1">
      <c r="A234" s="36"/>
      <c r="B234" s="37"/>
      <c r="C234" s="38"/>
      <c r="D234" s="38"/>
      <c r="E234" s="37"/>
      <c r="F234" s="37"/>
      <c r="G234" s="36"/>
      <c r="H234" s="37"/>
      <c r="I234" s="37"/>
      <c r="J234" s="37"/>
      <c r="K234" s="37"/>
      <c r="L234" s="37"/>
      <c r="M234" s="37"/>
      <c r="N234" s="37"/>
      <c r="O234" s="37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ht="15.75" customHeight="1">
      <c r="A235" s="36"/>
      <c r="B235" s="37"/>
      <c r="C235" s="38"/>
      <c r="D235" s="38"/>
      <c r="E235" s="37"/>
      <c r="F235" s="37"/>
      <c r="G235" s="36"/>
      <c r="H235" s="37"/>
      <c r="I235" s="37"/>
      <c r="J235" s="37"/>
      <c r="K235" s="37"/>
      <c r="L235" s="37"/>
      <c r="M235" s="37"/>
      <c r="N235" s="37"/>
      <c r="O235" s="37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ht="15.75" customHeight="1">
      <c r="A236" s="36"/>
      <c r="B236" s="37"/>
      <c r="C236" s="38"/>
      <c r="D236" s="38"/>
      <c r="E236" s="37"/>
      <c r="F236" s="37"/>
      <c r="G236" s="36"/>
      <c r="H236" s="37"/>
      <c r="I236" s="37"/>
      <c r="J236" s="37"/>
      <c r="K236" s="37"/>
      <c r="L236" s="37"/>
      <c r="M236" s="37"/>
      <c r="N236" s="37"/>
      <c r="O236" s="37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ht="15.75" customHeight="1">
      <c r="A237" s="36"/>
      <c r="B237" s="37"/>
      <c r="C237" s="38"/>
      <c r="D237" s="38"/>
      <c r="E237" s="37"/>
      <c r="F237" s="37"/>
      <c r="G237" s="36"/>
      <c r="H237" s="37"/>
      <c r="I237" s="37"/>
      <c r="J237" s="37"/>
      <c r="K237" s="37"/>
      <c r="L237" s="37"/>
      <c r="M237" s="37"/>
      <c r="N237" s="37"/>
      <c r="O237" s="37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ht="15.75" customHeight="1">
      <c r="A238" s="36"/>
      <c r="B238" s="37"/>
      <c r="C238" s="38"/>
      <c r="D238" s="38"/>
      <c r="E238" s="37"/>
      <c r="F238" s="37"/>
      <c r="G238" s="36"/>
      <c r="H238" s="37"/>
      <c r="I238" s="37"/>
      <c r="J238" s="37"/>
      <c r="K238" s="37"/>
      <c r="L238" s="37"/>
      <c r="M238" s="37"/>
      <c r="N238" s="37"/>
      <c r="O238" s="37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ht="15.75" customHeight="1">
      <c r="A239" s="36"/>
      <c r="B239" s="37"/>
      <c r="C239" s="38"/>
      <c r="D239" s="38"/>
      <c r="E239" s="37"/>
      <c r="F239" s="37"/>
      <c r="G239" s="36"/>
      <c r="H239" s="37"/>
      <c r="I239" s="37"/>
      <c r="J239" s="37"/>
      <c r="K239" s="37"/>
      <c r="L239" s="37"/>
      <c r="M239" s="37"/>
      <c r="N239" s="37"/>
      <c r="O239" s="37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ht="15.75" customHeight="1">
      <c r="A240" s="36"/>
      <c r="B240" s="37"/>
      <c r="C240" s="38"/>
      <c r="D240" s="38"/>
      <c r="E240" s="37"/>
      <c r="F240" s="37"/>
      <c r="G240" s="36"/>
      <c r="H240" s="37"/>
      <c r="I240" s="37"/>
      <c r="J240" s="37"/>
      <c r="K240" s="37"/>
      <c r="L240" s="37"/>
      <c r="M240" s="37"/>
      <c r="N240" s="37"/>
      <c r="O240" s="37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ht="15.75" customHeight="1">
      <c r="A241" s="36"/>
      <c r="B241" s="37"/>
      <c r="C241" s="38"/>
      <c r="D241" s="38"/>
      <c r="E241" s="37"/>
      <c r="F241" s="37"/>
      <c r="G241" s="36"/>
      <c r="H241" s="37"/>
      <c r="I241" s="37"/>
      <c r="J241" s="37"/>
      <c r="K241" s="37"/>
      <c r="L241" s="37"/>
      <c r="M241" s="37"/>
      <c r="N241" s="37"/>
      <c r="O241" s="37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ht="15.75" customHeight="1">
      <c r="A242" s="36"/>
      <c r="B242" s="37"/>
      <c r="C242" s="38"/>
      <c r="D242" s="38"/>
      <c r="E242" s="37"/>
      <c r="F242" s="37"/>
      <c r="G242" s="36"/>
      <c r="H242" s="37"/>
      <c r="I242" s="37"/>
      <c r="J242" s="37"/>
      <c r="K242" s="37"/>
      <c r="L242" s="37"/>
      <c r="M242" s="37"/>
      <c r="N242" s="37"/>
      <c r="O242" s="37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ht="15.75" customHeight="1">
      <c r="A243" s="36"/>
      <c r="B243" s="37"/>
      <c r="C243" s="38"/>
      <c r="D243" s="38"/>
      <c r="E243" s="37"/>
      <c r="F243" s="37"/>
      <c r="G243" s="36"/>
      <c r="H243" s="37"/>
      <c r="I243" s="37"/>
      <c r="J243" s="37"/>
      <c r="K243" s="37"/>
      <c r="L243" s="37"/>
      <c r="M243" s="37"/>
      <c r="N243" s="37"/>
      <c r="O243" s="37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ht="15.75" customHeight="1">
      <c r="A244" s="36"/>
      <c r="B244" s="37"/>
      <c r="C244" s="38"/>
      <c r="D244" s="38"/>
      <c r="E244" s="37"/>
      <c r="F244" s="37"/>
      <c r="G244" s="36"/>
      <c r="H244" s="37"/>
      <c r="I244" s="37"/>
      <c r="J244" s="37"/>
      <c r="K244" s="37"/>
      <c r="L244" s="37"/>
      <c r="M244" s="37"/>
      <c r="N244" s="37"/>
      <c r="O244" s="37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ht="15.75" customHeight="1">
      <c r="A245" s="36"/>
      <c r="B245" s="37"/>
      <c r="C245" s="38"/>
      <c r="D245" s="38"/>
      <c r="E245" s="37"/>
      <c r="F245" s="37"/>
      <c r="G245" s="36"/>
      <c r="H245" s="37"/>
      <c r="I245" s="37"/>
      <c r="J245" s="37"/>
      <c r="K245" s="37"/>
      <c r="L245" s="37"/>
      <c r="M245" s="37"/>
      <c r="N245" s="37"/>
      <c r="O245" s="37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ht="15.75" customHeight="1">
      <c r="A246" s="36"/>
      <c r="B246" s="37"/>
      <c r="C246" s="38"/>
      <c r="D246" s="38"/>
      <c r="E246" s="37"/>
      <c r="F246" s="37"/>
      <c r="G246" s="36"/>
      <c r="H246" s="37"/>
      <c r="I246" s="37"/>
      <c r="J246" s="37"/>
      <c r="K246" s="37"/>
      <c r="L246" s="37"/>
      <c r="M246" s="37"/>
      <c r="N246" s="37"/>
      <c r="O246" s="37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ht="15.75" customHeight="1">
      <c r="A247" s="36"/>
      <c r="B247" s="37"/>
      <c r="C247" s="38"/>
      <c r="D247" s="38"/>
      <c r="E247" s="37"/>
      <c r="F247" s="37"/>
      <c r="G247" s="36"/>
      <c r="H247" s="37"/>
      <c r="I247" s="37"/>
      <c r="J247" s="37"/>
      <c r="K247" s="37"/>
      <c r="L247" s="37"/>
      <c r="M247" s="37"/>
      <c r="N247" s="37"/>
      <c r="O247" s="37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ht="15.75" customHeight="1">
      <c r="A248" s="36"/>
      <c r="B248" s="37"/>
      <c r="C248" s="38"/>
      <c r="D248" s="38"/>
      <c r="E248" s="37"/>
      <c r="F248" s="37"/>
      <c r="G248" s="36"/>
      <c r="H248" s="37"/>
      <c r="I248" s="37"/>
      <c r="J248" s="37"/>
      <c r="K248" s="37"/>
      <c r="L248" s="37"/>
      <c r="M248" s="37"/>
      <c r="N248" s="37"/>
      <c r="O248" s="37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ht="15.75" customHeight="1">
      <c r="A249" s="36"/>
      <c r="B249" s="37"/>
      <c r="C249" s="38"/>
      <c r="D249" s="38"/>
      <c r="E249" s="37"/>
      <c r="F249" s="37"/>
      <c r="G249" s="36"/>
      <c r="H249" s="37"/>
      <c r="I249" s="37"/>
      <c r="J249" s="37"/>
      <c r="K249" s="37"/>
      <c r="L249" s="37"/>
      <c r="M249" s="37"/>
      <c r="N249" s="37"/>
      <c r="O249" s="37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ht="15.75" customHeight="1">
      <c r="A250" s="36"/>
      <c r="B250" s="37"/>
      <c r="C250" s="38"/>
      <c r="D250" s="38"/>
      <c r="E250" s="37"/>
      <c r="F250" s="37"/>
      <c r="G250" s="36"/>
      <c r="H250" s="37"/>
      <c r="I250" s="37"/>
      <c r="J250" s="37"/>
      <c r="K250" s="37"/>
      <c r="L250" s="37"/>
      <c r="M250" s="37"/>
      <c r="N250" s="37"/>
      <c r="O250" s="37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ht="15.75" customHeight="1">
      <c r="A251" s="36"/>
      <c r="B251" s="37"/>
      <c r="C251" s="38"/>
      <c r="D251" s="38"/>
      <c r="E251" s="37"/>
      <c r="F251" s="37"/>
      <c r="G251" s="36"/>
      <c r="H251" s="37"/>
      <c r="I251" s="37"/>
      <c r="J251" s="37"/>
      <c r="K251" s="37"/>
      <c r="L251" s="37"/>
      <c r="M251" s="37"/>
      <c r="N251" s="37"/>
      <c r="O251" s="37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ht="15.75" customHeight="1">
      <c r="A252" s="36"/>
      <c r="B252" s="37"/>
      <c r="C252" s="38"/>
      <c r="D252" s="38"/>
      <c r="E252" s="37"/>
      <c r="F252" s="37"/>
      <c r="G252" s="36"/>
      <c r="H252" s="37"/>
      <c r="I252" s="37"/>
      <c r="J252" s="37"/>
      <c r="K252" s="37"/>
      <c r="L252" s="37"/>
      <c r="M252" s="37"/>
      <c r="N252" s="37"/>
      <c r="O252" s="37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ht="15.75" customHeight="1">
      <c r="A253" s="36"/>
      <c r="B253" s="37"/>
      <c r="C253" s="38"/>
      <c r="D253" s="38"/>
      <c r="E253" s="37"/>
      <c r="F253" s="37"/>
      <c r="G253" s="36"/>
      <c r="H253" s="37"/>
      <c r="I253" s="37"/>
      <c r="J253" s="37"/>
      <c r="K253" s="37"/>
      <c r="L253" s="37"/>
      <c r="M253" s="37"/>
      <c r="N253" s="37"/>
      <c r="O253" s="37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ht="15.75" customHeight="1">
      <c r="A254" s="36"/>
      <c r="B254" s="37"/>
      <c r="C254" s="38"/>
      <c r="D254" s="38"/>
      <c r="E254" s="37"/>
      <c r="F254" s="37"/>
      <c r="G254" s="36"/>
      <c r="H254" s="37"/>
      <c r="I254" s="37"/>
      <c r="J254" s="37"/>
      <c r="K254" s="37"/>
      <c r="L254" s="37"/>
      <c r="M254" s="37"/>
      <c r="N254" s="37"/>
      <c r="O254" s="37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ht="15.75" customHeight="1">
      <c r="A255" s="36"/>
      <c r="B255" s="37"/>
      <c r="C255" s="38"/>
      <c r="D255" s="38"/>
      <c r="E255" s="37"/>
      <c r="F255" s="37"/>
      <c r="G255" s="36"/>
      <c r="H255" s="37"/>
      <c r="I255" s="37"/>
      <c r="J255" s="37"/>
      <c r="K255" s="37"/>
      <c r="L255" s="37"/>
      <c r="M255" s="37"/>
      <c r="N255" s="37"/>
      <c r="O255" s="37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ht="15.75" customHeight="1">
      <c r="A256" s="36"/>
      <c r="B256" s="37"/>
      <c r="C256" s="38"/>
      <c r="D256" s="38"/>
      <c r="E256" s="37"/>
      <c r="F256" s="37"/>
      <c r="G256" s="36"/>
      <c r="H256" s="37"/>
      <c r="I256" s="37"/>
      <c r="J256" s="37"/>
      <c r="K256" s="37"/>
      <c r="L256" s="37"/>
      <c r="M256" s="37"/>
      <c r="N256" s="37"/>
      <c r="O256" s="37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ht="15.75" customHeight="1">
      <c r="A257" s="36"/>
      <c r="B257" s="37"/>
      <c r="C257" s="38"/>
      <c r="D257" s="38"/>
      <c r="E257" s="37"/>
      <c r="F257" s="37"/>
      <c r="G257" s="36"/>
      <c r="H257" s="37"/>
      <c r="I257" s="37"/>
      <c r="J257" s="37"/>
      <c r="K257" s="37"/>
      <c r="L257" s="37"/>
      <c r="M257" s="37"/>
      <c r="N257" s="37"/>
      <c r="O257" s="37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ht="15.75" customHeight="1">
      <c r="A258" s="36"/>
      <c r="B258" s="37"/>
      <c r="C258" s="38"/>
      <c r="D258" s="38"/>
      <c r="E258" s="37"/>
      <c r="F258" s="37"/>
      <c r="G258" s="36"/>
      <c r="H258" s="37"/>
      <c r="I258" s="37"/>
      <c r="J258" s="37"/>
      <c r="K258" s="37"/>
      <c r="L258" s="37"/>
      <c r="M258" s="37"/>
      <c r="N258" s="37"/>
      <c r="O258" s="37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ht="15.75" customHeight="1">
      <c r="A259" s="36"/>
      <c r="B259" s="37"/>
      <c r="C259" s="38"/>
      <c r="D259" s="38"/>
      <c r="E259" s="37"/>
      <c r="F259" s="37"/>
      <c r="G259" s="36"/>
      <c r="H259" s="37"/>
      <c r="I259" s="37"/>
      <c r="J259" s="37"/>
      <c r="K259" s="37"/>
      <c r="L259" s="37"/>
      <c r="M259" s="37"/>
      <c r="N259" s="37"/>
      <c r="O259" s="37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ht="15.75" customHeight="1">
      <c r="A260" s="36"/>
      <c r="B260" s="37"/>
      <c r="C260" s="38"/>
      <c r="D260" s="38"/>
      <c r="E260" s="37"/>
      <c r="F260" s="37"/>
      <c r="G260" s="36"/>
      <c r="H260" s="37"/>
      <c r="I260" s="37"/>
      <c r="J260" s="37"/>
      <c r="K260" s="37"/>
      <c r="L260" s="37"/>
      <c r="M260" s="37"/>
      <c r="N260" s="37"/>
      <c r="O260" s="37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ht="15.75" customHeight="1">
      <c r="A261" s="36"/>
      <c r="B261" s="37"/>
      <c r="C261" s="38"/>
      <c r="D261" s="38"/>
      <c r="E261" s="37"/>
      <c r="F261" s="37"/>
      <c r="G261" s="36"/>
      <c r="H261" s="37"/>
      <c r="I261" s="37"/>
      <c r="J261" s="37"/>
      <c r="K261" s="37"/>
      <c r="L261" s="37"/>
      <c r="M261" s="37"/>
      <c r="N261" s="37"/>
      <c r="O261" s="37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ht="15.75" customHeight="1">
      <c r="A262" s="36"/>
      <c r="B262" s="37"/>
      <c r="C262" s="38"/>
      <c r="D262" s="38"/>
      <c r="E262" s="37"/>
      <c r="F262" s="37"/>
      <c r="G262" s="36"/>
      <c r="H262" s="37"/>
      <c r="I262" s="37"/>
      <c r="J262" s="37"/>
      <c r="K262" s="37"/>
      <c r="L262" s="37"/>
      <c r="M262" s="37"/>
      <c r="N262" s="37"/>
      <c r="O262" s="37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ht="15.75" customHeight="1">
      <c r="A263" s="36"/>
      <c r="B263" s="37"/>
      <c r="C263" s="38"/>
      <c r="D263" s="38"/>
      <c r="E263" s="37"/>
      <c r="F263" s="37"/>
      <c r="G263" s="36"/>
      <c r="H263" s="37"/>
      <c r="I263" s="37"/>
      <c r="J263" s="37"/>
      <c r="K263" s="37"/>
      <c r="L263" s="37"/>
      <c r="M263" s="37"/>
      <c r="N263" s="37"/>
      <c r="O263" s="37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ht="15.75" customHeight="1">
      <c r="A264" s="36"/>
      <c r="B264" s="37"/>
      <c r="C264" s="38"/>
      <c r="D264" s="38"/>
      <c r="E264" s="37"/>
      <c r="F264" s="37"/>
      <c r="G264" s="36"/>
      <c r="H264" s="37"/>
      <c r="I264" s="37"/>
      <c r="J264" s="37"/>
      <c r="K264" s="37"/>
      <c r="L264" s="37"/>
      <c r="M264" s="37"/>
      <c r="N264" s="37"/>
      <c r="O264" s="37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ht="15.75" customHeight="1">
      <c r="A265" s="36"/>
      <c r="B265" s="37"/>
      <c r="C265" s="38"/>
      <c r="D265" s="38"/>
      <c r="E265" s="37"/>
      <c r="F265" s="37"/>
      <c r="G265" s="36"/>
      <c r="H265" s="37"/>
      <c r="I265" s="37"/>
      <c r="J265" s="37"/>
      <c r="K265" s="37"/>
      <c r="L265" s="37"/>
      <c r="M265" s="37"/>
      <c r="N265" s="37"/>
      <c r="O265" s="37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ht="15.75" customHeight="1">
      <c r="A266" s="36"/>
      <c r="B266" s="37"/>
      <c r="C266" s="38"/>
      <c r="D266" s="38"/>
      <c r="E266" s="37"/>
      <c r="F266" s="37"/>
      <c r="G266" s="36"/>
      <c r="H266" s="37"/>
      <c r="I266" s="37"/>
      <c r="J266" s="37"/>
      <c r="K266" s="37"/>
      <c r="L266" s="37"/>
      <c r="M266" s="37"/>
      <c r="N266" s="37"/>
      <c r="O266" s="37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ht="15.75" customHeight="1">
      <c r="A267" s="36"/>
      <c r="B267" s="37"/>
      <c r="C267" s="38"/>
      <c r="D267" s="38"/>
      <c r="E267" s="37"/>
      <c r="F267" s="37"/>
      <c r="G267" s="36"/>
      <c r="H267" s="37"/>
      <c r="I267" s="37"/>
      <c r="J267" s="37"/>
      <c r="K267" s="37"/>
      <c r="L267" s="37"/>
      <c r="M267" s="37"/>
      <c r="N267" s="37"/>
      <c r="O267" s="37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ht="15.75" customHeight="1">
      <c r="A268" s="36"/>
      <c r="B268" s="37"/>
      <c r="C268" s="38"/>
      <c r="D268" s="38"/>
      <c r="E268" s="37"/>
      <c r="F268" s="37"/>
      <c r="G268" s="36"/>
      <c r="H268" s="37"/>
      <c r="I268" s="37"/>
      <c r="J268" s="37"/>
      <c r="K268" s="37"/>
      <c r="L268" s="37"/>
      <c r="M268" s="37"/>
      <c r="N268" s="37"/>
      <c r="O268" s="37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ht="15.75" customHeight="1">
      <c r="A269" s="36"/>
      <c r="B269" s="37"/>
      <c r="C269" s="38"/>
      <c r="D269" s="38"/>
      <c r="E269" s="37"/>
      <c r="F269" s="37"/>
      <c r="G269" s="36"/>
      <c r="H269" s="37"/>
      <c r="I269" s="37"/>
      <c r="J269" s="37"/>
      <c r="K269" s="37"/>
      <c r="L269" s="37"/>
      <c r="M269" s="37"/>
      <c r="N269" s="37"/>
      <c r="O269" s="37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ht="15.75" customHeight="1">
      <c r="A270" s="36"/>
      <c r="B270" s="37"/>
      <c r="C270" s="38"/>
      <c r="D270" s="38"/>
      <c r="E270" s="37"/>
      <c r="F270" s="37"/>
      <c r="G270" s="36"/>
      <c r="H270" s="37"/>
      <c r="I270" s="37"/>
      <c r="J270" s="37"/>
      <c r="K270" s="37"/>
      <c r="L270" s="37"/>
      <c r="M270" s="37"/>
      <c r="N270" s="37"/>
      <c r="O270" s="37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ht="15.75" customHeight="1">
      <c r="A271" s="36"/>
      <c r="B271" s="37"/>
      <c r="C271" s="38"/>
      <c r="D271" s="38"/>
      <c r="E271" s="37"/>
      <c r="F271" s="37"/>
      <c r="G271" s="36"/>
      <c r="H271" s="37"/>
      <c r="I271" s="37"/>
      <c r="J271" s="37"/>
      <c r="K271" s="37"/>
      <c r="L271" s="37"/>
      <c r="M271" s="37"/>
      <c r="N271" s="37"/>
      <c r="O271" s="37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ht="15.75" customHeight="1">
      <c r="A272" s="36"/>
      <c r="B272" s="37"/>
      <c r="C272" s="38"/>
      <c r="D272" s="38"/>
      <c r="E272" s="37"/>
      <c r="F272" s="37"/>
      <c r="G272" s="36"/>
      <c r="H272" s="37"/>
      <c r="I272" s="37"/>
      <c r="J272" s="37"/>
      <c r="K272" s="37"/>
      <c r="L272" s="37"/>
      <c r="M272" s="37"/>
      <c r="N272" s="37"/>
      <c r="O272" s="37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ht="15.75" customHeight="1">
      <c r="A273" s="36"/>
      <c r="B273" s="37"/>
      <c r="C273" s="38"/>
      <c r="D273" s="38"/>
      <c r="E273" s="37"/>
      <c r="F273" s="37"/>
      <c r="G273" s="36"/>
      <c r="H273" s="37"/>
      <c r="I273" s="37"/>
      <c r="J273" s="37"/>
      <c r="K273" s="37"/>
      <c r="L273" s="37"/>
      <c r="M273" s="37"/>
      <c r="N273" s="37"/>
      <c r="O273" s="37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ht="15.75" customHeight="1">
      <c r="A274" s="36"/>
      <c r="B274" s="37"/>
      <c r="C274" s="38"/>
      <c r="D274" s="38"/>
      <c r="E274" s="37"/>
      <c r="F274" s="37"/>
      <c r="G274" s="36"/>
      <c r="H274" s="37"/>
      <c r="I274" s="37"/>
      <c r="J274" s="37"/>
      <c r="K274" s="37"/>
      <c r="L274" s="37"/>
      <c r="M274" s="37"/>
      <c r="N274" s="37"/>
      <c r="O274" s="37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ht="15.75" customHeight="1">
      <c r="A275" s="36"/>
      <c r="B275" s="37"/>
      <c r="C275" s="38"/>
      <c r="D275" s="38"/>
      <c r="E275" s="37"/>
      <c r="F275" s="37"/>
      <c r="G275" s="36"/>
      <c r="H275" s="37"/>
      <c r="I275" s="37"/>
      <c r="J275" s="37"/>
      <c r="K275" s="37"/>
      <c r="L275" s="37"/>
      <c r="M275" s="37"/>
      <c r="N275" s="37"/>
      <c r="O275" s="37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ht="15.75" customHeight="1">
      <c r="A276" s="36"/>
      <c r="B276" s="37"/>
      <c r="C276" s="38"/>
      <c r="D276" s="38"/>
      <c r="E276" s="37"/>
      <c r="F276" s="37"/>
      <c r="G276" s="36"/>
      <c r="H276" s="37"/>
      <c r="I276" s="37"/>
      <c r="J276" s="37"/>
      <c r="K276" s="37"/>
      <c r="L276" s="37"/>
      <c r="M276" s="37"/>
      <c r="N276" s="37"/>
      <c r="O276" s="37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ht="15.75" customHeight="1">
      <c r="A277" s="36"/>
      <c r="B277" s="37"/>
      <c r="C277" s="38"/>
      <c r="D277" s="38"/>
      <c r="E277" s="37"/>
      <c r="F277" s="37"/>
      <c r="G277" s="36"/>
      <c r="H277" s="37"/>
      <c r="I277" s="37"/>
      <c r="J277" s="37"/>
      <c r="K277" s="37"/>
      <c r="L277" s="37"/>
      <c r="M277" s="37"/>
      <c r="N277" s="37"/>
      <c r="O277" s="37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ht="15.75" customHeight="1">
      <c r="A278" s="36"/>
      <c r="B278" s="37"/>
      <c r="C278" s="38"/>
      <c r="D278" s="38"/>
      <c r="E278" s="37"/>
      <c r="F278" s="37"/>
      <c r="G278" s="36"/>
      <c r="H278" s="37"/>
      <c r="I278" s="37"/>
      <c r="J278" s="37"/>
      <c r="K278" s="37"/>
      <c r="L278" s="37"/>
      <c r="M278" s="37"/>
      <c r="N278" s="37"/>
      <c r="O278" s="37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ht="15.75" customHeight="1">
      <c r="A279" s="36"/>
      <c r="B279" s="37"/>
      <c r="C279" s="38"/>
      <c r="D279" s="38"/>
      <c r="E279" s="37"/>
      <c r="F279" s="37"/>
      <c r="G279" s="36"/>
      <c r="H279" s="37"/>
      <c r="I279" s="37"/>
      <c r="J279" s="37"/>
      <c r="K279" s="37"/>
      <c r="L279" s="37"/>
      <c r="M279" s="37"/>
      <c r="N279" s="37"/>
      <c r="O279" s="37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ht="15.75" customHeight="1">
      <c r="A280" s="36"/>
      <c r="B280" s="37"/>
      <c r="C280" s="38"/>
      <c r="D280" s="38"/>
      <c r="E280" s="37"/>
      <c r="F280" s="37"/>
      <c r="G280" s="36"/>
      <c r="H280" s="37"/>
      <c r="I280" s="37"/>
      <c r="J280" s="37"/>
      <c r="K280" s="37"/>
      <c r="L280" s="37"/>
      <c r="M280" s="37"/>
      <c r="N280" s="37"/>
      <c r="O280" s="37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ht="15.75" customHeight="1">
      <c r="A281" s="36"/>
      <c r="B281" s="37"/>
      <c r="C281" s="38"/>
      <c r="D281" s="38"/>
      <c r="E281" s="37"/>
      <c r="F281" s="37"/>
      <c r="G281" s="36"/>
      <c r="H281" s="37"/>
      <c r="I281" s="37"/>
      <c r="J281" s="37"/>
      <c r="K281" s="37"/>
      <c r="L281" s="37"/>
      <c r="M281" s="37"/>
      <c r="N281" s="37"/>
      <c r="O281" s="37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ht="15.75" customHeight="1">
      <c r="A282" s="36"/>
      <c r="B282" s="37"/>
      <c r="C282" s="38"/>
      <c r="D282" s="38"/>
      <c r="E282" s="37"/>
      <c r="F282" s="37"/>
      <c r="G282" s="36"/>
      <c r="H282" s="37"/>
      <c r="I282" s="37"/>
      <c r="J282" s="37"/>
      <c r="K282" s="37"/>
      <c r="L282" s="37"/>
      <c r="M282" s="37"/>
      <c r="N282" s="37"/>
      <c r="O282" s="37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ht="15.75" customHeight="1">
      <c r="A283" s="36"/>
      <c r="B283" s="37"/>
      <c r="C283" s="38"/>
      <c r="D283" s="38"/>
      <c r="E283" s="37"/>
      <c r="F283" s="37"/>
      <c r="G283" s="36"/>
      <c r="H283" s="37"/>
      <c r="I283" s="37"/>
      <c r="J283" s="37"/>
      <c r="K283" s="37"/>
      <c r="L283" s="37"/>
      <c r="M283" s="37"/>
      <c r="N283" s="37"/>
      <c r="O283" s="37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ht="15.75" customHeight="1">
      <c r="A284" s="36"/>
      <c r="B284" s="37"/>
      <c r="C284" s="38"/>
      <c r="D284" s="38"/>
      <c r="E284" s="37"/>
      <c r="F284" s="37"/>
      <c r="G284" s="36"/>
      <c r="H284" s="37"/>
      <c r="I284" s="37"/>
      <c r="J284" s="37"/>
      <c r="K284" s="37"/>
      <c r="L284" s="37"/>
      <c r="M284" s="37"/>
      <c r="N284" s="37"/>
      <c r="O284" s="37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ht="15.75" customHeight="1">
      <c r="A285" s="36"/>
      <c r="B285" s="37"/>
      <c r="C285" s="38"/>
      <c r="D285" s="38"/>
      <c r="E285" s="37"/>
      <c r="F285" s="37"/>
      <c r="G285" s="36"/>
      <c r="H285" s="37"/>
      <c r="I285" s="37"/>
      <c r="J285" s="37"/>
      <c r="K285" s="37"/>
      <c r="L285" s="37"/>
      <c r="M285" s="37"/>
      <c r="N285" s="37"/>
      <c r="O285" s="37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ht="15.75" customHeight="1">
      <c r="A286" s="36"/>
      <c r="B286" s="37"/>
      <c r="C286" s="38"/>
      <c r="D286" s="38"/>
      <c r="E286" s="37"/>
      <c r="F286" s="37"/>
      <c r="G286" s="36"/>
      <c r="H286" s="37"/>
      <c r="I286" s="37"/>
      <c r="J286" s="37"/>
      <c r="K286" s="37"/>
      <c r="L286" s="37"/>
      <c r="M286" s="37"/>
      <c r="N286" s="37"/>
      <c r="O286" s="37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ht="15.75" customHeight="1">
      <c r="A287" s="36"/>
      <c r="B287" s="37"/>
      <c r="C287" s="38"/>
      <c r="D287" s="38"/>
      <c r="E287" s="37"/>
      <c r="F287" s="37"/>
      <c r="G287" s="36"/>
      <c r="H287" s="37"/>
      <c r="I287" s="37"/>
      <c r="J287" s="37"/>
      <c r="K287" s="37"/>
      <c r="L287" s="37"/>
      <c r="M287" s="37"/>
      <c r="N287" s="37"/>
      <c r="O287" s="37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ht="15.75" customHeight="1">
      <c r="A288" s="36"/>
      <c r="B288" s="37"/>
      <c r="C288" s="38"/>
      <c r="D288" s="38"/>
      <c r="E288" s="37"/>
      <c r="F288" s="37"/>
      <c r="G288" s="36"/>
      <c r="H288" s="37"/>
      <c r="I288" s="37"/>
      <c r="J288" s="37"/>
      <c r="K288" s="37"/>
      <c r="L288" s="37"/>
      <c r="M288" s="37"/>
      <c r="N288" s="37"/>
      <c r="O288" s="37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ht="15.75" customHeight="1">
      <c r="A289" s="36"/>
      <c r="B289" s="37"/>
      <c r="C289" s="38"/>
      <c r="D289" s="38"/>
      <c r="E289" s="37"/>
      <c r="F289" s="37"/>
      <c r="G289" s="36"/>
      <c r="H289" s="37"/>
      <c r="I289" s="37"/>
      <c r="J289" s="37"/>
      <c r="K289" s="37"/>
      <c r="L289" s="37"/>
      <c r="M289" s="37"/>
      <c r="N289" s="37"/>
      <c r="O289" s="37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ht="15.75" customHeight="1">
      <c r="A290" s="36"/>
      <c r="B290" s="37"/>
      <c r="C290" s="38"/>
      <c r="D290" s="38"/>
      <c r="E290" s="37"/>
      <c r="F290" s="37"/>
      <c r="G290" s="36"/>
      <c r="H290" s="37"/>
      <c r="I290" s="37"/>
      <c r="J290" s="37"/>
      <c r="K290" s="37"/>
      <c r="L290" s="37"/>
      <c r="M290" s="37"/>
      <c r="N290" s="37"/>
      <c r="O290" s="37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ht="15.75" customHeight="1">
      <c r="A291" s="36"/>
      <c r="B291" s="37"/>
      <c r="C291" s="38"/>
      <c r="D291" s="38"/>
      <c r="E291" s="37"/>
      <c r="F291" s="37"/>
      <c r="G291" s="36"/>
      <c r="H291" s="37"/>
      <c r="I291" s="37"/>
      <c r="J291" s="37"/>
      <c r="K291" s="37"/>
      <c r="L291" s="37"/>
      <c r="M291" s="37"/>
      <c r="N291" s="37"/>
      <c r="O291" s="37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ht="15.75" customHeight="1">
      <c r="A292" s="36"/>
      <c r="B292" s="37"/>
      <c r="C292" s="38"/>
      <c r="D292" s="38"/>
      <c r="E292" s="37"/>
      <c r="F292" s="37"/>
      <c r="G292" s="36"/>
      <c r="H292" s="37"/>
      <c r="I292" s="37"/>
      <c r="J292" s="37"/>
      <c r="K292" s="37"/>
      <c r="L292" s="37"/>
      <c r="M292" s="37"/>
      <c r="N292" s="37"/>
      <c r="O292" s="37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ht="15.75" customHeight="1">
      <c r="A293" s="36"/>
      <c r="B293" s="37"/>
      <c r="C293" s="38"/>
      <c r="D293" s="38"/>
      <c r="E293" s="37"/>
      <c r="F293" s="37"/>
      <c r="G293" s="36"/>
      <c r="H293" s="37"/>
      <c r="I293" s="37"/>
      <c r="J293" s="37"/>
      <c r="K293" s="37"/>
      <c r="L293" s="37"/>
      <c r="M293" s="37"/>
      <c r="N293" s="37"/>
      <c r="O293" s="37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ht="15.75" customHeight="1">
      <c r="A294" s="36"/>
      <c r="B294" s="37"/>
      <c r="C294" s="38"/>
      <c r="D294" s="38"/>
      <c r="E294" s="37"/>
      <c r="F294" s="37"/>
      <c r="G294" s="36"/>
      <c r="H294" s="37"/>
      <c r="I294" s="37"/>
      <c r="J294" s="37"/>
      <c r="K294" s="37"/>
      <c r="L294" s="37"/>
      <c r="M294" s="37"/>
      <c r="N294" s="37"/>
      <c r="O294" s="37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ht="15.75" customHeight="1">
      <c r="A295" s="36"/>
      <c r="B295" s="37"/>
      <c r="C295" s="38"/>
      <c r="D295" s="38"/>
      <c r="E295" s="37"/>
      <c r="F295" s="37"/>
      <c r="G295" s="36"/>
      <c r="H295" s="37"/>
      <c r="I295" s="37"/>
      <c r="J295" s="37"/>
      <c r="K295" s="37"/>
      <c r="L295" s="37"/>
      <c r="M295" s="37"/>
      <c r="N295" s="37"/>
      <c r="O295" s="37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ht="15.75" customHeight="1">
      <c r="A296" s="36"/>
      <c r="B296" s="37"/>
      <c r="C296" s="38"/>
      <c r="D296" s="38"/>
      <c r="E296" s="37"/>
      <c r="F296" s="37"/>
      <c r="G296" s="36"/>
      <c r="H296" s="37"/>
      <c r="I296" s="37"/>
      <c r="J296" s="37"/>
      <c r="K296" s="37"/>
      <c r="L296" s="37"/>
      <c r="M296" s="37"/>
      <c r="N296" s="37"/>
      <c r="O296" s="37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ht="15.75" customHeight="1">
      <c r="A297" s="36"/>
      <c r="B297" s="37"/>
      <c r="C297" s="38"/>
      <c r="D297" s="38"/>
      <c r="E297" s="37"/>
      <c r="F297" s="37"/>
      <c r="G297" s="36"/>
      <c r="H297" s="37"/>
      <c r="I297" s="37"/>
      <c r="J297" s="37"/>
      <c r="K297" s="37"/>
      <c r="L297" s="37"/>
      <c r="M297" s="37"/>
      <c r="N297" s="37"/>
      <c r="O297" s="37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ht="15.75" customHeight="1">
      <c r="A298" s="36"/>
      <c r="B298" s="37"/>
      <c r="C298" s="38"/>
      <c r="D298" s="38"/>
      <c r="E298" s="37"/>
      <c r="F298" s="37"/>
      <c r="G298" s="36"/>
      <c r="H298" s="37"/>
      <c r="I298" s="37"/>
      <c r="J298" s="37"/>
      <c r="K298" s="37"/>
      <c r="L298" s="37"/>
      <c r="M298" s="37"/>
      <c r="N298" s="37"/>
      <c r="O298" s="37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ht="15.75" customHeight="1">
      <c r="A299" s="36"/>
      <c r="B299" s="37"/>
      <c r="C299" s="38"/>
      <c r="D299" s="38"/>
      <c r="E299" s="37"/>
      <c r="F299" s="37"/>
      <c r="G299" s="36"/>
      <c r="H299" s="37"/>
      <c r="I299" s="37"/>
      <c r="J299" s="37"/>
      <c r="K299" s="37"/>
      <c r="L299" s="37"/>
      <c r="M299" s="37"/>
      <c r="N299" s="37"/>
      <c r="O299" s="37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ht="15.75" customHeight="1">
      <c r="A300" s="36"/>
      <c r="B300" s="37"/>
      <c r="C300" s="38"/>
      <c r="D300" s="38"/>
      <c r="E300" s="37"/>
      <c r="F300" s="37"/>
      <c r="G300" s="36"/>
      <c r="H300" s="37"/>
      <c r="I300" s="37"/>
      <c r="J300" s="37"/>
      <c r="K300" s="37"/>
      <c r="L300" s="37"/>
      <c r="M300" s="37"/>
      <c r="N300" s="37"/>
      <c r="O300" s="37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ht="15.75" customHeight="1">
      <c r="A301" s="36"/>
      <c r="B301" s="37"/>
      <c r="C301" s="38"/>
      <c r="D301" s="38"/>
      <c r="E301" s="37"/>
      <c r="F301" s="37"/>
      <c r="G301" s="36"/>
      <c r="H301" s="37"/>
      <c r="I301" s="37"/>
      <c r="J301" s="37"/>
      <c r="K301" s="37"/>
      <c r="L301" s="37"/>
      <c r="M301" s="37"/>
      <c r="N301" s="37"/>
      <c r="O301" s="37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ht="15.75" customHeight="1">
      <c r="A302" s="36"/>
      <c r="B302" s="37"/>
      <c r="C302" s="38"/>
      <c r="D302" s="38"/>
      <c r="E302" s="37"/>
      <c r="F302" s="37"/>
      <c r="G302" s="36"/>
      <c r="H302" s="37"/>
      <c r="I302" s="37"/>
      <c r="J302" s="37"/>
      <c r="K302" s="37"/>
      <c r="L302" s="37"/>
      <c r="M302" s="37"/>
      <c r="N302" s="37"/>
      <c r="O302" s="37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ht="15.75" customHeight="1">
      <c r="A303" s="36"/>
      <c r="B303" s="37"/>
      <c r="C303" s="38"/>
      <c r="D303" s="38"/>
      <c r="E303" s="37"/>
      <c r="F303" s="37"/>
      <c r="G303" s="36"/>
      <c r="H303" s="37"/>
      <c r="I303" s="37"/>
      <c r="J303" s="37"/>
      <c r="K303" s="37"/>
      <c r="L303" s="37"/>
      <c r="M303" s="37"/>
      <c r="N303" s="37"/>
      <c r="O303" s="37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ht="15.75" customHeight="1">
      <c r="A304" s="36"/>
      <c r="B304" s="37"/>
      <c r="C304" s="38"/>
      <c r="D304" s="38"/>
      <c r="E304" s="37"/>
      <c r="F304" s="37"/>
      <c r="G304" s="36"/>
      <c r="H304" s="37"/>
      <c r="I304" s="37"/>
      <c r="J304" s="37"/>
      <c r="K304" s="37"/>
      <c r="L304" s="37"/>
      <c r="M304" s="37"/>
      <c r="N304" s="37"/>
      <c r="O304" s="37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ht="15.75" customHeight="1">
      <c r="A305" s="36"/>
      <c r="B305" s="37"/>
      <c r="C305" s="38"/>
      <c r="D305" s="38"/>
      <c r="E305" s="37"/>
      <c r="F305" s="37"/>
      <c r="G305" s="36"/>
      <c r="H305" s="37"/>
      <c r="I305" s="37"/>
      <c r="J305" s="37"/>
      <c r="K305" s="37"/>
      <c r="L305" s="37"/>
      <c r="M305" s="37"/>
      <c r="N305" s="37"/>
      <c r="O305" s="37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ht="15.75" customHeight="1">
      <c r="A306" s="36"/>
      <c r="B306" s="37"/>
      <c r="C306" s="38"/>
      <c r="D306" s="38"/>
      <c r="E306" s="37"/>
      <c r="F306" s="37"/>
      <c r="G306" s="36"/>
      <c r="H306" s="37"/>
      <c r="I306" s="37"/>
      <c r="J306" s="37"/>
      <c r="K306" s="37"/>
      <c r="L306" s="37"/>
      <c r="M306" s="37"/>
      <c r="N306" s="37"/>
      <c r="O306" s="37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ht="15.75" customHeight="1">
      <c r="A307" s="36"/>
      <c r="B307" s="37"/>
      <c r="C307" s="38"/>
      <c r="D307" s="38"/>
      <c r="E307" s="37"/>
      <c r="F307" s="37"/>
      <c r="G307" s="36"/>
      <c r="H307" s="37"/>
      <c r="I307" s="37"/>
      <c r="J307" s="37"/>
      <c r="K307" s="37"/>
      <c r="L307" s="37"/>
      <c r="M307" s="37"/>
      <c r="N307" s="37"/>
      <c r="O307" s="37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ht="15.75" customHeight="1">
      <c r="A308" s="36"/>
      <c r="B308" s="37"/>
      <c r="C308" s="38"/>
      <c r="D308" s="38"/>
      <c r="E308" s="37"/>
      <c r="F308" s="37"/>
      <c r="G308" s="36"/>
      <c r="H308" s="37"/>
      <c r="I308" s="37"/>
      <c r="J308" s="37"/>
      <c r="K308" s="37"/>
      <c r="L308" s="37"/>
      <c r="M308" s="37"/>
      <c r="N308" s="37"/>
      <c r="O308" s="37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ht="15.75" customHeight="1">
      <c r="A309" s="36"/>
      <c r="B309" s="37"/>
      <c r="C309" s="38"/>
      <c r="D309" s="38"/>
      <c r="E309" s="37"/>
      <c r="F309" s="37"/>
      <c r="G309" s="36"/>
      <c r="H309" s="37"/>
      <c r="I309" s="37"/>
      <c r="J309" s="37"/>
      <c r="K309" s="37"/>
      <c r="L309" s="37"/>
      <c r="M309" s="37"/>
      <c r="N309" s="37"/>
      <c r="O309" s="37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ht="15.75" customHeight="1">
      <c r="A310" s="36"/>
      <c r="B310" s="37"/>
      <c r="C310" s="38"/>
      <c r="D310" s="38"/>
      <c r="E310" s="37"/>
      <c r="F310" s="37"/>
      <c r="G310" s="36"/>
      <c r="H310" s="37"/>
      <c r="I310" s="37"/>
      <c r="J310" s="37"/>
      <c r="K310" s="37"/>
      <c r="L310" s="37"/>
      <c r="M310" s="37"/>
      <c r="N310" s="37"/>
      <c r="O310" s="37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ht="15.75" customHeight="1">
      <c r="A311" s="36"/>
      <c r="B311" s="37"/>
      <c r="C311" s="38"/>
      <c r="D311" s="38"/>
      <c r="E311" s="37"/>
      <c r="F311" s="37"/>
      <c r="G311" s="36"/>
      <c r="H311" s="37"/>
      <c r="I311" s="37"/>
      <c r="J311" s="37"/>
      <c r="K311" s="37"/>
      <c r="L311" s="37"/>
      <c r="M311" s="37"/>
      <c r="N311" s="37"/>
      <c r="O311" s="37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ht="15.75" customHeight="1">
      <c r="A312" s="36"/>
      <c r="B312" s="37"/>
      <c r="C312" s="38"/>
      <c r="D312" s="38"/>
      <c r="E312" s="37"/>
      <c r="F312" s="37"/>
      <c r="G312" s="36"/>
      <c r="H312" s="37"/>
      <c r="I312" s="37"/>
      <c r="J312" s="37"/>
      <c r="K312" s="37"/>
      <c r="L312" s="37"/>
      <c r="M312" s="37"/>
      <c r="N312" s="37"/>
      <c r="O312" s="37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ht="15.75" customHeight="1">
      <c r="A313" s="36"/>
      <c r="B313" s="37"/>
      <c r="C313" s="38"/>
      <c r="D313" s="38"/>
      <c r="E313" s="37"/>
      <c r="F313" s="37"/>
      <c r="G313" s="36"/>
      <c r="H313" s="37"/>
      <c r="I313" s="37"/>
      <c r="J313" s="37"/>
      <c r="K313" s="37"/>
      <c r="L313" s="37"/>
      <c r="M313" s="37"/>
      <c r="N313" s="37"/>
      <c r="O313" s="37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ht="15.75" customHeight="1">
      <c r="A314" s="36"/>
      <c r="B314" s="37"/>
      <c r="C314" s="38"/>
      <c r="D314" s="38"/>
      <c r="E314" s="37"/>
      <c r="F314" s="37"/>
      <c r="G314" s="36"/>
      <c r="H314" s="37"/>
      <c r="I314" s="37"/>
      <c r="J314" s="37"/>
      <c r="K314" s="37"/>
      <c r="L314" s="37"/>
      <c r="M314" s="37"/>
      <c r="N314" s="37"/>
      <c r="O314" s="37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ht="15.75" customHeight="1">
      <c r="A315" s="36"/>
      <c r="B315" s="37"/>
      <c r="C315" s="38"/>
      <c r="D315" s="38"/>
      <c r="E315" s="37"/>
      <c r="F315" s="37"/>
      <c r="G315" s="36"/>
      <c r="H315" s="37"/>
      <c r="I315" s="37"/>
      <c r="J315" s="37"/>
      <c r="K315" s="37"/>
      <c r="L315" s="37"/>
      <c r="M315" s="37"/>
      <c r="N315" s="37"/>
      <c r="O315" s="37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ht="15.75" customHeight="1">
      <c r="A316" s="36"/>
      <c r="B316" s="37"/>
      <c r="C316" s="38"/>
      <c r="D316" s="38"/>
      <c r="E316" s="37"/>
      <c r="F316" s="37"/>
      <c r="G316" s="36"/>
      <c r="H316" s="37"/>
      <c r="I316" s="37"/>
      <c r="J316" s="37"/>
      <c r="K316" s="37"/>
      <c r="L316" s="37"/>
      <c r="M316" s="37"/>
      <c r="N316" s="37"/>
      <c r="O316" s="37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ht="15.75" customHeight="1">
      <c r="A317" s="36"/>
      <c r="B317" s="37"/>
      <c r="C317" s="38"/>
      <c r="D317" s="38"/>
      <c r="E317" s="37"/>
      <c r="F317" s="37"/>
      <c r="G317" s="36"/>
      <c r="H317" s="37"/>
      <c r="I317" s="37"/>
      <c r="J317" s="37"/>
      <c r="K317" s="37"/>
      <c r="L317" s="37"/>
      <c r="M317" s="37"/>
      <c r="N317" s="37"/>
      <c r="O317" s="37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ht="15.75" customHeight="1">
      <c r="A318" s="36"/>
      <c r="B318" s="37"/>
      <c r="C318" s="38"/>
      <c r="D318" s="38"/>
      <c r="E318" s="37"/>
      <c r="F318" s="37"/>
      <c r="G318" s="36"/>
      <c r="H318" s="37"/>
      <c r="I318" s="37"/>
      <c r="J318" s="37"/>
      <c r="K318" s="37"/>
      <c r="L318" s="37"/>
      <c r="M318" s="37"/>
      <c r="N318" s="37"/>
      <c r="O318" s="37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ht="15.75" customHeight="1">
      <c r="A319" s="36"/>
      <c r="B319" s="37"/>
      <c r="C319" s="38"/>
      <c r="D319" s="38"/>
      <c r="E319" s="37"/>
      <c r="F319" s="37"/>
      <c r="G319" s="36"/>
      <c r="H319" s="37"/>
      <c r="I319" s="37"/>
      <c r="J319" s="37"/>
      <c r="K319" s="37"/>
      <c r="L319" s="37"/>
      <c r="M319" s="37"/>
      <c r="N319" s="37"/>
      <c r="O319" s="37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ht="15.75" customHeight="1">
      <c r="A320" s="36"/>
      <c r="B320" s="37"/>
      <c r="C320" s="38"/>
      <c r="D320" s="38"/>
      <c r="E320" s="37"/>
      <c r="F320" s="37"/>
      <c r="G320" s="36"/>
      <c r="H320" s="37"/>
      <c r="I320" s="37"/>
      <c r="J320" s="37"/>
      <c r="K320" s="37"/>
      <c r="L320" s="37"/>
      <c r="M320" s="37"/>
      <c r="N320" s="37"/>
      <c r="O320" s="37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ht="15.75" customHeight="1">
      <c r="A321" s="36"/>
      <c r="B321" s="37"/>
      <c r="C321" s="38"/>
      <c r="D321" s="38"/>
      <c r="E321" s="37"/>
      <c r="F321" s="37"/>
      <c r="G321" s="36"/>
      <c r="H321" s="37"/>
      <c r="I321" s="37"/>
      <c r="J321" s="37"/>
      <c r="K321" s="37"/>
      <c r="L321" s="37"/>
      <c r="M321" s="37"/>
      <c r="N321" s="37"/>
      <c r="O321" s="37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ht="15.75" customHeight="1">
      <c r="A322" s="36"/>
      <c r="B322" s="37"/>
      <c r="C322" s="38"/>
      <c r="D322" s="38"/>
      <c r="E322" s="37"/>
      <c r="F322" s="37"/>
      <c r="G322" s="36"/>
      <c r="H322" s="37"/>
      <c r="I322" s="37"/>
      <c r="J322" s="37"/>
      <c r="K322" s="37"/>
      <c r="L322" s="37"/>
      <c r="M322" s="37"/>
      <c r="N322" s="37"/>
      <c r="O322" s="37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ht="15.75" customHeight="1">
      <c r="A323" s="36"/>
      <c r="B323" s="37"/>
      <c r="C323" s="38"/>
      <c r="D323" s="38"/>
      <c r="E323" s="37"/>
      <c r="F323" s="37"/>
      <c r="G323" s="36"/>
      <c r="H323" s="37"/>
      <c r="I323" s="37"/>
      <c r="J323" s="37"/>
      <c r="K323" s="37"/>
      <c r="L323" s="37"/>
      <c r="M323" s="37"/>
      <c r="N323" s="37"/>
      <c r="O323" s="37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ht="15.75" customHeight="1">
      <c r="A324" s="36"/>
      <c r="B324" s="37"/>
      <c r="C324" s="38"/>
      <c r="D324" s="38"/>
      <c r="E324" s="37"/>
      <c r="F324" s="37"/>
      <c r="G324" s="36"/>
      <c r="H324" s="37"/>
      <c r="I324" s="37"/>
      <c r="J324" s="37"/>
      <c r="K324" s="37"/>
      <c r="L324" s="37"/>
      <c r="M324" s="37"/>
      <c r="N324" s="37"/>
      <c r="O324" s="37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ht="15.75" customHeight="1">
      <c r="A325" s="36"/>
      <c r="B325" s="37"/>
      <c r="C325" s="38"/>
      <c r="D325" s="38"/>
      <c r="E325" s="37"/>
      <c r="F325" s="37"/>
      <c r="G325" s="36"/>
      <c r="H325" s="37"/>
      <c r="I325" s="37"/>
      <c r="J325" s="37"/>
      <c r="K325" s="37"/>
      <c r="L325" s="37"/>
      <c r="M325" s="37"/>
      <c r="N325" s="37"/>
      <c r="O325" s="37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ht="15.75" customHeight="1">
      <c r="A326" s="36"/>
      <c r="B326" s="37"/>
      <c r="C326" s="38"/>
      <c r="D326" s="38"/>
      <c r="E326" s="37"/>
      <c r="F326" s="37"/>
      <c r="G326" s="36"/>
      <c r="H326" s="37"/>
      <c r="I326" s="37"/>
      <c r="J326" s="37"/>
      <c r="K326" s="37"/>
      <c r="L326" s="37"/>
      <c r="M326" s="37"/>
      <c r="N326" s="37"/>
      <c r="O326" s="37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ht="15.75" customHeight="1">
      <c r="A327" s="36"/>
      <c r="B327" s="37"/>
      <c r="C327" s="38"/>
      <c r="D327" s="38"/>
      <c r="E327" s="37"/>
      <c r="F327" s="37"/>
      <c r="G327" s="36"/>
      <c r="H327" s="37"/>
      <c r="I327" s="37"/>
      <c r="J327" s="37"/>
      <c r="K327" s="37"/>
      <c r="L327" s="37"/>
      <c r="M327" s="37"/>
      <c r="N327" s="37"/>
      <c r="O327" s="37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ht="15.75" customHeight="1">
      <c r="A328" s="36"/>
      <c r="B328" s="37"/>
      <c r="C328" s="38"/>
      <c r="D328" s="38"/>
      <c r="E328" s="37"/>
      <c r="F328" s="37"/>
      <c r="G328" s="36"/>
      <c r="H328" s="37"/>
      <c r="I328" s="37"/>
      <c r="J328" s="37"/>
      <c r="K328" s="37"/>
      <c r="L328" s="37"/>
      <c r="M328" s="37"/>
      <c r="N328" s="37"/>
      <c r="O328" s="37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ht="15.75" customHeight="1">
      <c r="A329" s="36"/>
      <c r="B329" s="37"/>
      <c r="C329" s="38"/>
      <c r="D329" s="38"/>
      <c r="E329" s="37"/>
      <c r="F329" s="37"/>
      <c r="G329" s="36"/>
      <c r="H329" s="37"/>
      <c r="I329" s="37"/>
      <c r="J329" s="37"/>
      <c r="K329" s="37"/>
      <c r="L329" s="37"/>
      <c r="M329" s="37"/>
      <c r="N329" s="37"/>
      <c r="O329" s="37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ht="15.75" customHeight="1">
      <c r="A330" s="36"/>
      <c r="B330" s="37"/>
      <c r="C330" s="38"/>
      <c r="D330" s="38"/>
      <c r="E330" s="37"/>
      <c r="F330" s="37"/>
      <c r="G330" s="36"/>
      <c r="H330" s="37"/>
      <c r="I330" s="37"/>
      <c r="J330" s="37"/>
      <c r="K330" s="37"/>
      <c r="L330" s="37"/>
      <c r="M330" s="37"/>
      <c r="N330" s="37"/>
      <c r="O330" s="37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ht="15.75" customHeight="1">
      <c r="A331" s="36"/>
      <c r="B331" s="37"/>
      <c r="C331" s="38"/>
      <c r="D331" s="38"/>
      <c r="E331" s="37"/>
      <c r="F331" s="37"/>
      <c r="G331" s="36"/>
      <c r="H331" s="37"/>
      <c r="I331" s="37"/>
      <c r="J331" s="37"/>
      <c r="K331" s="37"/>
      <c r="L331" s="37"/>
      <c r="M331" s="37"/>
      <c r="N331" s="37"/>
      <c r="O331" s="37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ht="15.75" customHeight="1">
      <c r="A332" s="36"/>
      <c r="B332" s="37"/>
      <c r="C332" s="38"/>
      <c r="D332" s="38"/>
      <c r="E332" s="37"/>
      <c r="F332" s="37"/>
      <c r="G332" s="36"/>
      <c r="H332" s="37"/>
      <c r="I332" s="37"/>
      <c r="J332" s="37"/>
      <c r="K332" s="37"/>
      <c r="L332" s="37"/>
      <c r="M332" s="37"/>
      <c r="N332" s="37"/>
      <c r="O332" s="37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ht="15.75" customHeight="1">
      <c r="A333" s="36"/>
      <c r="B333" s="37"/>
      <c r="C333" s="38"/>
      <c r="D333" s="38"/>
      <c r="E333" s="37"/>
      <c r="F333" s="37"/>
      <c r="G333" s="36"/>
      <c r="H333" s="37"/>
      <c r="I333" s="37"/>
      <c r="J333" s="37"/>
      <c r="K333" s="37"/>
      <c r="L333" s="37"/>
      <c r="M333" s="37"/>
      <c r="N333" s="37"/>
      <c r="O333" s="37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ht="15.75" customHeight="1">
      <c r="A334" s="36"/>
      <c r="B334" s="37"/>
      <c r="C334" s="38"/>
      <c r="D334" s="38"/>
      <c r="E334" s="37"/>
      <c r="F334" s="37"/>
      <c r="G334" s="36"/>
      <c r="H334" s="37"/>
      <c r="I334" s="37"/>
      <c r="J334" s="37"/>
      <c r="K334" s="37"/>
      <c r="L334" s="37"/>
      <c r="M334" s="37"/>
      <c r="N334" s="37"/>
      <c r="O334" s="37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ht="15.75" customHeight="1">
      <c r="A335" s="36"/>
      <c r="B335" s="37"/>
      <c r="C335" s="38"/>
      <c r="D335" s="38"/>
      <c r="E335" s="37"/>
      <c r="F335" s="37"/>
      <c r="G335" s="36"/>
      <c r="H335" s="37"/>
      <c r="I335" s="37"/>
      <c r="J335" s="37"/>
      <c r="K335" s="37"/>
      <c r="L335" s="37"/>
      <c r="M335" s="37"/>
      <c r="N335" s="37"/>
      <c r="O335" s="37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ht="15.75" customHeight="1">
      <c r="A336" s="36"/>
      <c r="B336" s="37"/>
      <c r="C336" s="38"/>
      <c r="D336" s="38"/>
      <c r="E336" s="37"/>
      <c r="F336" s="37"/>
      <c r="G336" s="36"/>
      <c r="H336" s="37"/>
      <c r="I336" s="37"/>
      <c r="J336" s="37"/>
      <c r="K336" s="37"/>
      <c r="L336" s="37"/>
      <c r="M336" s="37"/>
      <c r="N336" s="37"/>
      <c r="O336" s="37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ht="15.75" customHeight="1">
      <c r="A337" s="36"/>
      <c r="B337" s="37"/>
      <c r="C337" s="38"/>
      <c r="D337" s="38"/>
      <c r="E337" s="37"/>
      <c r="F337" s="37"/>
      <c r="G337" s="36"/>
      <c r="H337" s="37"/>
      <c r="I337" s="37"/>
      <c r="J337" s="37"/>
      <c r="K337" s="37"/>
      <c r="L337" s="37"/>
      <c r="M337" s="37"/>
      <c r="N337" s="37"/>
      <c r="O337" s="37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ht="15.75" customHeight="1">
      <c r="A338" s="36"/>
      <c r="B338" s="37"/>
      <c r="C338" s="38"/>
      <c r="D338" s="38"/>
      <c r="E338" s="37"/>
      <c r="F338" s="37"/>
      <c r="G338" s="36"/>
      <c r="H338" s="37"/>
      <c r="I338" s="37"/>
      <c r="J338" s="37"/>
      <c r="K338" s="37"/>
      <c r="L338" s="37"/>
      <c r="M338" s="37"/>
      <c r="N338" s="37"/>
      <c r="O338" s="37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ht="15.75" customHeight="1">
      <c r="A339" s="36"/>
      <c r="B339" s="37"/>
      <c r="C339" s="38"/>
      <c r="D339" s="38"/>
      <c r="E339" s="37"/>
      <c r="F339" s="37"/>
      <c r="G339" s="36"/>
      <c r="H339" s="37"/>
      <c r="I339" s="37"/>
      <c r="J339" s="37"/>
      <c r="K339" s="37"/>
      <c r="L339" s="37"/>
      <c r="M339" s="37"/>
      <c r="N339" s="37"/>
      <c r="O339" s="37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ht="15.75" customHeight="1">
      <c r="A340" s="36"/>
      <c r="B340" s="37"/>
      <c r="C340" s="38"/>
      <c r="D340" s="38"/>
      <c r="E340" s="37"/>
      <c r="F340" s="37"/>
      <c r="G340" s="36"/>
      <c r="H340" s="37"/>
      <c r="I340" s="37"/>
      <c r="J340" s="37"/>
      <c r="K340" s="37"/>
      <c r="L340" s="37"/>
      <c r="M340" s="37"/>
      <c r="N340" s="37"/>
      <c r="O340" s="37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ht="15.75" customHeight="1">
      <c r="A341" s="36"/>
      <c r="B341" s="37"/>
      <c r="C341" s="38"/>
      <c r="D341" s="38"/>
      <c r="E341" s="37"/>
      <c r="F341" s="37"/>
      <c r="G341" s="36"/>
      <c r="H341" s="37"/>
      <c r="I341" s="37"/>
      <c r="J341" s="37"/>
      <c r="K341" s="37"/>
      <c r="L341" s="37"/>
      <c r="M341" s="37"/>
      <c r="N341" s="37"/>
      <c r="O341" s="37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ht="15.75" customHeight="1">
      <c r="A342" s="36"/>
      <c r="B342" s="37"/>
      <c r="C342" s="38"/>
      <c r="D342" s="38"/>
      <c r="E342" s="37"/>
      <c r="F342" s="37"/>
      <c r="G342" s="36"/>
      <c r="H342" s="37"/>
      <c r="I342" s="37"/>
      <c r="J342" s="37"/>
      <c r="K342" s="37"/>
      <c r="L342" s="37"/>
      <c r="M342" s="37"/>
      <c r="N342" s="37"/>
      <c r="O342" s="37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ht="15.75" customHeight="1">
      <c r="A343" s="36"/>
      <c r="B343" s="37"/>
      <c r="C343" s="38"/>
      <c r="D343" s="38"/>
      <c r="E343" s="37"/>
      <c r="F343" s="37"/>
      <c r="G343" s="36"/>
      <c r="H343" s="37"/>
      <c r="I343" s="37"/>
      <c r="J343" s="37"/>
      <c r="K343" s="37"/>
      <c r="L343" s="37"/>
      <c r="M343" s="37"/>
      <c r="N343" s="37"/>
      <c r="O343" s="37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ht="15.75" customHeight="1">
      <c r="A344" s="36"/>
      <c r="B344" s="37"/>
      <c r="C344" s="38"/>
      <c r="D344" s="38"/>
      <c r="E344" s="37"/>
      <c r="F344" s="37"/>
      <c r="G344" s="36"/>
      <c r="H344" s="37"/>
      <c r="I344" s="37"/>
      <c r="J344" s="37"/>
      <c r="K344" s="37"/>
      <c r="L344" s="37"/>
      <c r="M344" s="37"/>
      <c r="N344" s="37"/>
      <c r="O344" s="37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ht="15.75" customHeight="1">
      <c r="A345" s="36"/>
      <c r="B345" s="37"/>
      <c r="C345" s="38"/>
      <c r="D345" s="38"/>
      <c r="E345" s="37"/>
      <c r="F345" s="37"/>
      <c r="G345" s="36"/>
      <c r="H345" s="37"/>
      <c r="I345" s="37"/>
      <c r="J345" s="37"/>
      <c r="K345" s="37"/>
      <c r="L345" s="37"/>
      <c r="M345" s="37"/>
      <c r="N345" s="37"/>
      <c r="O345" s="37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ht="15.75" customHeight="1">
      <c r="A346" s="36"/>
      <c r="B346" s="37"/>
      <c r="C346" s="38"/>
      <c r="D346" s="38"/>
      <c r="E346" s="37"/>
      <c r="F346" s="37"/>
      <c r="G346" s="36"/>
      <c r="H346" s="37"/>
      <c r="I346" s="37"/>
      <c r="J346" s="37"/>
      <c r="K346" s="37"/>
      <c r="L346" s="37"/>
      <c r="M346" s="37"/>
      <c r="N346" s="37"/>
      <c r="O346" s="37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ht="15.75" customHeight="1">
      <c r="A347" s="36"/>
      <c r="B347" s="37"/>
      <c r="C347" s="38"/>
      <c r="D347" s="38"/>
      <c r="E347" s="37"/>
      <c r="F347" s="37"/>
      <c r="G347" s="36"/>
      <c r="H347" s="37"/>
      <c r="I347" s="37"/>
      <c r="J347" s="37"/>
      <c r="K347" s="37"/>
      <c r="L347" s="37"/>
      <c r="M347" s="37"/>
      <c r="N347" s="37"/>
      <c r="O347" s="37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ht="15.75" customHeight="1">
      <c r="A348" s="36"/>
      <c r="B348" s="37"/>
      <c r="C348" s="38"/>
      <c r="D348" s="38"/>
      <c r="E348" s="37"/>
      <c r="F348" s="37"/>
      <c r="G348" s="36"/>
      <c r="H348" s="37"/>
      <c r="I348" s="37"/>
      <c r="J348" s="37"/>
      <c r="K348" s="37"/>
      <c r="L348" s="37"/>
      <c r="M348" s="37"/>
      <c r="N348" s="37"/>
      <c r="O348" s="37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ht="15.75" customHeight="1">
      <c r="A349" s="36"/>
      <c r="B349" s="37"/>
      <c r="C349" s="38"/>
      <c r="D349" s="38"/>
      <c r="E349" s="37"/>
      <c r="F349" s="37"/>
      <c r="G349" s="36"/>
      <c r="H349" s="37"/>
      <c r="I349" s="37"/>
      <c r="J349" s="37"/>
      <c r="K349" s="37"/>
      <c r="L349" s="37"/>
      <c r="M349" s="37"/>
      <c r="N349" s="37"/>
      <c r="O349" s="37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ht="15.75" customHeight="1">
      <c r="A350" s="36"/>
      <c r="B350" s="37"/>
      <c r="C350" s="38"/>
      <c r="D350" s="38"/>
      <c r="E350" s="37"/>
      <c r="F350" s="37"/>
      <c r="G350" s="36"/>
      <c r="H350" s="37"/>
      <c r="I350" s="37"/>
      <c r="J350" s="37"/>
      <c r="K350" s="37"/>
      <c r="L350" s="37"/>
      <c r="M350" s="37"/>
      <c r="N350" s="37"/>
      <c r="O350" s="37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ht="15.75" customHeight="1">
      <c r="A351" s="36"/>
      <c r="B351" s="37"/>
      <c r="C351" s="38"/>
      <c r="D351" s="38"/>
      <c r="E351" s="37"/>
      <c r="F351" s="37"/>
      <c r="G351" s="36"/>
      <c r="H351" s="37"/>
      <c r="I351" s="37"/>
      <c r="J351" s="37"/>
      <c r="K351" s="37"/>
      <c r="L351" s="37"/>
      <c r="M351" s="37"/>
      <c r="N351" s="37"/>
      <c r="O351" s="37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ht="15.75" customHeight="1">
      <c r="A352" s="36"/>
      <c r="B352" s="37"/>
      <c r="C352" s="38"/>
      <c r="D352" s="38"/>
      <c r="E352" s="37"/>
      <c r="F352" s="37"/>
      <c r="G352" s="36"/>
      <c r="H352" s="37"/>
      <c r="I352" s="37"/>
      <c r="J352" s="37"/>
      <c r="K352" s="37"/>
      <c r="L352" s="37"/>
      <c r="M352" s="37"/>
      <c r="N352" s="37"/>
      <c r="O352" s="37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ht="15.75" customHeight="1">
      <c r="A353" s="36"/>
      <c r="B353" s="37"/>
      <c r="C353" s="38"/>
      <c r="D353" s="38"/>
      <c r="E353" s="37"/>
      <c r="F353" s="37"/>
      <c r="G353" s="36"/>
      <c r="H353" s="37"/>
      <c r="I353" s="37"/>
      <c r="J353" s="37"/>
      <c r="K353" s="37"/>
      <c r="L353" s="37"/>
      <c r="M353" s="37"/>
      <c r="N353" s="37"/>
      <c r="O353" s="37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ht="15.75" customHeight="1">
      <c r="A354" s="36"/>
      <c r="B354" s="37"/>
      <c r="C354" s="38"/>
      <c r="D354" s="38"/>
      <c r="E354" s="37"/>
      <c r="F354" s="37"/>
      <c r="G354" s="36"/>
      <c r="H354" s="37"/>
      <c r="I354" s="37"/>
      <c r="J354" s="37"/>
      <c r="K354" s="37"/>
      <c r="L354" s="37"/>
      <c r="M354" s="37"/>
      <c r="N354" s="37"/>
      <c r="O354" s="37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ht="15.75" customHeight="1">
      <c r="A355" s="36"/>
      <c r="B355" s="37"/>
      <c r="C355" s="38"/>
      <c r="D355" s="38"/>
      <c r="E355" s="37"/>
      <c r="F355" s="37"/>
      <c r="G355" s="36"/>
      <c r="H355" s="37"/>
      <c r="I355" s="37"/>
      <c r="J355" s="37"/>
      <c r="K355" s="37"/>
      <c r="L355" s="37"/>
      <c r="M355" s="37"/>
      <c r="N355" s="37"/>
      <c r="O355" s="37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ht="15.75" customHeight="1">
      <c r="A356" s="36"/>
      <c r="B356" s="37"/>
      <c r="C356" s="38"/>
      <c r="D356" s="38"/>
      <c r="E356" s="37"/>
      <c r="F356" s="37"/>
      <c r="G356" s="36"/>
      <c r="H356" s="37"/>
      <c r="I356" s="37"/>
      <c r="J356" s="37"/>
      <c r="K356" s="37"/>
      <c r="L356" s="37"/>
      <c r="M356" s="37"/>
      <c r="N356" s="37"/>
      <c r="O356" s="37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ht="15.75" customHeight="1">
      <c r="A357" s="36"/>
      <c r="B357" s="37"/>
      <c r="C357" s="38"/>
      <c r="D357" s="38"/>
      <c r="E357" s="37"/>
      <c r="F357" s="37"/>
      <c r="G357" s="36"/>
      <c r="H357" s="37"/>
      <c r="I357" s="37"/>
      <c r="J357" s="37"/>
      <c r="K357" s="37"/>
      <c r="L357" s="37"/>
      <c r="M357" s="37"/>
      <c r="N357" s="37"/>
      <c r="O357" s="37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ht="15.75" customHeight="1">
      <c r="A358" s="36"/>
      <c r="B358" s="37"/>
      <c r="C358" s="38"/>
      <c r="D358" s="38"/>
      <c r="E358" s="37"/>
      <c r="F358" s="37"/>
      <c r="G358" s="36"/>
      <c r="H358" s="37"/>
      <c r="I358" s="37"/>
      <c r="J358" s="37"/>
      <c r="K358" s="37"/>
      <c r="L358" s="37"/>
      <c r="M358" s="37"/>
      <c r="N358" s="37"/>
      <c r="O358" s="37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ht="15.75" customHeight="1">
      <c r="A359" s="36"/>
      <c r="B359" s="37"/>
      <c r="C359" s="38"/>
      <c r="D359" s="38"/>
      <c r="E359" s="37"/>
      <c r="F359" s="37"/>
      <c r="G359" s="36"/>
      <c r="H359" s="37"/>
      <c r="I359" s="37"/>
      <c r="J359" s="37"/>
      <c r="K359" s="37"/>
      <c r="L359" s="37"/>
      <c r="M359" s="37"/>
      <c r="N359" s="37"/>
      <c r="O359" s="37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ht="15.75" customHeight="1">
      <c r="A360" s="36"/>
      <c r="B360" s="37"/>
      <c r="C360" s="38"/>
      <c r="D360" s="38"/>
      <c r="E360" s="37"/>
      <c r="F360" s="37"/>
      <c r="G360" s="36"/>
      <c r="H360" s="37"/>
      <c r="I360" s="37"/>
      <c r="J360" s="37"/>
      <c r="K360" s="37"/>
      <c r="L360" s="37"/>
      <c r="M360" s="37"/>
      <c r="N360" s="37"/>
      <c r="O360" s="37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ht="15.75" customHeight="1">
      <c r="A361" s="36"/>
      <c r="B361" s="37"/>
      <c r="C361" s="38"/>
      <c r="D361" s="38"/>
      <c r="E361" s="37"/>
      <c r="F361" s="37"/>
      <c r="G361" s="36"/>
      <c r="H361" s="37"/>
      <c r="I361" s="37"/>
      <c r="J361" s="37"/>
      <c r="K361" s="37"/>
      <c r="L361" s="37"/>
      <c r="M361" s="37"/>
      <c r="N361" s="37"/>
      <c r="O361" s="37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ht="15.75" customHeight="1">
      <c r="A362" s="36"/>
      <c r="B362" s="37"/>
      <c r="C362" s="38"/>
      <c r="D362" s="38"/>
      <c r="E362" s="37"/>
      <c r="F362" s="37"/>
      <c r="G362" s="36"/>
      <c r="H362" s="37"/>
      <c r="I362" s="37"/>
      <c r="J362" s="37"/>
      <c r="K362" s="37"/>
      <c r="L362" s="37"/>
      <c r="M362" s="37"/>
      <c r="N362" s="37"/>
      <c r="O362" s="37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ht="15.75" customHeight="1">
      <c r="A363" s="36"/>
      <c r="B363" s="37"/>
      <c r="C363" s="38"/>
      <c r="D363" s="38"/>
      <c r="E363" s="37"/>
      <c r="F363" s="37"/>
      <c r="G363" s="36"/>
      <c r="H363" s="37"/>
      <c r="I363" s="37"/>
      <c r="J363" s="37"/>
      <c r="K363" s="37"/>
      <c r="L363" s="37"/>
      <c r="M363" s="37"/>
      <c r="N363" s="37"/>
      <c r="O363" s="37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ht="15.75" customHeight="1">
      <c r="A364" s="36"/>
      <c r="B364" s="37"/>
      <c r="C364" s="38"/>
      <c r="D364" s="38"/>
      <c r="E364" s="37"/>
      <c r="F364" s="37"/>
      <c r="G364" s="36"/>
      <c r="H364" s="37"/>
      <c r="I364" s="37"/>
      <c r="J364" s="37"/>
      <c r="K364" s="37"/>
      <c r="L364" s="37"/>
      <c r="M364" s="37"/>
      <c r="N364" s="37"/>
      <c r="O364" s="37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ht="15.75" customHeight="1">
      <c r="A365" s="36"/>
      <c r="B365" s="37"/>
      <c r="C365" s="38"/>
      <c r="D365" s="38"/>
      <c r="E365" s="37"/>
      <c r="F365" s="37"/>
      <c r="G365" s="36"/>
      <c r="H365" s="37"/>
      <c r="I365" s="37"/>
      <c r="J365" s="37"/>
      <c r="K365" s="37"/>
      <c r="L365" s="37"/>
      <c r="M365" s="37"/>
      <c r="N365" s="37"/>
      <c r="O365" s="37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ht="15.75" customHeight="1">
      <c r="A366" s="36"/>
      <c r="B366" s="37"/>
      <c r="C366" s="38"/>
      <c r="D366" s="38"/>
      <c r="E366" s="37"/>
      <c r="F366" s="37"/>
      <c r="G366" s="36"/>
      <c r="H366" s="37"/>
      <c r="I366" s="37"/>
      <c r="J366" s="37"/>
      <c r="K366" s="37"/>
      <c r="L366" s="37"/>
      <c r="M366" s="37"/>
      <c r="N366" s="37"/>
      <c r="O366" s="37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ht="15.75" customHeight="1">
      <c r="A367" s="36"/>
      <c r="B367" s="37"/>
      <c r="C367" s="38"/>
      <c r="D367" s="38"/>
      <c r="E367" s="37"/>
      <c r="F367" s="37"/>
      <c r="G367" s="36"/>
      <c r="H367" s="37"/>
      <c r="I367" s="37"/>
      <c r="J367" s="37"/>
      <c r="K367" s="37"/>
      <c r="L367" s="37"/>
      <c r="M367" s="37"/>
      <c r="N367" s="37"/>
      <c r="O367" s="37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ht="15.75" customHeight="1">
      <c r="A368" s="36"/>
      <c r="B368" s="37"/>
      <c r="C368" s="38"/>
      <c r="D368" s="38"/>
      <c r="E368" s="37"/>
      <c r="F368" s="37"/>
      <c r="G368" s="36"/>
      <c r="H368" s="37"/>
      <c r="I368" s="37"/>
      <c r="J368" s="37"/>
      <c r="K368" s="37"/>
      <c r="L368" s="37"/>
      <c r="M368" s="37"/>
      <c r="N368" s="37"/>
      <c r="O368" s="37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ht="15.75" customHeight="1">
      <c r="A369" s="36"/>
      <c r="B369" s="37"/>
      <c r="C369" s="38"/>
      <c r="D369" s="38"/>
      <c r="E369" s="37"/>
      <c r="F369" s="37"/>
      <c r="G369" s="36"/>
      <c r="H369" s="37"/>
      <c r="I369" s="37"/>
      <c r="J369" s="37"/>
      <c r="K369" s="37"/>
      <c r="L369" s="37"/>
      <c r="M369" s="37"/>
      <c r="N369" s="37"/>
      <c r="O369" s="37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ht="15.75" customHeight="1">
      <c r="A370" s="36"/>
      <c r="B370" s="37"/>
      <c r="C370" s="38"/>
      <c r="D370" s="38"/>
      <c r="E370" s="37"/>
      <c r="F370" s="37"/>
      <c r="G370" s="36"/>
      <c r="H370" s="37"/>
      <c r="I370" s="37"/>
      <c r="J370" s="37"/>
      <c r="K370" s="37"/>
      <c r="L370" s="37"/>
      <c r="M370" s="37"/>
      <c r="N370" s="37"/>
      <c r="O370" s="37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ht="15.75" customHeight="1">
      <c r="A371" s="36"/>
      <c r="B371" s="37"/>
      <c r="C371" s="38"/>
      <c r="D371" s="38"/>
      <c r="E371" s="37"/>
      <c r="F371" s="37"/>
      <c r="G371" s="36"/>
      <c r="H371" s="37"/>
      <c r="I371" s="37"/>
      <c r="J371" s="37"/>
      <c r="K371" s="37"/>
      <c r="L371" s="37"/>
      <c r="M371" s="37"/>
      <c r="N371" s="37"/>
      <c r="O371" s="37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ht="15.75" customHeight="1">
      <c r="A372" s="36"/>
      <c r="B372" s="37"/>
      <c r="C372" s="38"/>
      <c r="D372" s="38"/>
      <c r="E372" s="37"/>
      <c r="F372" s="37"/>
      <c r="G372" s="36"/>
      <c r="H372" s="37"/>
      <c r="I372" s="37"/>
      <c r="J372" s="37"/>
      <c r="K372" s="37"/>
      <c r="L372" s="37"/>
      <c r="M372" s="37"/>
      <c r="N372" s="37"/>
      <c r="O372" s="37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ht="15.75" customHeight="1">
      <c r="A373" s="36"/>
      <c r="B373" s="37"/>
      <c r="C373" s="38"/>
      <c r="D373" s="38"/>
      <c r="E373" s="37"/>
      <c r="F373" s="37"/>
      <c r="G373" s="36"/>
      <c r="H373" s="37"/>
      <c r="I373" s="37"/>
      <c r="J373" s="37"/>
      <c r="K373" s="37"/>
      <c r="L373" s="37"/>
      <c r="M373" s="37"/>
      <c r="N373" s="37"/>
      <c r="O373" s="37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ht="15.75" customHeight="1">
      <c r="A374" s="36"/>
      <c r="B374" s="37"/>
      <c r="C374" s="38"/>
      <c r="D374" s="38"/>
      <c r="E374" s="37"/>
      <c r="F374" s="37"/>
      <c r="G374" s="36"/>
      <c r="H374" s="37"/>
      <c r="I374" s="37"/>
      <c r="J374" s="37"/>
      <c r="K374" s="37"/>
      <c r="L374" s="37"/>
      <c r="M374" s="37"/>
      <c r="N374" s="37"/>
      <c r="O374" s="37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ht="15.75" customHeight="1">
      <c r="A375" s="36"/>
      <c r="B375" s="37"/>
      <c r="C375" s="38"/>
      <c r="D375" s="38"/>
      <c r="E375" s="37"/>
      <c r="F375" s="37"/>
      <c r="G375" s="36"/>
      <c r="H375" s="37"/>
      <c r="I375" s="37"/>
      <c r="J375" s="37"/>
      <c r="K375" s="37"/>
      <c r="L375" s="37"/>
      <c r="M375" s="37"/>
      <c r="N375" s="37"/>
      <c r="O375" s="37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ht="15.75" customHeight="1">
      <c r="A376" s="36"/>
      <c r="B376" s="37"/>
      <c r="C376" s="38"/>
      <c r="D376" s="38"/>
      <c r="E376" s="37"/>
      <c r="F376" s="37"/>
      <c r="G376" s="36"/>
      <c r="H376" s="37"/>
      <c r="I376" s="37"/>
      <c r="J376" s="37"/>
      <c r="K376" s="37"/>
      <c r="L376" s="37"/>
      <c r="M376" s="37"/>
      <c r="N376" s="37"/>
      <c r="O376" s="37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ht="15.75" customHeight="1">
      <c r="A377" s="36"/>
      <c r="B377" s="37"/>
      <c r="C377" s="38"/>
      <c r="D377" s="38"/>
      <c r="E377" s="37"/>
      <c r="F377" s="37"/>
      <c r="G377" s="36"/>
      <c r="H377" s="37"/>
      <c r="I377" s="37"/>
      <c r="J377" s="37"/>
      <c r="K377" s="37"/>
      <c r="L377" s="37"/>
      <c r="M377" s="37"/>
      <c r="N377" s="37"/>
      <c r="O377" s="37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ht="15.75" customHeight="1">
      <c r="A378" s="36"/>
      <c r="B378" s="37"/>
      <c r="C378" s="38"/>
      <c r="D378" s="38"/>
      <c r="E378" s="37"/>
      <c r="F378" s="37"/>
      <c r="G378" s="36"/>
      <c r="H378" s="37"/>
      <c r="I378" s="37"/>
      <c r="J378" s="37"/>
      <c r="K378" s="37"/>
      <c r="L378" s="37"/>
      <c r="M378" s="37"/>
      <c r="N378" s="37"/>
      <c r="O378" s="37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ht="15.75" customHeight="1">
      <c r="A379" s="36"/>
      <c r="B379" s="37"/>
      <c r="C379" s="38"/>
      <c r="D379" s="38"/>
      <c r="E379" s="37"/>
      <c r="F379" s="37"/>
      <c r="G379" s="36"/>
      <c r="H379" s="37"/>
      <c r="I379" s="37"/>
      <c r="J379" s="37"/>
      <c r="K379" s="37"/>
      <c r="L379" s="37"/>
      <c r="M379" s="37"/>
      <c r="N379" s="37"/>
      <c r="O379" s="37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ht="15.75" customHeight="1">
      <c r="A380" s="36"/>
      <c r="B380" s="37"/>
      <c r="C380" s="38"/>
      <c r="D380" s="38"/>
      <c r="E380" s="37"/>
      <c r="F380" s="37"/>
      <c r="G380" s="36"/>
      <c r="H380" s="37"/>
      <c r="I380" s="37"/>
      <c r="J380" s="37"/>
      <c r="K380" s="37"/>
      <c r="L380" s="37"/>
      <c r="M380" s="37"/>
      <c r="N380" s="37"/>
      <c r="O380" s="37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DC3E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5.63"/>
    <col customWidth="1" min="2" max="2" width="8.0"/>
    <col customWidth="1" min="3" max="3" width="17.75"/>
    <col customWidth="1" min="4" max="4" width="13.0"/>
    <col customWidth="1" min="5" max="6" width="5.38"/>
    <col customWidth="1" min="7" max="21" width="8.25"/>
    <col customWidth="1" min="22" max="28" width="7.0"/>
  </cols>
  <sheetData>
    <row r="1" ht="13.5" customHeight="1">
      <c r="A1" s="39" t="s">
        <v>0</v>
      </c>
      <c r="B1" s="39" t="s">
        <v>1</v>
      </c>
      <c r="C1" s="40" t="s">
        <v>2</v>
      </c>
      <c r="D1" s="40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41"/>
      <c r="M1" s="42"/>
      <c r="N1" s="42"/>
      <c r="O1" s="42"/>
      <c r="P1" s="42"/>
      <c r="Q1" s="42"/>
      <c r="R1" s="42"/>
      <c r="S1" s="42"/>
      <c r="T1" s="42"/>
      <c r="U1" s="42"/>
      <c r="V1" s="43"/>
      <c r="W1" s="43"/>
      <c r="X1" s="43"/>
      <c r="Y1" s="43"/>
      <c r="Z1" s="44"/>
      <c r="AA1" s="45"/>
      <c r="AB1" s="46"/>
    </row>
    <row r="2" ht="13.5" customHeight="1">
      <c r="A2" s="47">
        <f>IFERROR(__xludf.DUMMYFUNCTION("importrange(""https://docs.google.com/spreadsheets/d/1SneboWg5ForOUIMyz7kk7PNTpQ7WlnVISde0cc3ncMg/edit?gid=350079654#gid=350079654"",""Resultats_H!A2:O180"")"),1.0)</f>
        <v>1</v>
      </c>
      <c r="B2" s="48" t="str">
        <f>IFERROR(__xludf.DUMMYFUNCTION("""COMPUTED_VALUE"""),"220")</f>
        <v>220</v>
      </c>
      <c r="C2" s="49" t="str">
        <f>IFERROR(__xludf.DUMMYFUNCTION("""COMPUTED_VALUE"""),"REGNIER")</f>
        <v>REGNIER</v>
      </c>
      <c r="D2" s="50" t="str">
        <f>IFERROR(__xludf.DUMMYFUNCTION("""COMPUTED_VALUE"""),"BENOIT")</f>
        <v>BENOIT</v>
      </c>
      <c r="E2" s="51" t="str">
        <f>IFERROR(__xludf.DUMMYFUNCTION("""COMPUTED_VALUE"""),"SH4")</f>
        <v>SH4</v>
      </c>
      <c r="F2" s="51">
        <f>IFERROR(__xludf.DUMMYFUNCTION("""COMPUTED_VALUE"""),1.0)</f>
        <v>1</v>
      </c>
      <c r="G2" s="52">
        <f>IFERROR(__xludf.DUMMYFUNCTION("""COMPUTED_VALUE"""),0.016342593717538826)</f>
        <v>0.01634259372</v>
      </c>
      <c r="H2" s="53">
        <f>IFERROR(__xludf.DUMMYFUNCTION("""COMPUTED_VALUE"""),0.002824074093448683)</f>
        <v>0.002824074093</v>
      </c>
      <c r="I2" s="53">
        <f>IFERROR(__xludf.DUMMYFUNCTION("""COMPUTED_VALUE"""),0.007037037070367344)</f>
        <v>0.00703703707</v>
      </c>
      <c r="J2" s="53">
        <f>IFERROR(__xludf.DUMMYFUNCTION("""COMPUTED_VALUE"""),0.005983797309151729)</f>
        <v>0.005983797309</v>
      </c>
      <c r="K2" s="54">
        <f>IFERROR(__xludf.DUMMYFUNCTION("""COMPUTED_VALUE"""),4.976852445710694E-4)</f>
        <v>0.0004976852446</v>
      </c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6"/>
      <c r="X2" s="56"/>
      <c r="Y2" s="56"/>
      <c r="Z2" s="57"/>
      <c r="AA2" s="58"/>
      <c r="AB2" s="59"/>
    </row>
    <row r="3" ht="13.5" customHeight="1">
      <c r="A3" s="60">
        <f>IFERROR(__xludf.DUMMYFUNCTION("""COMPUTED_VALUE"""),2.0)</f>
        <v>2</v>
      </c>
      <c r="B3" s="61" t="str">
        <f>IFERROR(__xludf.DUMMYFUNCTION("""COMPUTED_VALUE"""),"192")</f>
        <v>192</v>
      </c>
      <c r="C3" s="62" t="str">
        <f>IFERROR(__xludf.DUMMYFUNCTION("""COMPUTED_VALUE"""),"LEVEL")</f>
        <v>LEVEL</v>
      </c>
      <c r="D3" s="63" t="str">
        <f>IFERROR(__xludf.DUMMYFUNCTION("""COMPUTED_VALUE"""),"ROMAIN")</f>
        <v>ROMAIN</v>
      </c>
      <c r="E3" s="51" t="str">
        <f>IFERROR(__xludf.DUMMYFUNCTION("""COMPUTED_VALUE"""),"SH4")</f>
        <v>SH4</v>
      </c>
      <c r="F3" s="64">
        <f>IFERROR(__xludf.DUMMYFUNCTION("""COMPUTED_VALUE"""),2.0)</f>
        <v>2</v>
      </c>
      <c r="G3" s="52">
        <f>IFERROR(__xludf.DUMMYFUNCTION("""COMPUTED_VALUE"""),0.01701388935534628)</f>
        <v>0.01701388936</v>
      </c>
      <c r="H3" s="53">
        <f>IFERROR(__xludf.DUMMYFUNCTION("""COMPUTED_VALUE"""),0.0029629630688226584)</f>
        <v>0.002962963069</v>
      </c>
      <c r="I3" s="53">
        <f>IFERROR(__xludf.DUMMYFUNCTION("""COMPUTED_VALUE"""),0.006203703759525812)</f>
        <v>0.00620370376</v>
      </c>
      <c r="J3" s="53">
        <f>IFERROR(__xludf.DUMMYFUNCTION("""COMPUTED_VALUE"""),0.007407407723074929)</f>
        <v>0.007407407723</v>
      </c>
      <c r="K3" s="54">
        <f>IFERROR(__xludf.DUMMYFUNCTION("""COMPUTED_VALUE"""),4.3981480392288157E-4)</f>
        <v>0.0004398148039</v>
      </c>
      <c r="L3" s="55"/>
      <c r="M3" s="55"/>
      <c r="N3" s="55"/>
      <c r="O3" s="55"/>
      <c r="P3" s="55"/>
      <c r="Q3" s="55"/>
      <c r="R3" s="55"/>
      <c r="S3" s="55"/>
      <c r="T3" s="55"/>
      <c r="U3" s="55"/>
      <c r="V3" s="56"/>
      <c r="W3" s="56"/>
      <c r="X3" s="56"/>
      <c r="Y3" s="56"/>
      <c r="Z3" s="57"/>
      <c r="AA3" s="58"/>
      <c r="AB3" s="59"/>
    </row>
    <row r="4" ht="13.5" customHeight="1">
      <c r="A4" s="60">
        <f>IFERROR(__xludf.DUMMYFUNCTION("""COMPUTED_VALUE"""),3.0)</f>
        <v>3</v>
      </c>
      <c r="B4" s="61" t="str">
        <f>IFERROR(__xludf.DUMMYFUNCTION("""COMPUTED_VALUE"""),"153")</f>
        <v>153</v>
      </c>
      <c r="C4" s="62" t="str">
        <f>IFERROR(__xludf.DUMMYFUNCTION("""COMPUTED_VALUE"""),"SAUVIAT")</f>
        <v>SAUVIAT</v>
      </c>
      <c r="D4" s="63" t="str">
        <f>IFERROR(__xludf.DUMMYFUNCTION("""COMPUTED_VALUE"""),"MARC-ANTOINE")</f>
        <v>MARC-ANTOINE</v>
      </c>
      <c r="E4" s="51" t="str">
        <f>IFERROR(__xludf.DUMMYFUNCTION("""COMPUTED_VALUE"""),"SH3")</f>
        <v>SH3</v>
      </c>
      <c r="F4" s="64">
        <f>IFERROR(__xludf.DUMMYFUNCTION("""COMPUTED_VALUE"""),1.0)</f>
        <v>1</v>
      </c>
      <c r="G4" s="52">
        <f>IFERROR(__xludf.DUMMYFUNCTION("""COMPUTED_VALUE"""),0.017326389722227546)</f>
        <v>0.01732638972</v>
      </c>
      <c r="H4" s="53">
        <f>IFERROR(__xludf.DUMMYFUNCTION("""COMPUTED_VALUE"""),0.0031018519120091016)</f>
        <v>0.003101851912</v>
      </c>
      <c r="I4" s="53">
        <f>IFERROR(__xludf.DUMMYFUNCTION("""COMPUTED_VALUE"""),0.006967592611820918)</f>
        <v>0.006967592612</v>
      </c>
      <c r="J4" s="53">
        <f>IFERROR(__xludf.DUMMYFUNCTION("""COMPUTED_VALUE"""),0.00675925896425341)</f>
        <v>0.006759258964</v>
      </c>
      <c r="K4" s="54">
        <f>IFERROR(__xludf.DUMMYFUNCTION("""COMPUTED_VALUE"""),4.976862341441166E-4)</f>
        <v>0.0004976862341</v>
      </c>
      <c r="L4" s="55"/>
      <c r="M4" s="55"/>
      <c r="N4" s="55"/>
      <c r="O4" s="55"/>
      <c r="P4" s="55"/>
      <c r="Q4" s="55"/>
      <c r="R4" s="55"/>
      <c r="S4" s="55"/>
      <c r="T4" s="55"/>
      <c r="U4" s="55"/>
      <c r="V4" s="56"/>
      <c r="W4" s="56"/>
      <c r="X4" s="56"/>
      <c r="Y4" s="56"/>
      <c r="Z4" s="57"/>
      <c r="AA4" s="58"/>
      <c r="AB4" s="59"/>
    </row>
    <row r="5" ht="13.5" customHeight="1">
      <c r="A5" s="60">
        <f>IFERROR(__xludf.DUMMYFUNCTION("""COMPUTED_VALUE"""),4.0)</f>
        <v>4</v>
      </c>
      <c r="B5" s="61" t="str">
        <f>IFERROR(__xludf.DUMMYFUNCTION("""COMPUTED_VALUE"""),"221")</f>
        <v>221</v>
      </c>
      <c r="C5" s="62" t="str">
        <f>IFERROR(__xludf.DUMMYFUNCTION("""COMPUTED_VALUE"""),"FROMENTEAU")</f>
        <v>FROMENTEAU</v>
      </c>
      <c r="D5" s="63" t="str">
        <f>IFERROR(__xludf.DUMMYFUNCTION("""COMPUTED_VALUE"""),"MATTHIEU")</f>
        <v>MATTHIEU</v>
      </c>
      <c r="E5" s="51" t="str">
        <f>IFERROR(__xludf.DUMMYFUNCTION("""COMPUTED_VALUE"""),"SH3")</f>
        <v>SH3</v>
      </c>
      <c r="F5" s="64">
        <f>IFERROR(__xludf.DUMMYFUNCTION("""COMPUTED_VALUE"""),2.0)</f>
        <v>2</v>
      </c>
      <c r="G5" s="52">
        <f>IFERROR(__xludf.DUMMYFUNCTION("""COMPUTED_VALUE"""),0.017731481948815582)</f>
        <v>0.01773148195</v>
      </c>
      <c r="H5" s="53">
        <f>IFERROR(__xludf.DUMMYFUNCTION("""COMPUTED_VALUE"""),0.00292824083000961)</f>
        <v>0.00292824083</v>
      </c>
      <c r="I5" s="53">
        <f>IFERROR(__xludf.DUMMYFUNCTION("""COMPUTED_VALUE"""),0.007002314898084527)</f>
        <v>0.007002314898</v>
      </c>
      <c r="J5" s="53">
        <f>IFERROR(__xludf.DUMMYFUNCTION("""COMPUTED_VALUE"""),0.007395833104588707)</f>
        <v>0.007395833105</v>
      </c>
      <c r="K5" s="54">
        <f>IFERROR(__xludf.DUMMYFUNCTION("""COMPUTED_VALUE"""),4.0509311613273844E-4)</f>
        <v>0.0004050931161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6"/>
      <c r="W5" s="56"/>
      <c r="X5" s="56"/>
      <c r="Y5" s="56"/>
      <c r="Z5" s="57"/>
      <c r="AA5" s="58"/>
      <c r="AB5" s="59"/>
    </row>
    <row r="6" ht="13.5" customHeight="1">
      <c r="A6" s="60">
        <f>IFERROR(__xludf.DUMMYFUNCTION("""COMPUTED_VALUE"""),5.0)</f>
        <v>5</v>
      </c>
      <c r="B6" s="61" t="str">
        <f>IFERROR(__xludf.DUMMYFUNCTION("""COMPUTED_VALUE"""),"215")</f>
        <v>215</v>
      </c>
      <c r="C6" s="62" t="str">
        <f>IFERROR(__xludf.DUMMYFUNCTION("""COMPUTED_VALUE"""),"OUSTRY")</f>
        <v>OUSTRY</v>
      </c>
      <c r="D6" s="63" t="str">
        <f>IFERROR(__xludf.DUMMYFUNCTION("""COMPUTED_VALUE"""),"JULIEN")</f>
        <v>JULIEN</v>
      </c>
      <c r="E6" s="51" t="str">
        <f>IFERROR(__xludf.DUMMYFUNCTION("""COMPUTED_VALUE"""),"SH4")</f>
        <v>SH4</v>
      </c>
      <c r="F6" s="64">
        <f>IFERROR(__xludf.DUMMYFUNCTION("""COMPUTED_VALUE"""),3.0)</f>
        <v>3</v>
      </c>
      <c r="G6" s="52">
        <f>IFERROR(__xludf.DUMMYFUNCTION("""COMPUTED_VALUE"""),0.017870371419474763)</f>
        <v>0.01787037142</v>
      </c>
      <c r="H6" s="53">
        <f>IFERROR(__xludf.DUMMYFUNCTION("""COMPUTED_VALUE"""),0.002719907502794591)</f>
        <v>0.002719907503</v>
      </c>
      <c r="I6" s="53">
        <f>IFERROR(__xludf.DUMMYFUNCTION("""COMPUTED_VALUE"""),0.00716435188884662)</f>
        <v>0.007164351889</v>
      </c>
      <c r="J6" s="53">
        <f>IFERROR(__xludf.DUMMYFUNCTION("""COMPUTED_VALUE"""),0.007488426685071029)</f>
        <v>0.007488426685</v>
      </c>
      <c r="K6" s="54">
        <f>IFERROR(__xludf.DUMMYFUNCTION("""COMPUTED_VALUE"""),4.97685342762524E-4)</f>
        <v>0.0004976853428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6"/>
      <c r="W6" s="56"/>
      <c r="X6" s="56"/>
      <c r="Y6" s="56"/>
      <c r="Z6" s="57"/>
      <c r="AA6" s="58"/>
      <c r="AB6" s="59"/>
    </row>
    <row r="7" ht="13.5" customHeight="1">
      <c r="A7" s="60">
        <f>IFERROR(__xludf.DUMMYFUNCTION("""COMPUTED_VALUE"""),6.0)</f>
        <v>6</v>
      </c>
      <c r="B7" s="61" t="str">
        <f>IFERROR(__xludf.DUMMYFUNCTION("""COMPUTED_VALUE"""),"218")</f>
        <v>218</v>
      </c>
      <c r="C7" s="62" t="str">
        <f>IFERROR(__xludf.DUMMYFUNCTION("""COMPUTED_VALUE"""),"KERGOAT")</f>
        <v>KERGOAT</v>
      </c>
      <c r="D7" s="63" t="str">
        <f>IFERROR(__xludf.DUMMYFUNCTION("""COMPUTED_VALUE"""),"FRANCOIS")</f>
        <v>FRANCOIS</v>
      </c>
      <c r="E7" s="51" t="str">
        <f>IFERROR(__xludf.DUMMYFUNCTION("""COMPUTED_VALUE"""),"SH4")</f>
        <v>SH4</v>
      </c>
      <c r="F7" s="64">
        <f>IFERROR(__xludf.DUMMYFUNCTION("""COMPUTED_VALUE"""),4.0)</f>
        <v>4</v>
      </c>
      <c r="G7" s="52">
        <f>IFERROR(__xludf.DUMMYFUNCTION("""COMPUTED_VALUE"""),0.017893518664576866)</f>
        <v>0.01789351866</v>
      </c>
      <c r="H7" s="53">
        <f>IFERROR(__xludf.DUMMYFUNCTION("""COMPUTED_VALUE"""),0.002986111113312133)</f>
        <v>0.002986111113</v>
      </c>
      <c r="I7" s="53">
        <f>IFERROR(__xludf.DUMMYFUNCTION("""COMPUTED_VALUE"""),0.007141203762140915)</f>
        <v>0.007141203762</v>
      </c>
      <c r="J7" s="53">
        <f>IFERROR(__xludf.DUMMYFUNCTION("""COMPUTED_VALUE"""),0.006979166283490533)</f>
        <v>0.006979166283</v>
      </c>
      <c r="K7" s="54">
        <f>IFERROR(__xludf.DUMMYFUNCTION("""COMPUTED_VALUE"""),7.870375056332848E-4)</f>
        <v>0.0007870375056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6"/>
      <c r="W7" s="56"/>
      <c r="X7" s="56"/>
      <c r="Y7" s="56"/>
      <c r="Z7" s="57"/>
      <c r="AA7" s="58"/>
      <c r="AB7" s="59"/>
    </row>
    <row r="8" ht="13.5" customHeight="1">
      <c r="A8" s="60">
        <f>IFERROR(__xludf.DUMMYFUNCTION("""COMPUTED_VALUE"""),7.0)</f>
        <v>7</v>
      </c>
      <c r="B8" s="61" t="str">
        <f>IFERROR(__xludf.DUMMYFUNCTION("""COMPUTED_VALUE"""),"133")</f>
        <v>133</v>
      </c>
      <c r="C8" s="62" t="str">
        <f>IFERROR(__xludf.DUMMYFUNCTION("""COMPUTED_VALUE"""),"ROSANVALLON")</f>
        <v>ROSANVALLON</v>
      </c>
      <c r="D8" s="63" t="str">
        <f>IFERROR(__xludf.DUMMYFUNCTION("""COMPUTED_VALUE"""),"JÉRÉMIE")</f>
        <v>JÉRÉMIE</v>
      </c>
      <c r="E8" s="51" t="str">
        <f>IFERROR(__xludf.DUMMYFUNCTION("""COMPUTED_VALUE"""),"MH2")</f>
        <v>MH2</v>
      </c>
      <c r="F8" s="64">
        <f>IFERROR(__xludf.DUMMYFUNCTION("""COMPUTED_VALUE"""),1.0)</f>
        <v>1</v>
      </c>
      <c r="G8" s="52">
        <f>IFERROR(__xludf.DUMMYFUNCTION("""COMPUTED_VALUE"""),0.017974537292888285)</f>
        <v>0.01797453729</v>
      </c>
      <c r="H8" s="53">
        <f>IFERROR(__xludf.DUMMYFUNCTION("""COMPUTED_VALUE"""),0.0035995371434428677)</f>
        <v>0.003599537143</v>
      </c>
      <c r="I8" s="53">
        <f>IFERROR(__xludf.DUMMYFUNCTION("""COMPUTED_VALUE"""),0.006053240790774919)</f>
        <v>0.006053240791</v>
      </c>
      <c r="J8" s="53">
        <f>IFERROR(__xludf.DUMMYFUNCTION("""COMPUTED_VALUE"""),0.007743054866994234)</f>
        <v>0.007743054867</v>
      </c>
      <c r="K8" s="54">
        <f>IFERROR(__xludf.DUMMYFUNCTION("""COMPUTED_VALUE"""),5.787044916762641E-4)</f>
        <v>0.0005787044917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6"/>
      <c r="W8" s="56"/>
      <c r="X8" s="56"/>
      <c r="Y8" s="56"/>
      <c r="Z8" s="57"/>
      <c r="AA8" s="58"/>
      <c r="AB8" s="59"/>
    </row>
    <row r="9" ht="13.5" customHeight="1">
      <c r="A9" s="60">
        <f>IFERROR(__xludf.DUMMYFUNCTION("""COMPUTED_VALUE"""),8.0)</f>
        <v>8</v>
      </c>
      <c r="B9" s="61" t="str">
        <f>IFERROR(__xludf.DUMMYFUNCTION("""COMPUTED_VALUE"""),"132")</f>
        <v>132</v>
      </c>
      <c r="C9" s="62" t="str">
        <f>IFERROR(__xludf.DUMMYFUNCTION("""COMPUTED_VALUE"""),"LEDOUX")</f>
        <v>LEDOUX</v>
      </c>
      <c r="D9" s="63" t="str">
        <f>IFERROR(__xludf.DUMMYFUNCTION("""COMPUTED_VALUE"""),"VINCENT")</f>
        <v>VINCENT</v>
      </c>
      <c r="E9" s="51" t="str">
        <f>IFERROR(__xludf.DUMMYFUNCTION("""COMPUTED_VALUE"""),"SH3")</f>
        <v>SH3</v>
      </c>
      <c r="F9" s="64">
        <f>IFERROR(__xludf.DUMMYFUNCTION("""COMPUTED_VALUE"""),3.0)</f>
        <v>3</v>
      </c>
      <c r="G9" s="52">
        <f>IFERROR(__xludf.DUMMYFUNCTION("""COMPUTED_VALUE"""),0.017986112144996205)</f>
        <v>0.01798611214</v>
      </c>
      <c r="H9" s="53">
        <f>IFERROR(__xludf.DUMMYFUNCTION("""COMPUTED_VALUE"""),0.0034722222267817566)</f>
        <v>0.003472222227</v>
      </c>
      <c r="I9" s="53">
        <f>IFERROR(__xludf.DUMMYFUNCTION("""COMPUTED_VALUE"""),0.006712962983883255)</f>
        <v>0.006712962984</v>
      </c>
      <c r="J9" s="53">
        <f>IFERROR(__xludf.DUMMYFUNCTION("""COMPUTED_VALUE"""),0.00721064852974194)</f>
        <v>0.00721064853</v>
      </c>
      <c r="K9" s="54">
        <f>IFERROR(__xludf.DUMMYFUNCTION("""COMPUTED_VALUE"""),5.902784045892537E-4)</f>
        <v>0.0005902784046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6"/>
      <c r="W9" s="56"/>
      <c r="X9" s="56"/>
      <c r="Y9" s="56"/>
      <c r="Z9" s="57"/>
      <c r="AA9" s="58"/>
      <c r="AB9" s="59"/>
    </row>
    <row r="10" ht="13.5" customHeight="1">
      <c r="A10" s="60">
        <f>IFERROR(__xludf.DUMMYFUNCTION("""COMPUTED_VALUE"""),9.0)</f>
        <v>9</v>
      </c>
      <c r="B10" s="61" t="str">
        <f>IFERROR(__xludf.DUMMYFUNCTION("""COMPUTED_VALUE"""),"205")</f>
        <v>205</v>
      </c>
      <c r="C10" s="62" t="str">
        <f>IFERROR(__xludf.DUMMYFUNCTION("""COMPUTED_VALUE"""),"MARTIN")</f>
        <v>MARTIN</v>
      </c>
      <c r="D10" s="63" t="str">
        <f>IFERROR(__xludf.DUMMYFUNCTION("""COMPUTED_VALUE"""),"NICOLAS")</f>
        <v>NICOLAS</v>
      </c>
      <c r="E10" s="51" t="str">
        <f>IFERROR(__xludf.DUMMYFUNCTION("""COMPUTED_VALUE"""),"MH1")</f>
        <v>MH1</v>
      </c>
      <c r="F10" s="64">
        <f>IFERROR(__xludf.DUMMYFUNCTION("""COMPUTED_VALUE"""),1.0)</f>
        <v>1</v>
      </c>
      <c r="G10" s="52">
        <f>IFERROR(__xludf.DUMMYFUNCTION("""COMPUTED_VALUE"""),0.018159722436965547)</f>
        <v>0.01815972244</v>
      </c>
      <c r="H10" s="53">
        <f>IFERROR(__xludf.DUMMYFUNCTION("""COMPUTED_VALUE"""),0.003078703808924521)</f>
        <v>0.003078703809</v>
      </c>
      <c r="I10" s="53">
        <f>IFERROR(__xludf.DUMMYFUNCTION("""COMPUTED_VALUE"""),0.007210648236009258)</f>
        <v>0.007210648236</v>
      </c>
      <c r="J10" s="53">
        <f>IFERROR(__xludf.DUMMYFUNCTION("""COMPUTED_VALUE"""),0.00739583331789034)</f>
        <v>0.007395833318</v>
      </c>
      <c r="K10" s="54">
        <f>IFERROR(__xludf.DUMMYFUNCTION("""COMPUTED_VALUE"""),4.745370741414275E-4)</f>
        <v>0.0004745370741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6"/>
      <c r="W10" s="56"/>
      <c r="X10" s="56"/>
      <c r="Y10" s="56"/>
      <c r="Z10" s="57"/>
      <c r="AA10" s="58"/>
      <c r="AB10" s="59"/>
    </row>
    <row r="11" ht="13.5" customHeight="1">
      <c r="A11" s="60">
        <f>IFERROR(__xludf.DUMMYFUNCTION("""COMPUTED_VALUE"""),10.0)</f>
        <v>10</v>
      </c>
      <c r="B11" s="61" t="str">
        <f>IFERROR(__xludf.DUMMYFUNCTION("""COMPUTED_VALUE"""),"222")</f>
        <v>222</v>
      </c>
      <c r="C11" s="62" t="str">
        <f>IFERROR(__xludf.DUMMYFUNCTION("""COMPUTED_VALUE"""),"DECANTER")</f>
        <v>DECANTER</v>
      </c>
      <c r="D11" s="63" t="str">
        <f>IFERROR(__xludf.DUMMYFUNCTION("""COMPUTED_VALUE"""),"MATTHIAS")</f>
        <v>MATTHIAS</v>
      </c>
      <c r="E11" s="51" t="str">
        <f>IFERROR(__xludf.DUMMYFUNCTION("""COMPUTED_VALUE"""),"MH2")</f>
        <v>MH2</v>
      </c>
      <c r="F11" s="64">
        <f>IFERROR(__xludf.DUMMYFUNCTION("""COMPUTED_VALUE"""),2.0)</f>
        <v>2</v>
      </c>
      <c r="G11" s="52">
        <f>IFERROR(__xludf.DUMMYFUNCTION("""COMPUTED_VALUE"""),0.01831018621949648)</f>
        <v>0.01831018622</v>
      </c>
      <c r="H11" s="53">
        <f>IFERROR(__xludf.DUMMYFUNCTION("""COMPUTED_VALUE"""),0.002824074104806017)</f>
        <v>0.002824074105</v>
      </c>
      <c r="I11" s="53">
        <f>IFERROR(__xludf.DUMMYFUNCTION("""COMPUTED_VALUE"""),0.00694444451822039)</f>
        <v>0.006944444518</v>
      </c>
      <c r="J11" s="53">
        <f>IFERROR(__xludf.DUMMYFUNCTION("""COMPUTED_VALUE"""),0.007719907784390688)</f>
        <v>0.007719907784</v>
      </c>
      <c r="K11" s="54">
        <f>IFERROR(__xludf.DUMMYFUNCTION("""COMPUTED_VALUE"""),8.217598120793842E-4)</f>
        <v>0.0008217598121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6"/>
      <c r="W11" s="56"/>
      <c r="X11" s="56"/>
      <c r="Y11" s="56"/>
      <c r="Z11" s="57"/>
      <c r="AA11" s="58"/>
      <c r="AB11" s="59"/>
    </row>
    <row r="12" ht="13.5" customHeight="1">
      <c r="A12" s="60">
        <f>IFERROR(__xludf.DUMMYFUNCTION("""COMPUTED_VALUE"""),11.0)</f>
        <v>11</v>
      </c>
      <c r="B12" s="61" t="str">
        <f>IFERROR(__xludf.DUMMYFUNCTION("""COMPUTED_VALUE"""),"203")</f>
        <v>203</v>
      </c>
      <c r="C12" s="62" t="str">
        <f>IFERROR(__xludf.DUMMYFUNCTION("""COMPUTED_VALUE"""),"ELISA")</f>
        <v>ELISA</v>
      </c>
      <c r="D12" s="63" t="str">
        <f>IFERROR(__xludf.DUMMYFUNCTION("""COMPUTED_VALUE"""),"ANTOINE")</f>
        <v>ANTOINE</v>
      </c>
      <c r="E12" s="51" t="str">
        <f>IFERROR(__xludf.DUMMYFUNCTION("""COMPUTED_VALUE"""),"SH4")</f>
        <v>SH4</v>
      </c>
      <c r="F12" s="64">
        <f>IFERROR(__xludf.DUMMYFUNCTION("""COMPUTED_VALUE"""),5.0)</f>
        <v>5</v>
      </c>
      <c r="G12" s="52">
        <f>IFERROR(__xludf.DUMMYFUNCTION("""COMPUTED_VALUE"""),0.018437500331969735)</f>
        <v>0.01843750033</v>
      </c>
      <c r="H12" s="53">
        <f>IFERROR(__xludf.DUMMYFUNCTION("""COMPUTED_VALUE"""),0.0032638889396542294)</f>
        <v>0.00326388894</v>
      </c>
      <c r="I12" s="53">
        <f>IFERROR(__xludf.DUMMYFUNCTION("""COMPUTED_VALUE"""),0.007175925930398353)</f>
        <v>0.00717592593</v>
      </c>
      <c r="J12" s="53">
        <f>IFERROR(__xludf.DUMMYFUNCTION("""COMPUTED_VALUE"""),0.007094907049153431)</f>
        <v>0.007094907049</v>
      </c>
      <c r="K12" s="54">
        <f>IFERROR(__xludf.DUMMYFUNCTION("""COMPUTED_VALUE"""),9.027784127637229E-4)</f>
        <v>0.0009027784128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6"/>
      <c r="W12" s="56"/>
      <c r="X12" s="56"/>
      <c r="Y12" s="56"/>
      <c r="Z12" s="57"/>
      <c r="AA12" s="58"/>
      <c r="AB12" s="59"/>
    </row>
    <row r="13" ht="13.5" customHeight="1">
      <c r="A13" s="60">
        <f>IFERROR(__xludf.DUMMYFUNCTION("""COMPUTED_VALUE"""),12.0)</f>
        <v>12</v>
      </c>
      <c r="B13" s="61" t="str">
        <f>IFERROR(__xludf.DUMMYFUNCTION("""COMPUTED_VALUE"""),"178")</f>
        <v>178</v>
      </c>
      <c r="C13" s="62" t="str">
        <f>IFERROR(__xludf.DUMMYFUNCTION("""COMPUTED_VALUE"""),"ACHITE-HENNI")</f>
        <v>ACHITE-HENNI</v>
      </c>
      <c r="D13" s="63" t="str">
        <f>IFERROR(__xludf.DUMMYFUNCTION("""COMPUTED_VALUE"""),"SELIM")</f>
        <v>SELIM</v>
      </c>
      <c r="E13" s="51" t="str">
        <f>IFERROR(__xludf.DUMMYFUNCTION("""COMPUTED_VALUE"""),"SH3")</f>
        <v>SH3</v>
      </c>
      <c r="F13" s="64">
        <f>IFERROR(__xludf.DUMMYFUNCTION("""COMPUTED_VALUE"""),4.0)</f>
        <v>4</v>
      </c>
      <c r="G13" s="52">
        <f>IFERROR(__xludf.DUMMYFUNCTION("""COMPUTED_VALUE"""),0.018437500408239695)</f>
        <v>0.01843750041</v>
      </c>
      <c r="H13" s="53">
        <f>IFERROR(__xludf.DUMMYFUNCTION("""COMPUTED_VALUE"""),0.0034722222317054656)</f>
        <v>0.003472222232</v>
      </c>
      <c r="I13" s="53">
        <f>IFERROR(__xludf.DUMMYFUNCTION("""COMPUTED_VALUE"""),0.006909722320446284)</f>
        <v>0.00690972232</v>
      </c>
      <c r="J13" s="53">
        <f>IFERROR(__xludf.DUMMYFUNCTION("""COMPUTED_VALUE"""),0.0074305554383709334)</f>
        <v>0.007430555438</v>
      </c>
      <c r="K13" s="54">
        <f>IFERROR(__xludf.DUMMYFUNCTION("""COMPUTED_VALUE"""),6.250004177170113E-4)</f>
        <v>0.0006250004177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6"/>
      <c r="W13" s="56"/>
      <c r="X13" s="56"/>
      <c r="Y13" s="56"/>
      <c r="Z13" s="57"/>
      <c r="AA13" s="58"/>
      <c r="AB13" s="59"/>
    </row>
    <row r="14" ht="13.5" customHeight="1">
      <c r="A14" s="60">
        <f>IFERROR(__xludf.DUMMYFUNCTION("""COMPUTED_VALUE"""),13.0)</f>
        <v>13</v>
      </c>
      <c r="B14" s="61" t="str">
        <f>IFERROR(__xludf.DUMMYFUNCTION("""COMPUTED_VALUE"""),"179")</f>
        <v>179</v>
      </c>
      <c r="C14" s="62" t="str">
        <f>IFERROR(__xludf.DUMMYFUNCTION("""COMPUTED_VALUE"""),"ONALI")</f>
        <v>ONALI</v>
      </c>
      <c r="D14" s="63" t="str">
        <f>IFERROR(__xludf.DUMMYFUNCTION("""COMPUTED_VALUE"""),"GEORGES LUCIEN")</f>
        <v>GEORGES LUCIEN</v>
      </c>
      <c r="E14" s="51" t="str">
        <f>IFERROR(__xludf.DUMMYFUNCTION("""COMPUTED_VALUE"""),"MH4")</f>
        <v>MH4</v>
      </c>
      <c r="F14" s="64">
        <f>IFERROR(__xludf.DUMMYFUNCTION("""COMPUTED_VALUE"""),1.0)</f>
        <v>1</v>
      </c>
      <c r="G14" s="52">
        <f>IFERROR(__xludf.DUMMYFUNCTION("""COMPUTED_VALUE"""),0.01853009310707559)</f>
        <v>0.01853009311</v>
      </c>
      <c r="H14" s="53">
        <f>IFERROR(__xludf.DUMMYFUNCTION("""COMPUTED_VALUE"""),0.003321759336733525)</f>
        <v>0.003321759337</v>
      </c>
      <c r="I14" s="53">
        <f>IFERROR(__xludf.DUMMYFUNCTION("""COMPUTED_VALUE"""),0.006863425965849519)</f>
        <v>0.006863425966</v>
      </c>
      <c r="J14" s="53">
        <f>IFERROR(__xludf.DUMMYFUNCTION("""COMPUTED_VALUE"""),0.007511573884827746)</f>
        <v>0.007511573885</v>
      </c>
      <c r="K14" s="54">
        <f>IFERROR(__xludf.DUMMYFUNCTION("""COMPUTED_VALUE"""),8.333339196647991E-4)</f>
        <v>0.0008333339197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6"/>
      <c r="W14" s="56"/>
      <c r="X14" s="56"/>
      <c r="Y14" s="56"/>
      <c r="Z14" s="57"/>
      <c r="AA14" s="58"/>
      <c r="AB14" s="59"/>
    </row>
    <row r="15" ht="13.5" customHeight="1">
      <c r="A15" s="60">
        <f>IFERROR(__xludf.DUMMYFUNCTION("""COMPUTED_VALUE"""),14.0)</f>
        <v>14</v>
      </c>
      <c r="B15" s="61" t="str">
        <f>IFERROR(__xludf.DUMMYFUNCTION("""COMPUTED_VALUE"""),"136")</f>
        <v>136</v>
      </c>
      <c r="C15" s="62" t="str">
        <f>IFERROR(__xludf.DUMMYFUNCTION("""COMPUTED_VALUE"""),"PUISAIS-HEE")</f>
        <v>PUISAIS-HEE</v>
      </c>
      <c r="D15" s="63" t="str">
        <f>IFERROR(__xludf.DUMMYFUNCTION("""COMPUTED_VALUE"""),"LUC")</f>
        <v>LUC</v>
      </c>
      <c r="E15" s="51" t="str">
        <f>IFERROR(__xludf.DUMMYFUNCTION("""COMPUTED_VALUE"""),"MH1")</f>
        <v>MH1</v>
      </c>
      <c r="F15" s="64">
        <f>IFERROR(__xludf.DUMMYFUNCTION("""COMPUTED_VALUE"""),2.0)</f>
        <v>2</v>
      </c>
      <c r="G15" s="52">
        <f>IFERROR(__xludf.DUMMYFUNCTION("""COMPUTED_VALUE"""),0.018530093513289977)</f>
        <v>0.01853009351</v>
      </c>
      <c r="H15" s="53">
        <f>IFERROR(__xludf.DUMMYFUNCTION("""COMPUTED_VALUE"""),0.0037500000759284912)</f>
        <v>0.003750000076</v>
      </c>
      <c r="I15" s="53">
        <f>IFERROR(__xludf.DUMMYFUNCTION("""COMPUTED_VALUE"""),0.007916666762610694)</f>
        <v>0.007916666763</v>
      </c>
      <c r="J15" s="53">
        <f>IFERROR(__xludf.DUMMYFUNCTION("""COMPUTED_VALUE"""),0.006076389041790668)</f>
        <v>0.006076389042</v>
      </c>
      <c r="K15" s="54">
        <f>IFERROR(__xludf.DUMMYFUNCTION("""COMPUTED_VALUE"""),7.87037632960124E-4)</f>
        <v>0.000787037633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6"/>
      <c r="W15" s="56"/>
      <c r="X15" s="56"/>
      <c r="Y15" s="56"/>
      <c r="Z15" s="57"/>
      <c r="AA15" s="58"/>
      <c r="AB15" s="59"/>
    </row>
    <row r="16" ht="13.5" customHeight="1">
      <c r="A16" s="60">
        <f>IFERROR(__xludf.DUMMYFUNCTION("""COMPUTED_VALUE"""),15.0)</f>
        <v>15</v>
      </c>
      <c r="B16" s="61" t="str">
        <f>IFERROR(__xludf.DUMMYFUNCTION("""COMPUTED_VALUE"""),"202")</f>
        <v>202</v>
      </c>
      <c r="C16" s="62" t="str">
        <f>IFERROR(__xludf.DUMMYFUNCTION("""COMPUTED_VALUE"""),"CAYROU")</f>
        <v>CAYROU</v>
      </c>
      <c r="D16" s="63" t="str">
        <f>IFERROR(__xludf.DUMMYFUNCTION("""COMPUTED_VALUE"""),"BENJAMIN")</f>
        <v>BENJAMIN</v>
      </c>
      <c r="E16" s="51" t="str">
        <f>IFERROR(__xludf.DUMMYFUNCTION("""COMPUTED_VALUE"""),"MH2")</f>
        <v>MH2</v>
      </c>
      <c r="F16" s="64">
        <f>IFERROR(__xludf.DUMMYFUNCTION("""COMPUTED_VALUE"""),3.0)</f>
        <v>3</v>
      </c>
      <c r="G16" s="52">
        <f>IFERROR(__xludf.DUMMYFUNCTION("""COMPUTED_VALUE"""),0.01856481524108823)</f>
        <v>0.01856481524</v>
      </c>
      <c r="H16" s="53">
        <f>IFERROR(__xludf.DUMMYFUNCTION("""COMPUTED_VALUE"""),0.0034259260094017894)</f>
        <v>0.003425926009</v>
      </c>
      <c r="I16" s="53">
        <f>IFERROR(__xludf.DUMMYFUNCTION("""COMPUTED_VALUE"""),0.006840277792998613)</f>
        <v>0.006840277793</v>
      </c>
      <c r="J16" s="53">
        <f>IFERROR(__xludf.DUMMYFUNCTION("""COMPUTED_VALUE"""),0.007719907073908922)</f>
        <v>0.007719907074</v>
      </c>
      <c r="K16" s="54">
        <f>IFERROR(__xludf.DUMMYFUNCTION("""COMPUTED_VALUE"""),5.787043647789069E-4)</f>
        <v>0.0005787043648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6"/>
      <c r="W16" s="56"/>
      <c r="X16" s="56"/>
      <c r="Y16" s="56"/>
      <c r="Z16" s="57"/>
      <c r="AA16" s="58"/>
      <c r="AB16" s="59"/>
    </row>
    <row r="17" ht="13.5" customHeight="1">
      <c r="A17" s="60">
        <f>IFERROR(__xludf.DUMMYFUNCTION("""COMPUTED_VALUE"""),16.0)</f>
        <v>16</v>
      </c>
      <c r="B17" s="61" t="str">
        <f>IFERROR(__xludf.DUMMYFUNCTION("""COMPUTED_VALUE"""),"216")</f>
        <v>216</v>
      </c>
      <c r="C17" s="62" t="str">
        <f>IFERROR(__xludf.DUMMYFUNCTION("""COMPUTED_VALUE"""),"GRAZIANI")</f>
        <v>GRAZIANI</v>
      </c>
      <c r="D17" s="63" t="str">
        <f>IFERROR(__xludf.DUMMYFUNCTION("""COMPUTED_VALUE"""),"LEO")</f>
        <v>LEO</v>
      </c>
      <c r="E17" s="51" t="str">
        <f>IFERROR(__xludf.DUMMYFUNCTION("""COMPUTED_VALUE"""),"SH3")</f>
        <v>SH3</v>
      </c>
      <c r="F17" s="64">
        <f>IFERROR(__xludf.DUMMYFUNCTION("""COMPUTED_VALUE"""),5.0)</f>
        <v>5</v>
      </c>
      <c r="G17" s="52">
        <f>IFERROR(__xludf.DUMMYFUNCTION("""COMPUTED_VALUE"""),0.0185763889037024)</f>
        <v>0.0185763889</v>
      </c>
      <c r="H17" s="53">
        <f>IFERROR(__xludf.DUMMYFUNCTION("""COMPUTED_VALUE"""),0.003796296332868693)</f>
        <v>0.003796296333</v>
      </c>
      <c r="I17" s="53">
        <f>IFERROR(__xludf.DUMMYFUNCTION("""COMPUTED_VALUE"""),0.006307870464210046)</f>
        <v>0.006307870464</v>
      </c>
      <c r="J17" s="53">
        <f>IFERROR(__xludf.DUMMYFUNCTION("""COMPUTED_VALUE"""),0.007870369338382376)</f>
        <v>0.007870369338</v>
      </c>
      <c r="K17" s="54">
        <f>IFERROR(__xludf.DUMMYFUNCTION("""COMPUTED_VALUE"""),6.018527682412848E-4)</f>
        <v>0.0006018527682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6"/>
      <c r="W17" s="56"/>
      <c r="X17" s="56"/>
      <c r="Y17" s="56"/>
      <c r="Z17" s="57"/>
      <c r="AA17" s="58"/>
      <c r="AB17" s="59"/>
    </row>
    <row r="18" ht="13.5" customHeight="1">
      <c r="A18" s="60">
        <f>IFERROR(__xludf.DUMMYFUNCTION("""COMPUTED_VALUE"""),17.0)</f>
        <v>17</v>
      </c>
      <c r="B18" s="61" t="str">
        <f>IFERROR(__xludf.DUMMYFUNCTION("""COMPUTED_VALUE"""),"120")</f>
        <v>120</v>
      </c>
      <c r="C18" s="62" t="str">
        <f>IFERROR(__xludf.DUMMYFUNCTION("""COMPUTED_VALUE"""),"CAMPAIN")</f>
        <v>CAMPAIN</v>
      </c>
      <c r="D18" s="63" t="str">
        <f>IFERROR(__xludf.DUMMYFUNCTION("""COMPUTED_VALUE"""),"TIMOTHEE")</f>
        <v>TIMOTHEE</v>
      </c>
      <c r="E18" s="51" t="str">
        <f>IFERROR(__xludf.DUMMYFUNCTION("""COMPUTED_VALUE"""),"SH3")</f>
        <v>SH3</v>
      </c>
      <c r="F18" s="64">
        <f>IFERROR(__xludf.DUMMYFUNCTION("""COMPUTED_VALUE"""),6.0)</f>
        <v>6</v>
      </c>
      <c r="G18" s="52">
        <f>IFERROR(__xludf.DUMMYFUNCTION("""COMPUTED_VALUE"""),0.01864583334569759)</f>
        <v>0.01864583335</v>
      </c>
      <c r="H18" s="53">
        <f>IFERROR(__xludf.DUMMYFUNCTION("""COMPUTED_VALUE"""),0.0028587963586603825)</f>
        <v>0.002858796359</v>
      </c>
      <c r="I18" s="53">
        <f>IFERROR(__xludf.DUMMYFUNCTION("""COMPUTED_VALUE"""),0.007106481575496299)</f>
        <v>0.007106481575</v>
      </c>
      <c r="J18" s="53">
        <f>IFERROR(__xludf.DUMMYFUNCTION("""COMPUTED_VALUE"""),0.007870369695256924)</f>
        <v>0.007870369695</v>
      </c>
      <c r="K18" s="54">
        <f>IFERROR(__xludf.DUMMYFUNCTION("""COMPUTED_VALUE"""),8.101857162839845E-4)</f>
        <v>0.0008101857163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6"/>
      <c r="W18" s="56"/>
      <c r="X18" s="56"/>
      <c r="Y18" s="56"/>
      <c r="Z18" s="57"/>
      <c r="AA18" s="58"/>
      <c r="AB18" s="59"/>
    </row>
    <row r="19" ht="13.5" customHeight="1">
      <c r="A19" s="60">
        <f>IFERROR(__xludf.DUMMYFUNCTION("""COMPUTED_VALUE"""),18.0)</f>
        <v>18</v>
      </c>
      <c r="B19" s="61" t="str">
        <f>IFERROR(__xludf.DUMMYFUNCTION("""COMPUTED_VALUE"""),"204")</f>
        <v>204</v>
      </c>
      <c r="C19" s="62" t="str">
        <f>IFERROR(__xludf.DUMMYFUNCTION("""COMPUTED_VALUE"""),"BULMAN")</f>
        <v>BULMAN</v>
      </c>
      <c r="D19" s="63" t="str">
        <f>IFERROR(__xludf.DUMMYFUNCTION("""COMPUTED_VALUE"""),"TIMOTHY")</f>
        <v>TIMOTHY</v>
      </c>
      <c r="E19" s="51" t="str">
        <f>IFERROR(__xludf.DUMMYFUNCTION("""COMPUTED_VALUE"""),"MH2")</f>
        <v>MH2</v>
      </c>
      <c r="F19" s="64">
        <f>IFERROR(__xludf.DUMMYFUNCTION("""COMPUTED_VALUE"""),4.0)</f>
        <v>4</v>
      </c>
      <c r="G19" s="52">
        <f>IFERROR(__xludf.DUMMYFUNCTION("""COMPUTED_VALUE"""),0.01864583417188145)</f>
        <v>0.01864583417</v>
      </c>
      <c r="H19" s="53">
        <f>IFERROR(__xludf.DUMMYFUNCTION("""COMPUTED_VALUE"""),0.003344907419976169)</f>
        <v>0.00334490742</v>
      </c>
      <c r="I19" s="53">
        <f>IFERROR(__xludf.DUMMYFUNCTION("""COMPUTED_VALUE"""),0.007280092704143038)</f>
        <v>0.007280092704</v>
      </c>
      <c r="J19" s="53">
        <f>IFERROR(__xludf.DUMMYFUNCTION("""COMPUTED_VALUE"""),0.007199074875754248)</f>
        <v>0.007199074876</v>
      </c>
      <c r="K19" s="54">
        <f>IFERROR(__xludf.DUMMYFUNCTION("""COMPUTED_VALUE"""),8.217591720079943E-4)</f>
        <v>0.000821759172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6"/>
      <c r="W19" s="56"/>
      <c r="X19" s="56"/>
      <c r="Y19" s="56"/>
      <c r="Z19" s="57"/>
      <c r="AA19" s="58"/>
      <c r="AB19" s="59"/>
    </row>
    <row r="20" ht="13.5" customHeight="1">
      <c r="A20" s="60">
        <f>IFERROR(__xludf.DUMMYFUNCTION("""COMPUTED_VALUE"""),19.0)</f>
        <v>19</v>
      </c>
      <c r="B20" s="61" t="str">
        <f>IFERROR(__xludf.DUMMYFUNCTION("""COMPUTED_VALUE"""),"200")</f>
        <v>200</v>
      </c>
      <c r="C20" s="62" t="str">
        <f>IFERROR(__xludf.DUMMYFUNCTION("""COMPUTED_VALUE"""),"RELLA")</f>
        <v>RELLA</v>
      </c>
      <c r="D20" s="63" t="str">
        <f>IFERROR(__xludf.DUMMYFUNCTION("""COMPUTED_VALUE"""),"MATHIEU")</f>
        <v>MATHIEU</v>
      </c>
      <c r="E20" s="51" t="str">
        <f>IFERROR(__xludf.DUMMYFUNCTION("""COMPUTED_VALUE"""),"SH3")</f>
        <v>SH3</v>
      </c>
      <c r="F20" s="64">
        <f>IFERROR(__xludf.DUMMYFUNCTION("""COMPUTED_VALUE"""),7.0)</f>
        <v>7</v>
      </c>
      <c r="G20" s="52">
        <f>IFERROR(__xludf.DUMMYFUNCTION("""COMPUTED_VALUE"""),0.018703703719431176)</f>
        <v>0.01870370372</v>
      </c>
      <c r="H20" s="53">
        <f>IFERROR(__xludf.DUMMYFUNCTION("""COMPUTED_VALUE"""),0.003888888940403438)</f>
        <v>0.00388888894</v>
      </c>
      <c r="I20" s="53">
        <f>IFERROR(__xludf.DUMMYFUNCTION("""COMPUTED_VALUE"""),0.00740740746007617)</f>
        <v>0.00740740746</v>
      </c>
      <c r="J20" s="53">
        <f>IFERROR(__xludf.DUMMYFUNCTION("""COMPUTED_VALUE"""),0.0066782403180138655)</f>
        <v>0.006678240318</v>
      </c>
      <c r="K20" s="54">
        <f>IFERROR(__xludf.DUMMYFUNCTION("""COMPUTED_VALUE"""),7.291670009377028E-4)</f>
        <v>0.0007291670009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6"/>
      <c r="W20" s="56"/>
      <c r="X20" s="56"/>
      <c r="Y20" s="56"/>
      <c r="Z20" s="57"/>
      <c r="AA20" s="58"/>
      <c r="AB20" s="59"/>
    </row>
    <row r="21" ht="13.5" customHeight="1">
      <c r="A21" s="60">
        <f>IFERROR(__xludf.DUMMYFUNCTION("""COMPUTED_VALUE"""),20.0)</f>
        <v>20</v>
      </c>
      <c r="B21" s="61" t="str">
        <f>IFERROR(__xludf.DUMMYFUNCTION("""COMPUTED_VALUE"""),"209")</f>
        <v>209</v>
      </c>
      <c r="C21" s="62" t="str">
        <f>IFERROR(__xludf.DUMMYFUNCTION("""COMPUTED_VALUE"""),"FARINOLE")</f>
        <v>FARINOLE</v>
      </c>
      <c r="D21" s="63" t="str">
        <f>IFERROR(__xludf.DUMMYFUNCTION("""COMPUTED_VALUE"""),"BENOIT")</f>
        <v>BENOIT</v>
      </c>
      <c r="E21" s="51" t="str">
        <f>IFERROR(__xludf.DUMMYFUNCTION("""COMPUTED_VALUE"""),"SH4")</f>
        <v>SH4</v>
      </c>
      <c r="F21" s="64">
        <f>IFERROR(__xludf.DUMMYFUNCTION("""COMPUTED_VALUE"""),6.0)</f>
        <v>6</v>
      </c>
      <c r="G21" s="52">
        <f>IFERROR(__xludf.DUMMYFUNCTION("""COMPUTED_VALUE"""),0.018715277871790833)</f>
        <v>0.01871527787</v>
      </c>
      <c r="H21" s="53">
        <f>IFERROR(__xludf.DUMMYFUNCTION("""COMPUTED_VALUE"""),0.0026736111457445555)</f>
        <v>0.002673611146</v>
      </c>
      <c r="I21" s="53">
        <f>IFERROR(__xludf.DUMMYFUNCTION("""COMPUTED_VALUE"""),0.008171296369360096)</f>
        <v>0.008171296369</v>
      </c>
      <c r="J21" s="53">
        <f>IFERROR(__xludf.DUMMYFUNCTION("""COMPUTED_VALUE"""),0.007291666109411147)</f>
        <v>0.007291666109</v>
      </c>
      <c r="K21" s="54">
        <f>IFERROR(__xludf.DUMMYFUNCTION("""COMPUTED_VALUE"""),5.78704247275034E-4)</f>
        <v>0.0005787042473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6"/>
      <c r="W21" s="56"/>
      <c r="X21" s="56"/>
      <c r="Y21" s="56"/>
      <c r="Z21" s="57"/>
      <c r="AA21" s="58"/>
      <c r="AB21" s="59"/>
    </row>
    <row r="22" ht="13.5" customHeight="1">
      <c r="A22" s="60">
        <f>IFERROR(__xludf.DUMMYFUNCTION("""COMPUTED_VALUE"""),21.0)</f>
        <v>21</v>
      </c>
      <c r="B22" s="61" t="str">
        <f>IFERROR(__xludf.DUMMYFUNCTION("""COMPUTED_VALUE"""),"224")</f>
        <v>224</v>
      </c>
      <c r="C22" s="62" t="str">
        <f>IFERROR(__xludf.DUMMYFUNCTION("""COMPUTED_VALUE"""),"TELLIER")</f>
        <v>TELLIER</v>
      </c>
      <c r="D22" s="63" t="str">
        <f>IFERROR(__xludf.DUMMYFUNCTION("""COMPUTED_VALUE"""),"MAXIME")</f>
        <v>MAXIME</v>
      </c>
      <c r="E22" s="51" t="str">
        <f>IFERROR(__xludf.DUMMYFUNCTION("""COMPUTED_VALUE"""),"MH1")</f>
        <v>MH1</v>
      </c>
      <c r="F22" s="64">
        <f>IFERROR(__xludf.DUMMYFUNCTION("""COMPUTED_VALUE"""),3.0)</f>
        <v>3</v>
      </c>
      <c r="G22" s="52">
        <f>IFERROR(__xludf.DUMMYFUNCTION("""COMPUTED_VALUE"""),0.018715278537950686)</f>
        <v>0.01871527854</v>
      </c>
      <c r="H22" s="53">
        <f>IFERROR(__xludf.DUMMYFUNCTION("""COMPUTED_VALUE"""),0.0027199074887920417)</f>
        <v>0.002719907489</v>
      </c>
      <c r="I22" s="53">
        <f>IFERROR(__xludf.DUMMYFUNCTION("""COMPUTED_VALUE"""),0.00730324080945092)</f>
        <v>0.007303240809</v>
      </c>
      <c r="J22" s="53">
        <f>IFERROR(__xludf.DUMMYFUNCTION("""COMPUTED_VALUE"""),0.007800925673427238)</f>
        <v>0.007800925673</v>
      </c>
      <c r="K22" s="54">
        <f>IFERROR(__xludf.DUMMYFUNCTION("""COMPUTED_VALUE"""),8.912045662804861E-4)</f>
        <v>0.0008912045663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6"/>
      <c r="W22" s="56"/>
      <c r="X22" s="56"/>
      <c r="Y22" s="56"/>
      <c r="Z22" s="57"/>
      <c r="AA22" s="58"/>
      <c r="AB22" s="59"/>
    </row>
    <row r="23" ht="13.5" customHeight="1">
      <c r="A23" s="60">
        <f>IFERROR(__xludf.DUMMYFUNCTION("""COMPUTED_VALUE"""),22.0)</f>
        <v>22</v>
      </c>
      <c r="B23" s="61" t="str">
        <f>IFERROR(__xludf.DUMMYFUNCTION("""COMPUTED_VALUE"""),"211")</f>
        <v>211</v>
      </c>
      <c r="C23" s="62" t="str">
        <f>IFERROR(__xludf.DUMMYFUNCTION("""COMPUTED_VALUE"""),"PASQUIER")</f>
        <v>PASQUIER</v>
      </c>
      <c r="D23" s="63" t="str">
        <f>IFERROR(__xludf.DUMMYFUNCTION("""COMPUTED_VALUE"""),"FÉLIX")</f>
        <v>FÉLIX</v>
      </c>
      <c r="E23" s="51" t="str">
        <f>IFERROR(__xludf.DUMMYFUNCTION("""COMPUTED_VALUE"""),"SH2")</f>
        <v>SH2</v>
      </c>
      <c r="F23" s="64">
        <f>IFERROR(__xludf.DUMMYFUNCTION("""COMPUTED_VALUE"""),1.0)</f>
        <v>1</v>
      </c>
      <c r="G23" s="52">
        <f>IFERROR(__xludf.DUMMYFUNCTION("""COMPUTED_VALUE"""),0.018715278747514257)</f>
        <v>0.01871527875</v>
      </c>
      <c r="H23" s="53">
        <f>IFERROR(__xludf.DUMMYFUNCTION("""COMPUTED_VALUE"""),0.0036111111930372942)</f>
        <v>0.003611111193</v>
      </c>
      <c r="I23" s="53">
        <f>IFERROR(__xludf.DUMMYFUNCTION("""COMPUTED_VALUE"""),0.007569444558629553)</f>
        <v>0.007569444559</v>
      </c>
      <c r="J23" s="53">
        <f>IFERROR(__xludf.DUMMYFUNCTION("""COMPUTED_VALUE"""),0.00672453751531457)</f>
        <v>0.006724537515</v>
      </c>
      <c r="K23" s="54">
        <f>IFERROR(__xludf.DUMMYFUNCTION("""COMPUTED_VALUE"""),8.101854805328402E-4)</f>
        <v>0.0008101854805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6"/>
      <c r="W23" s="56"/>
      <c r="X23" s="56"/>
      <c r="Y23" s="56"/>
      <c r="Z23" s="57"/>
      <c r="AA23" s="58"/>
      <c r="AB23" s="59"/>
    </row>
    <row r="24" ht="13.5" customHeight="1">
      <c r="A24" s="60">
        <f>IFERROR(__xludf.DUMMYFUNCTION("""COMPUTED_VALUE"""),23.0)</f>
        <v>23</v>
      </c>
      <c r="B24" s="61" t="str">
        <f>IFERROR(__xludf.DUMMYFUNCTION("""COMPUTED_VALUE"""),"105")</f>
        <v>105</v>
      </c>
      <c r="C24" s="62" t="str">
        <f>IFERROR(__xludf.DUMMYFUNCTION("""COMPUTED_VALUE"""),"DE PORTU")</f>
        <v>DE PORTU</v>
      </c>
      <c r="D24" s="63" t="str">
        <f>IFERROR(__xludf.DUMMYFUNCTION("""COMPUTED_VALUE"""),"SIMON")</f>
        <v>SIMON</v>
      </c>
      <c r="E24" s="51" t="str">
        <f>IFERROR(__xludf.DUMMYFUNCTION("""COMPUTED_VALUE"""),"SH2")</f>
        <v>SH2</v>
      </c>
      <c r="F24" s="64">
        <f>IFERROR(__xludf.DUMMYFUNCTION("""COMPUTED_VALUE"""),2.0)</f>
        <v>2</v>
      </c>
      <c r="G24" s="52">
        <f>IFERROR(__xludf.DUMMYFUNCTION("""COMPUTED_VALUE"""),0.018877315069487588)</f>
        <v>0.01887731507</v>
      </c>
      <c r="H24" s="53">
        <f>IFERROR(__xludf.DUMMYFUNCTION("""COMPUTED_VALUE"""),0.003958333448762198)</f>
        <v>0.003958333449</v>
      </c>
      <c r="I24" s="53">
        <f>IFERROR(__xludf.DUMMYFUNCTION("""COMPUTED_VALUE"""),0.006956018533413025)</f>
        <v>0.006956018533</v>
      </c>
      <c r="J24" s="53">
        <f>IFERROR(__xludf.DUMMYFUNCTION("""COMPUTED_VALUE"""),0.007210647729012778)</f>
        <v>0.007210647729</v>
      </c>
      <c r="K24" s="54">
        <f>IFERROR(__xludf.DUMMYFUNCTION("""COMPUTED_VALUE"""),7.52315358299587E-4)</f>
        <v>0.0007523153583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6"/>
      <c r="W24" s="56"/>
      <c r="X24" s="56"/>
      <c r="Y24" s="56"/>
      <c r="Z24" s="57"/>
      <c r="AA24" s="58"/>
      <c r="AB24" s="59"/>
    </row>
    <row r="25" ht="13.5" customHeight="1">
      <c r="A25" s="60">
        <f>IFERROR(__xludf.DUMMYFUNCTION("""COMPUTED_VALUE"""),24.0)</f>
        <v>24</v>
      </c>
      <c r="B25" s="61" t="str">
        <f>IFERROR(__xludf.DUMMYFUNCTION("""COMPUTED_VALUE"""),"150")</f>
        <v>150</v>
      </c>
      <c r="C25" s="62" t="str">
        <f>IFERROR(__xludf.DUMMYFUNCTION("""COMPUTED_VALUE"""),"MORET")</f>
        <v>MORET</v>
      </c>
      <c r="D25" s="63" t="str">
        <f>IFERROR(__xludf.DUMMYFUNCTION("""COMPUTED_VALUE"""),"QUENTIN")</f>
        <v>QUENTIN</v>
      </c>
      <c r="E25" s="51" t="str">
        <f>IFERROR(__xludf.DUMMYFUNCTION("""COMPUTED_VALUE"""),"SH3")</f>
        <v>SH3</v>
      </c>
      <c r="F25" s="64">
        <f>IFERROR(__xludf.DUMMYFUNCTION("""COMPUTED_VALUE"""),8.0)</f>
        <v>8</v>
      </c>
      <c r="G25" s="52">
        <f>IFERROR(__xludf.DUMMYFUNCTION("""COMPUTED_VALUE"""),0.018888889464911632)</f>
        <v>0.01888888946</v>
      </c>
      <c r="H25" s="53">
        <f>IFERROR(__xludf.DUMMYFUNCTION("""COMPUTED_VALUE"""),0.003657407413547919)</f>
        <v>0.003657407414</v>
      </c>
      <c r="I25" s="53">
        <f>IFERROR(__xludf.DUMMYFUNCTION("""COMPUTED_VALUE"""),0.007060185210199816)</f>
        <v>0.00706018521</v>
      </c>
      <c r="J25" s="53">
        <f>IFERROR(__xludf.DUMMYFUNCTION("""COMPUTED_VALUE"""),0.007222222480068362)</f>
        <v>0.00722222248</v>
      </c>
      <c r="K25" s="54">
        <f>IFERROR(__xludf.DUMMYFUNCTION("""COMPUTED_VALUE"""),9.490743610955353E-4)</f>
        <v>0.0009490743611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6"/>
      <c r="W25" s="56"/>
      <c r="X25" s="56"/>
      <c r="Y25" s="56"/>
      <c r="Z25" s="57"/>
      <c r="AA25" s="58"/>
      <c r="AB25" s="59"/>
    </row>
    <row r="26" ht="13.5" customHeight="1">
      <c r="A26" s="60">
        <f>IFERROR(__xludf.DUMMYFUNCTION("""COMPUTED_VALUE"""),25.0)</f>
        <v>25</v>
      </c>
      <c r="B26" s="61" t="str">
        <f>IFERROR(__xludf.DUMMYFUNCTION("""COMPUTED_VALUE"""),"190")</f>
        <v>190</v>
      </c>
      <c r="C26" s="62" t="str">
        <f>IFERROR(__xludf.DUMMYFUNCTION("""COMPUTED_VALUE"""),"BOYER")</f>
        <v>BOYER</v>
      </c>
      <c r="D26" s="63" t="str">
        <f>IFERROR(__xludf.DUMMYFUNCTION("""COMPUTED_VALUE"""),"MATTHIEU")</f>
        <v>MATTHIEU</v>
      </c>
      <c r="E26" s="51" t="str">
        <f>IFERROR(__xludf.DUMMYFUNCTION("""COMPUTED_VALUE"""),"SH4")</f>
        <v>SH4</v>
      </c>
      <c r="F26" s="64">
        <f>IFERROR(__xludf.DUMMYFUNCTION("""COMPUTED_VALUE"""),7.0)</f>
        <v>7</v>
      </c>
      <c r="G26" s="52">
        <f>IFERROR(__xludf.DUMMYFUNCTION("""COMPUTED_VALUE"""),0.018935186111913964)</f>
        <v>0.01893518611</v>
      </c>
      <c r="H26" s="53">
        <f>IFERROR(__xludf.DUMMYFUNCTION("""COMPUTED_VALUE"""),0.0032870370431747438)</f>
        <v>0.003287037043</v>
      </c>
      <c r="I26" s="53">
        <f>IFERROR(__xludf.DUMMYFUNCTION("""COMPUTED_VALUE"""),0.007638888888965918)</f>
        <v>0.007638888889</v>
      </c>
      <c r="J26" s="53">
        <f>IFERROR(__xludf.DUMMYFUNCTION("""COMPUTED_VALUE"""),0.007384259138585569)</f>
        <v>0.007384259139</v>
      </c>
      <c r="K26" s="54">
        <f>IFERROR(__xludf.DUMMYFUNCTION("""COMPUTED_VALUE"""),6.250010411877329E-4)</f>
        <v>0.0006250010412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6"/>
      <c r="W26" s="56"/>
      <c r="X26" s="56"/>
      <c r="Y26" s="56"/>
      <c r="Z26" s="57"/>
      <c r="AA26" s="58"/>
      <c r="AB26" s="59"/>
    </row>
    <row r="27" ht="13.5" customHeight="1">
      <c r="A27" s="60">
        <f>IFERROR(__xludf.DUMMYFUNCTION("""COMPUTED_VALUE"""),26.0)</f>
        <v>26</v>
      </c>
      <c r="B27" s="61" t="str">
        <f>IFERROR(__xludf.DUMMYFUNCTION("""COMPUTED_VALUE"""),"196")</f>
        <v>196</v>
      </c>
      <c r="C27" s="62" t="str">
        <f>IFERROR(__xludf.DUMMYFUNCTION("""COMPUTED_VALUE"""),"GIFFARD")</f>
        <v>GIFFARD</v>
      </c>
      <c r="D27" s="63" t="str">
        <f>IFERROR(__xludf.DUMMYFUNCTION("""COMPUTED_VALUE"""),"ROMAIN")</f>
        <v>ROMAIN</v>
      </c>
      <c r="E27" s="51" t="str">
        <f>IFERROR(__xludf.DUMMYFUNCTION("""COMPUTED_VALUE"""),"MH3")</f>
        <v>MH3</v>
      </c>
      <c r="F27" s="64">
        <f>IFERROR(__xludf.DUMMYFUNCTION("""COMPUTED_VALUE"""),1.0)</f>
        <v>1</v>
      </c>
      <c r="G27" s="52">
        <f>IFERROR(__xludf.DUMMYFUNCTION("""COMPUTED_VALUE"""),0.018981482623531262)</f>
        <v>0.01898148262</v>
      </c>
      <c r="H27" s="53">
        <f>IFERROR(__xludf.DUMMYFUNCTION("""COMPUTED_VALUE"""),0.003483796332700576)</f>
        <v>0.003483796333</v>
      </c>
      <c r="I27" s="53">
        <f>IFERROR(__xludf.DUMMYFUNCTION("""COMPUTED_VALUE"""),0.007326388895028072)</f>
        <v>0.007326388895</v>
      </c>
      <c r="J27" s="53">
        <f>IFERROR(__xludf.DUMMYFUNCTION("""COMPUTED_VALUE"""),0.0076967601122504975)</f>
        <v>0.007696760112</v>
      </c>
      <c r="K27" s="54">
        <f>IFERROR(__xludf.DUMMYFUNCTION("""COMPUTED_VALUE"""),4.745372835521168E-4)</f>
        <v>0.0004745372836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6"/>
      <c r="W27" s="56"/>
      <c r="X27" s="56"/>
      <c r="Y27" s="56"/>
      <c r="Z27" s="57"/>
      <c r="AA27" s="58"/>
      <c r="AB27" s="59"/>
    </row>
    <row r="28" ht="13.5" customHeight="1">
      <c r="A28" s="60">
        <f>IFERROR(__xludf.DUMMYFUNCTION("""COMPUTED_VALUE"""),27.0)</f>
        <v>27</v>
      </c>
      <c r="B28" s="61" t="str">
        <f>IFERROR(__xludf.DUMMYFUNCTION("""COMPUTED_VALUE"""),"195")</f>
        <v>195</v>
      </c>
      <c r="C28" s="62" t="str">
        <f>IFERROR(__xludf.DUMMYFUNCTION("""COMPUTED_VALUE"""),"DELOUX")</f>
        <v>DELOUX</v>
      </c>
      <c r="D28" s="63" t="str">
        <f>IFERROR(__xludf.DUMMYFUNCTION("""COMPUTED_VALUE"""),"ROBIN")</f>
        <v>ROBIN</v>
      </c>
      <c r="E28" s="51" t="str">
        <f>IFERROR(__xludf.DUMMYFUNCTION("""COMPUTED_VALUE"""),"SH4")</f>
        <v>SH4</v>
      </c>
      <c r="F28" s="64">
        <f>IFERROR(__xludf.DUMMYFUNCTION("""COMPUTED_VALUE"""),8.0)</f>
        <v>8</v>
      </c>
      <c r="G28" s="52">
        <f>IFERROR(__xludf.DUMMYFUNCTION("""COMPUTED_VALUE"""),0.019050926761839414)</f>
        <v>0.01905092676</v>
      </c>
      <c r="H28" s="53">
        <f>IFERROR(__xludf.DUMMYFUNCTION("""COMPUTED_VALUE"""),0.0036458333832737836)</f>
        <v>0.003645833383</v>
      </c>
      <c r="I28" s="53">
        <f>IFERROR(__xludf.DUMMYFUNCTION("""COMPUTED_VALUE"""),0.007164351874991509)</f>
        <v>0.007164351875</v>
      </c>
      <c r="J28" s="53">
        <f>IFERROR(__xludf.DUMMYFUNCTION("""COMPUTED_VALUE"""),0.007361111442708072)</f>
        <v>0.007361111443</v>
      </c>
      <c r="K28" s="54">
        <f>IFERROR(__xludf.DUMMYFUNCTION("""COMPUTED_VALUE"""),8.796300608660493E-4)</f>
        <v>0.0008796300609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6"/>
      <c r="W28" s="56"/>
      <c r="X28" s="56"/>
      <c r="Y28" s="56"/>
      <c r="Z28" s="57"/>
      <c r="AA28" s="58"/>
      <c r="AB28" s="59"/>
    </row>
    <row r="29" ht="13.5" customHeight="1">
      <c r="A29" s="60">
        <f>IFERROR(__xludf.DUMMYFUNCTION("""COMPUTED_VALUE"""),28.0)</f>
        <v>28</v>
      </c>
      <c r="B29" s="61" t="str">
        <f>IFERROR(__xludf.DUMMYFUNCTION("""COMPUTED_VALUE"""),"104")</f>
        <v>104</v>
      </c>
      <c r="C29" s="62" t="str">
        <f>IFERROR(__xludf.DUMMYFUNCTION("""COMPUTED_VALUE"""),"LARNICOL")</f>
        <v>LARNICOL</v>
      </c>
      <c r="D29" s="63" t="str">
        <f>IFERROR(__xludf.DUMMYFUNCTION("""COMPUTED_VALUE"""),"OLIVIER")</f>
        <v>OLIVIER</v>
      </c>
      <c r="E29" s="51" t="str">
        <f>IFERROR(__xludf.DUMMYFUNCTION("""COMPUTED_VALUE"""),"SH4")</f>
        <v>SH4</v>
      </c>
      <c r="F29" s="64">
        <f>IFERROR(__xludf.DUMMYFUNCTION("""COMPUTED_VALUE"""),9.0)</f>
        <v>9</v>
      </c>
      <c r="G29" s="52">
        <f>IFERROR(__xludf.DUMMYFUNCTION("""COMPUTED_VALUE"""),0.019155092933555832)</f>
        <v>0.01915509293</v>
      </c>
      <c r="H29" s="53">
        <f>IFERROR(__xludf.DUMMYFUNCTION("""COMPUTED_VALUE"""),0.003611111187584643)</f>
        <v>0.003611111188</v>
      </c>
      <c r="I29" s="53">
        <f>IFERROR(__xludf.DUMMYFUNCTION("""COMPUTED_VALUE"""),0.006944444474821563)</f>
        <v>0.006944444475</v>
      </c>
      <c r="J29" s="53">
        <f>IFERROR(__xludf.DUMMYFUNCTION("""COMPUTED_VALUE"""),0.007951388155715064)</f>
        <v>0.007951388156</v>
      </c>
      <c r="K29" s="54">
        <f>IFERROR(__xludf.DUMMYFUNCTION("""COMPUTED_VALUE"""),6.481491154345614E-4)</f>
        <v>0.0006481491154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6"/>
      <c r="W29" s="56"/>
      <c r="X29" s="56"/>
      <c r="Y29" s="56"/>
      <c r="Z29" s="57"/>
      <c r="AA29" s="58"/>
      <c r="AB29" s="59"/>
    </row>
    <row r="30" ht="13.5" customHeight="1">
      <c r="A30" s="60">
        <f>IFERROR(__xludf.DUMMYFUNCTION("""COMPUTED_VALUE"""),29.0)</f>
        <v>29</v>
      </c>
      <c r="B30" s="61" t="str">
        <f>IFERROR(__xludf.DUMMYFUNCTION("""COMPUTED_VALUE"""),"131")</f>
        <v>131</v>
      </c>
      <c r="C30" s="62" t="str">
        <f>IFERROR(__xludf.DUMMYFUNCTION("""COMPUTED_VALUE"""),"TERRIER")</f>
        <v>TERRIER</v>
      </c>
      <c r="D30" s="63" t="str">
        <f>IFERROR(__xludf.DUMMYFUNCTION("""COMPUTED_VALUE"""),"EMMANUEL")</f>
        <v>EMMANUEL</v>
      </c>
      <c r="E30" s="51" t="str">
        <f>IFERROR(__xludf.DUMMYFUNCTION("""COMPUTED_VALUE"""),"MH4")</f>
        <v>MH4</v>
      </c>
      <c r="F30" s="64">
        <f>IFERROR(__xludf.DUMMYFUNCTION("""COMPUTED_VALUE"""),2.0)</f>
        <v>2</v>
      </c>
      <c r="G30" s="52">
        <f>IFERROR(__xludf.DUMMYFUNCTION("""COMPUTED_VALUE"""),0.019201389320085843)</f>
        <v>0.01920138932</v>
      </c>
      <c r="H30" s="53">
        <f>IFERROR(__xludf.DUMMYFUNCTION("""COMPUTED_VALUE"""),0.0034259259965479317)</f>
        <v>0.003425925997</v>
      </c>
      <c r="I30" s="53">
        <f>IFERROR(__xludf.DUMMYFUNCTION("""COMPUTED_VALUE"""),0.007152777874789598)</f>
        <v>0.007152777875</v>
      </c>
      <c r="J30" s="53">
        <f>IFERROR(__xludf.DUMMYFUNCTION("""COMPUTED_VALUE"""),0.007858796262918005)</f>
        <v>0.007858796263</v>
      </c>
      <c r="K30" s="54">
        <f>IFERROR(__xludf.DUMMYFUNCTION("""COMPUTED_VALUE"""),7.63889185830308E-4)</f>
        <v>0.0007638891858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6"/>
      <c r="W30" s="56"/>
      <c r="X30" s="56"/>
      <c r="Y30" s="56"/>
      <c r="Z30" s="57"/>
      <c r="AA30" s="58"/>
      <c r="AB30" s="59"/>
    </row>
    <row r="31" ht="13.5" customHeight="1">
      <c r="A31" s="60">
        <f>IFERROR(__xludf.DUMMYFUNCTION("""COMPUTED_VALUE"""),30.0)</f>
        <v>30</v>
      </c>
      <c r="B31" s="61" t="str">
        <f>IFERROR(__xludf.DUMMYFUNCTION("""COMPUTED_VALUE"""),"118")</f>
        <v>118</v>
      </c>
      <c r="C31" s="62" t="str">
        <f>IFERROR(__xludf.DUMMYFUNCTION("""COMPUTED_VALUE"""),"LEGROS")</f>
        <v>LEGROS</v>
      </c>
      <c r="D31" s="63" t="str">
        <f>IFERROR(__xludf.DUMMYFUNCTION("""COMPUTED_VALUE"""),"ANTOINE")</f>
        <v>ANTOINE</v>
      </c>
      <c r="E31" s="51" t="str">
        <f>IFERROR(__xludf.DUMMYFUNCTION("""COMPUTED_VALUE"""),"MH1")</f>
        <v>MH1</v>
      </c>
      <c r="F31" s="64">
        <f>IFERROR(__xludf.DUMMYFUNCTION("""COMPUTED_VALUE"""),4.0)</f>
        <v>4</v>
      </c>
      <c r="G31" s="52">
        <f>IFERROR(__xludf.DUMMYFUNCTION("""COMPUTED_VALUE"""),0.019201389825209504)</f>
        <v>0.01920138983</v>
      </c>
      <c r="H31" s="53">
        <f>IFERROR(__xludf.DUMMYFUNCTION("""COMPUTED_VALUE"""),0.0030092593497521463)</f>
        <v>0.00300925935</v>
      </c>
      <c r="I31" s="53">
        <f>IFERROR(__xludf.DUMMYFUNCTION("""COMPUTED_VALUE"""),0.006944444530552776)</f>
        <v>0.006944444531</v>
      </c>
      <c r="J31" s="53">
        <f>IFERROR(__xludf.DUMMYFUNCTION("""COMPUTED_VALUE"""),0.008344907424932803)</f>
        <v>0.008344907425</v>
      </c>
      <c r="K31" s="54">
        <f>IFERROR(__xludf.DUMMYFUNCTION("""COMPUTED_VALUE"""),9.027785199717787E-4)</f>
        <v>0.00090277852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6"/>
      <c r="W31" s="56"/>
      <c r="X31" s="56"/>
      <c r="Y31" s="56"/>
      <c r="Z31" s="57"/>
      <c r="AA31" s="58"/>
      <c r="AB31" s="59"/>
    </row>
    <row r="32" ht="13.5" customHeight="1">
      <c r="A32" s="60">
        <f>IFERROR(__xludf.DUMMYFUNCTION("""COMPUTED_VALUE"""),31.0)</f>
        <v>31</v>
      </c>
      <c r="B32" s="61" t="str">
        <f>IFERROR(__xludf.DUMMYFUNCTION("""COMPUTED_VALUE"""),"154")</f>
        <v>154</v>
      </c>
      <c r="C32" s="62" t="str">
        <f>IFERROR(__xludf.DUMMYFUNCTION("""COMPUTED_VALUE"""),"NOÉ")</f>
        <v>NOÉ</v>
      </c>
      <c r="D32" s="63" t="str">
        <f>IFERROR(__xludf.DUMMYFUNCTION("""COMPUTED_VALUE"""),"LILIAN")</f>
        <v>LILIAN</v>
      </c>
      <c r="E32" s="51" t="str">
        <f>IFERROR(__xludf.DUMMYFUNCTION("""COMPUTED_VALUE"""),"SH2")</f>
        <v>SH2</v>
      </c>
      <c r="F32" s="64">
        <f>IFERROR(__xludf.DUMMYFUNCTION("""COMPUTED_VALUE"""),3.0)</f>
        <v>3</v>
      </c>
      <c r="G32" s="52">
        <f>IFERROR(__xludf.DUMMYFUNCTION("""COMPUTED_VALUE"""),0.019224537472947)</f>
        <v>0.01922453747</v>
      </c>
      <c r="H32" s="53">
        <f>IFERROR(__xludf.DUMMYFUNCTION("""COMPUTED_VALUE"""),0.0036805556572243295)</f>
        <v>0.003680555657</v>
      </c>
      <c r="I32" s="53">
        <f>IFERROR(__xludf.DUMMYFUNCTION("""COMPUTED_VALUE"""),0.007002314868091556)</f>
        <v>0.007002314868</v>
      </c>
      <c r="J32" s="53">
        <f>IFERROR(__xludf.DUMMYFUNCTION("""COMPUTED_VALUE"""),0.007893518103149278)</f>
        <v>0.007893518103</v>
      </c>
      <c r="K32" s="54">
        <f>IFERROR(__xludf.DUMMYFUNCTION("""COMPUTED_VALUE"""),6.481488444818376E-4)</f>
        <v>0.0006481488445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6"/>
      <c r="W32" s="56"/>
      <c r="X32" s="56"/>
      <c r="Y32" s="56"/>
      <c r="Z32" s="57"/>
      <c r="AA32" s="58"/>
      <c r="AB32" s="59"/>
    </row>
    <row r="33" ht="13.5" customHeight="1">
      <c r="A33" s="60">
        <f>IFERROR(__xludf.DUMMYFUNCTION("""COMPUTED_VALUE"""),32.0)</f>
        <v>32</v>
      </c>
      <c r="B33" s="61" t="str">
        <f>IFERROR(__xludf.DUMMYFUNCTION("""COMPUTED_VALUE"""),"146")</f>
        <v>146</v>
      </c>
      <c r="C33" s="62" t="str">
        <f>IFERROR(__xludf.DUMMYFUNCTION("""COMPUTED_VALUE"""),"SAMATEY")</f>
        <v>SAMATEY</v>
      </c>
      <c r="D33" s="63" t="str">
        <f>IFERROR(__xludf.DUMMYFUNCTION("""COMPUTED_VALUE"""),"YOHAN")</f>
        <v>YOHAN</v>
      </c>
      <c r="E33" s="51" t="str">
        <f>IFERROR(__xludf.DUMMYFUNCTION("""COMPUTED_VALUE"""),"SH3")</f>
        <v>SH3</v>
      </c>
      <c r="F33" s="64">
        <f>IFERROR(__xludf.DUMMYFUNCTION("""COMPUTED_VALUE"""),9.0)</f>
        <v>9</v>
      </c>
      <c r="G33" s="52">
        <f>IFERROR(__xludf.DUMMYFUNCTION("""COMPUTED_VALUE"""),0.019270833896510582)</f>
        <v>0.0192708339</v>
      </c>
      <c r="H33" s="53">
        <f>IFERROR(__xludf.DUMMYFUNCTION("""COMPUTED_VALUE"""),0.004710648219947143)</f>
        <v>0.00471064822</v>
      </c>
      <c r="I33" s="53">
        <f>IFERROR(__xludf.DUMMYFUNCTION("""COMPUTED_VALUE"""),0.006944444473484106)</f>
        <v>0.006944444473</v>
      </c>
      <c r="J33" s="53">
        <f>IFERROR(__xludf.DUMMYFUNCTION("""COMPUTED_VALUE"""),0.0070833330760552305)</f>
        <v>0.007083333076</v>
      </c>
      <c r="K33" s="54">
        <f>IFERROR(__xludf.DUMMYFUNCTION("""COMPUTED_VALUE"""),5.32408127024102E-4)</f>
        <v>0.000532408127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  <c r="W33" s="56"/>
      <c r="X33" s="56"/>
      <c r="Y33" s="56"/>
      <c r="Z33" s="57"/>
      <c r="AA33" s="58"/>
      <c r="AB33" s="59"/>
    </row>
    <row r="34" ht="13.5" customHeight="1">
      <c r="A34" s="60">
        <f>IFERROR(__xludf.DUMMYFUNCTION("""COMPUTED_VALUE"""),33.0)</f>
        <v>33</v>
      </c>
      <c r="B34" s="61" t="str">
        <f>IFERROR(__xludf.DUMMYFUNCTION("""COMPUTED_VALUE"""),"92")</f>
        <v>92</v>
      </c>
      <c r="C34" s="62" t="str">
        <f>IFERROR(__xludf.DUMMYFUNCTION("""COMPUTED_VALUE"""),"PLAFORET")</f>
        <v>PLAFORET</v>
      </c>
      <c r="D34" s="63" t="str">
        <f>IFERROR(__xludf.DUMMYFUNCTION("""COMPUTED_VALUE"""),"VINCENT")</f>
        <v>VINCENT</v>
      </c>
      <c r="E34" s="51" t="str">
        <f>IFERROR(__xludf.DUMMYFUNCTION("""COMPUTED_VALUE"""),"SH3")</f>
        <v>SH3</v>
      </c>
      <c r="F34" s="64">
        <f>IFERROR(__xludf.DUMMYFUNCTION("""COMPUTED_VALUE"""),10.0)</f>
        <v>10</v>
      </c>
      <c r="G34" s="52">
        <f>IFERROR(__xludf.DUMMYFUNCTION("""COMPUTED_VALUE"""),0.019282407782098103)</f>
        <v>0.01928240778</v>
      </c>
      <c r="H34" s="53">
        <f>IFERROR(__xludf.DUMMYFUNCTION("""COMPUTED_VALUE"""),0.003831018582500281)</f>
        <v>0.003831018583</v>
      </c>
      <c r="I34" s="53">
        <f>IFERROR(__xludf.DUMMYFUNCTION("""COMPUTED_VALUE"""),0.006747685213994656)</f>
        <v>0.006747685214</v>
      </c>
      <c r="J34" s="53">
        <f>IFERROR(__xludf.DUMMYFUNCTION("""COMPUTED_VALUE"""),0.008032407631624328)</f>
        <v>0.008032407632</v>
      </c>
      <c r="K34" s="54">
        <f>IFERROR(__xludf.DUMMYFUNCTION("""COMPUTED_VALUE"""),6.712963539788385E-4)</f>
        <v>0.000671296354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56"/>
      <c r="X34" s="56"/>
      <c r="Y34" s="56"/>
      <c r="Z34" s="57"/>
      <c r="AA34" s="58"/>
      <c r="AB34" s="59"/>
    </row>
    <row r="35" ht="13.5" customHeight="1">
      <c r="A35" s="60">
        <f>IFERROR(__xludf.DUMMYFUNCTION("""COMPUTED_VALUE"""),34.0)</f>
        <v>34</v>
      </c>
      <c r="B35" s="61" t="str">
        <f>IFERROR(__xludf.DUMMYFUNCTION("""COMPUTED_VALUE"""),"191")</f>
        <v>191</v>
      </c>
      <c r="C35" s="62" t="str">
        <f>IFERROR(__xludf.DUMMYFUNCTION("""COMPUTED_VALUE"""),"MERLEY")</f>
        <v>MERLEY</v>
      </c>
      <c r="D35" s="63" t="str">
        <f>IFERROR(__xludf.DUMMYFUNCTION("""COMPUTED_VALUE"""),"MAXENCE")</f>
        <v>MAXENCE</v>
      </c>
      <c r="E35" s="51" t="str">
        <f>IFERROR(__xludf.DUMMYFUNCTION("""COMPUTED_VALUE"""),"SH4")</f>
        <v>SH4</v>
      </c>
      <c r="F35" s="64">
        <f>IFERROR(__xludf.DUMMYFUNCTION("""COMPUTED_VALUE"""),10.0)</f>
        <v>10</v>
      </c>
      <c r="G35" s="52">
        <f>IFERROR(__xludf.DUMMYFUNCTION("""COMPUTED_VALUE"""),0.01930555638848809)</f>
        <v>0.01930555639</v>
      </c>
      <c r="H35" s="53">
        <f>IFERROR(__xludf.DUMMYFUNCTION("""COMPUTED_VALUE"""),0.003182870387524252)</f>
        <v>0.003182870388</v>
      </c>
      <c r="I35" s="53">
        <f>IFERROR(__xludf.DUMMYFUNCTION("""COMPUTED_VALUE"""),0.006701388932743377)</f>
        <v>0.006701388933</v>
      </c>
      <c r="J35" s="53">
        <f>IFERROR(__xludf.DUMMYFUNCTION("""COMPUTED_VALUE"""),0.008819445264456022)</f>
        <v>0.008819445264</v>
      </c>
      <c r="K35" s="54">
        <f>IFERROR(__xludf.DUMMYFUNCTION("""COMPUTED_VALUE"""),6.018518037644396E-4)</f>
        <v>0.0006018518038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6"/>
      <c r="W35" s="56"/>
      <c r="X35" s="56"/>
      <c r="Y35" s="56"/>
      <c r="Z35" s="57"/>
      <c r="AA35" s="58"/>
      <c r="AB35" s="59"/>
    </row>
    <row r="36" ht="13.5" customHeight="1">
      <c r="A36" s="60">
        <f>IFERROR(__xludf.DUMMYFUNCTION("""COMPUTED_VALUE"""),35.0)</f>
        <v>35</v>
      </c>
      <c r="B36" s="61" t="str">
        <f>IFERROR(__xludf.DUMMYFUNCTION("""COMPUTED_VALUE"""),"102")</f>
        <v>102</v>
      </c>
      <c r="C36" s="62" t="str">
        <f>IFERROR(__xludf.DUMMYFUNCTION("""COMPUTED_VALUE"""),"BRUNET")</f>
        <v>BRUNET</v>
      </c>
      <c r="D36" s="63" t="str">
        <f>IFERROR(__xludf.DUMMYFUNCTION("""COMPUTED_VALUE"""),"FRANCK")</f>
        <v>FRANCK</v>
      </c>
      <c r="E36" s="51" t="str">
        <f>IFERROR(__xludf.DUMMYFUNCTION("""COMPUTED_VALUE"""),"MH3")</f>
        <v>MH3</v>
      </c>
      <c r="F36" s="64">
        <f>IFERROR(__xludf.DUMMYFUNCTION("""COMPUTED_VALUE"""),2.0)</f>
        <v>2</v>
      </c>
      <c r="G36" s="52">
        <f>IFERROR(__xludf.DUMMYFUNCTION("""COMPUTED_VALUE"""),0.019386575192867052)</f>
        <v>0.01938657519</v>
      </c>
      <c r="H36" s="53">
        <f>IFERROR(__xludf.DUMMYFUNCTION("""COMPUTED_VALUE"""),0.0037847222673043717)</f>
        <v>0.003784722267</v>
      </c>
      <c r="I36" s="53">
        <f>IFERROR(__xludf.DUMMYFUNCTION("""COMPUTED_VALUE"""),0.007615740775335122)</f>
        <v>0.007615740775</v>
      </c>
      <c r="J36" s="53">
        <f>IFERROR(__xludf.DUMMYFUNCTION("""COMPUTED_VALUE"""),0.007291667048622889)</f>
        <v>0.007291667049</v>
      </c>
      <c r="K36" s="54">
        <f>IFERROR(__xludf.DUMMYFUNCTION("""COMPUTED_VALUE"""),6.944451016046697E-4)</f>
        <v>0.0006944451016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6"/>
      <c r="W36" s="56"/>
      <c r="X36" s="56"/>
      <c r="Y36" s="56"/>
      <c r="Z36" s="57"/>
      <c r="AA36" s="58"/>
      <c r="AB36" s="59"/>
    </row>
    <row r="37" ht="13.5" customHeight="1">
      <c r="A37" s="60">
        <f>IFERROR(__xludf.DUMMYFUNCTION("""COMPUTED_VALUE"""),36.0)</f>
        <v>36</v>
      </c>
      <c r="B37" s="61" t="str">
        <f>IFERROR(__xludf.DUMMYFUNCTION("""COMPUTED_VALUE"""),"135")</f>
        <v>135</v>
      </c>
      <c r="C37" s="62" t="str">
        <f>IFERROR(__xludf.DUMMYFUNCTION("""COMPUTED_VALUE"""),"SERNA")</f>
        <v>SERNA</v>
      </c>
      <c r="D37" s="63" t="str">
        <f>IFERROR(__xludf.DUMMYFUNCTION("""COMPUTED_VALUE"""),"SIMON")</f>
        <v>SIMON</v>
      </c>
      <c r="E37" s="51" t="str">
        <f>IFERROR(__xludf.DUMMYFUNCTION("""COMPUTED_VALUE"""),"SH4")</f>
        <v>SH4</v>
      </c>
      <c r="F37" s="64">
        <f>IFERROR(__xludf.DUMMYFUNCTION("""COMPUTED_VALUE"""),11.0)</f>
        <v>11</v>
      </c>
      <c r="G37" s="52">
        <f>IFERROR(__xludf.DUMMYFUNCTION("""COMPUTED_VALUE"""),0.01943287102220292)</f>
        <v>0.01943287102</v>
      </c>
      <c r="H37" s="53">
        <f>IFERROR(__xludf.DUMMYFUNCTION("""COMPUTED_VALUE"""),0.0035300926516430306)</f>
        <v>0.003530092652</v>
      </c>
      <c r="I37" s="53">
        <f>IFERROR(__xludf.DUMMYFUNCTION("""COMPUTED_VALUE"""),0.007210648172214345)</f>
        <v>0.007210648172</v>
      </c>
      <c r="J37" s="53">
        <f>IFERROR(__xludf.DUMMYFUNCTION("""COMPUTED_VALUE"""),0.008032407831215225)</f>
        <v>0.008032407831</v>
      </c>
      <c r="K37" s="54">
        <f>IFERROR(__xludf.DUMMYFUNCTION("""COMPUTED_VALUE"""),6.597223671303198E-4)</f>
        <v>0.0006597223671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6"/>
      <c r="W37" s="56"/>
      <c r="X37" s="56"/>
      <c r="Y37" s="56"/>
      <c r="Z37" s="57"/>
      <c r="AA37" s="58"/>
      <c r="AB37" s="59"/>
    </row>
    <row r="38" ht="13.5" customHeight="1">
      <c r="A38" s="60">
        <f>IFERROR(__xludf.DUMMYFUNCTION("""COMPUTED_VALUE"""),37.0)</f>
        <v>37</v>
      </c>
      <c r="B38" s="61" t="str">
        <f>IFERROR(__xludf.DUMMYFUNCTION("""COMPUTED_VALUE"""),"75")</f>
        <v>75</v>
      </c>
      <c r="C38" s="62" t="str">
        <f>IFERROR(__xludf.DUMMYFUNCTION("""COMPUTED_VALUE"""),"BELLEGO")</f>
        <v>BELLEGO</v>
      </c>
      <c r="D38" s="63" t="str">
        <f>IFERROR(__xludf.DUMMYFUNCTION("""COMPUTED_VALUE"""),"CORENTIN")</f>
        <v>CORENTIN</v>
      </c>
      <c r="E38" s="51" t="str">
        <f>IFERROR(__xludf.DUMMYFUNCTION("""COMPUTED_VALUE"""),"SH3")</f>
        <v>SH3</v>
      </c>
      <c r="F38" s="64">
        <f>IFERROR(__xludf.DUMMYFUNCTION("""COMPUTED_VALUE"""),11.0)</f>
        <v>11</v>
      </c>
      <c r="G38" s="52">
        <f>IFERROR(__xludf.DUMMYFUNCTION("""COMPUTED_VALUE"""),0.019444444462097348)</f>
        <v>0.01944444446</v>
      </c>
      <c r="H38" s="53">
        <f>IFERROR(__xludf.DUMMYFUNCTION("""COMPUTED_VALUE"""),0.004259259266399106)</f>
        <v>0.004259259266</v>
      </c>
      <c r="I38" s="53">
        <f>IFERROR(__xludf.DUMMYFUNCTION("""COMPUTED_VALUE"""),0.006990740828635707)</f>
        <v>0.006990740829</v>
      </c>
      <c r="J38" s="53">
        <f>IFERROR(__xludf.DUMMYFUNCTION("""COMPUTED_VALUE"""),0.0070370365179516885)</f>
        <v>0.007037036518</v>
      </c>
      <c r="K38" s="54">
        <f>IFERROR(__xludf.DUMMYFUNCTION("""COMPUTED_VALUE"""),0.001157407849110846)</f>
        <v>0.001157407849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6"/>
      <c r="W38" s="56"/>
      <c r="X38" s="56"/>
      <c r="Y38" s="56"/>
      <c r="Z38" s="57"/>
      <c r="AA38" s="58"/>
      <c r="AB38" s="59"/>
    </row>
    <row r="39" ht="13.5" customHeight="1">
      <c r="A39" s="60">
        <f>IFERROR(__xludf.DUMMYFUNCTION("""COMPUTED_VALUE"""),38.0)</f>
        <v>38</v>
      </c>
      <c r="B39" s="61" t="str">
        <f>IFERROR(__xludf.DUMMYFUNCTION("""COMPUTED_VALUE"""),"188")</f>
        <v>188</v>
      </c>
      <c r="C39" s="62" t="str">
        <f>IFERROR(__xludf.DUMMYFUNCTION("""COMPUTED_VALUE"""),"ARMAROLI")</f>
        <v>ARMAROLI</v>
      </c>
      <c r="D39" s="63" t="str">
        <f>IFERROR(__xludf.DUMMYFUNCTION("""COMPUTED_VALUE"""),"ENZO")</f>
        <v>ENZO</v>
      </c>
      <c r="E39" s="51" t="str">
        <f>IFERROR(__xludf.DUMMYFUNCTION("""COMPUTED_VALUE"""),"SH3")</f>
        <v>SH3</v>
      </c>
      <c r="F39" s="64">
        <f>IFERROR(__xludf.DUMMYFUNCTION("""COMPUTED_VALUE"""),12.0)</f>
        <v>12</v>
      </c>
      <c r="G39" s="52">
        <f>IFERROR(__xludf.DUMMYFUNCTION("""COMPUTED_VALUE"""),0.01969907514029776)</f>
        <v>0.01969907514</v>
      </c>
      <c r="H39" s="53">
        <f>IFERROR(__xludf.DUMMYFUNCTION("""COMPUTED_VALUE"""),0.003472222256705909)</f>
        <v>0.003472222257</v>
      </c>
      <c r="I39" s="53">
        <f>IFERROR(__xludf.DUMMYFUNCTION("""COMPUTED_VALUE"""),0.006967592672347594)</f>
        <v>0.006967592672</v>
      </c>
      <c r="J39" s="53">
        <f>IFERROR(__xludf.DUMMYFUNCTION("""COMPUTED_VALUE"""),0.007905093075825046)</f>
        <v>0.007905093076</v>
      </c>
      <c r="K39" s="54">
        <f>IFERROR(__xludf.DUMMYFUNCTION("""COMPUTED_VALUE"""),0.00135416713541921)</f>
        <v>0.001354167135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6"/>
      <c r="W39" s="56"/>
      <c r="X39" s="56"/>
      <c r="Y39" s="56"/>
      <c r="Z39" s="57"/>
      <c r="AA39" s="58"/>
      <c r="AB39" s="59"/>
    </row>
    <row r="40" ht="13.5" customHeight="1">
      <c r="A40" s="60">
        <f>IFERROR(__xludf.DUMMYFUNCTION("""COMPUTED_VALUE"""),39.0)</f>
        <v>39</v>
      </c>
      <c r="B40" s="61" t="str">
        <f>IFERROR(__xludf.DUMMYFUNCTION("""COMPUTED_VALUE"""),"173")</f>
        <v>173</v>
      </c>
      <c r="C40" s="62" t="str">
        <f>IFERROR(__xludf.DUMMYFUNCTION("""COMPUTED_VALUE"""),"BENALI KAHLOUL")</f>
        <v>BENALI KAHLOUL</v>
      </c>
      <c r="D40" s="63" t="str">
        <f>IFERROR(__xludf.DUMMYFUNCTION("""COMPUTED_VALUE"""),"ABDELLAH")</f>
        <v>ABDELLAH</v>
      </c>
      <c r="E40" s="51" t="str">
        <f>IFERROR(__xludf.DUMMYFUNCTION("""COMPUTED_VALUE"""),"MH3")</f>
        <v>MH3</v>
      </c>
      <c r="F40" s="64">
        <f>IFERROR(__xludf.DUMMYFUNCTION("""COMPUTED_VALUE"""),3.0)</f>
        <v>3</v>
      </c>
      <c r="G40" s="52">
        <f>IFERROR(__xludf.DUMMYFUNCTION("""COMPUTED_VALUE"""),0.019722222985463094)</f>
        <v>0.01972222299</v>
      </c>
      <c r="H40" s="53">
        <f>IFERROR(__xludf.DUMMYFUNCTION("""COMPUTED_VALUE"""),0.0038541666899286112)</f>
        <v>0.00385416669</v>
      </c>
      <c r="I40" s="53">
        <f>IFERROR(__xludf.DUMMYFUNCTION("""COMPUTED_VALUE"""),0.006979166710565356)</f>
        <v>0.006979166711</v>
      </c>
      <c r="J40" s="53">
        <f>IFERROR(__xludf.DUMMYFUNCTION("""COMPUTED_VALUE"""),0.008344907592024609)</f>
        <v>0.008344907592</v>
      </c>
      <c r="K40" s="54">
        <f>IFERROR(__xludf.DUMMYFUNCTION("""COMPUTED_VALUE"""),5.439819929445185E-4)</f>
        <v>0.0005439819929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6"/>
      <c r="W40" s="56"/>
      <c r="X40" s="56"/>
      <c r="Y40" s="56"/>
      <c r="Z40" s="57"/>
      <c r="AA40" s="58"/>
      <c r="AB40" s="59"/>
    </row>
    <row r="41" ht="13.5" customHeight="1">
      <c r="A41" s="60">
        <f>IFERROR(__xludf.DUMMYFUNCTION("""COMPUTED_VALUE"""),40.0)</f>
        <v>40</v>
      </c>
      <c r="B41" s="61" t="str">
        <f>IFERROR(__xludf.DUMMYFUNCTION("""COMPUTED_VALUE"""),"119")</f>
        <v>119</v>
      </c>
      <c r="C41" s="62" t="str">
        <f>IFERROR(__xludf.DUMMYFUNCTION("""COMPUTED_VALUE"""),"BOUISSET")</f>
        <v>BOUISSET</v>
      </c>
      <c r="D41" s="63" t="str">
        <f>IFERROR(__xludf.DUMMYFUNCTION("""COMPUTED_VALUE"""),"LUDOVIC")</f>
        <v>LUDOVIC</v>
      </c>
      <c r="E41" s="51" t="str">
        <f>IFERROR(__xludf.DUMMYFUNCTION("""COMPUTED_VALUE"""),"MH1")</f>
        <v>MH1</v>
      </c>
      <c r="F41" s="64">
        <f>IFERROR(__xludf.DUMMYFUNCTION("""COMPUTED_VALUE"""),5.0)</f>
        <v>5</v>
      </c>
      <c r="G41" s="52">
        <f>IFERROR(__xludf.DUMMYFUNCTION("""COMPUTED_VALUE"""),0.01993055556130249)</f>
        <v>0.01993055556</v>
      </c>
      <c r="H41" s="53">
        <f>IFERROR(__xludf.DUMMYFUNCTION("""COMPUTED_VALUE"""),0.003043981593506543)</f>
        <v>0.003043981594</v>
      </c>
      <c r="I41" s="53">
        <f>IFERROR(__xludf.DUMMYFUNCTION("""COMPUTED_VALUE"""),0.007731481552912405)</f>
        <v>0.007731481553</v>
      </c>
      <c r="J41" s="53">
        <f>IFERROR(__xludf.DUMMYFUNCTION("""COMPUTED_VALUE"""),0.008379629332695473)</f>
        <v>0.008379629333</v>
      </c>
      <c r="K41" s="54">
        <f>IFERROR(__xludf.DUMMYFUNCTION("""COMPUTED_VALUE"""),7.754630821880685E-4)</f>
        <v>0.0007754630822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6"/>
      <c r="W41" s="56"/>
      <c r="X41" s="56"/>
      <c r="Y41" s="56"/>
      <c r="Z41" s="57"/>
      <c r="AA41" s="58"/>
      <c r="AB41" s="59"/>
    </row>
    <row r="42" ht="13.5" customHeight="1">
      <c r="A42" s="60">
        <f>IFERROR(__xludf.DUMMYFUNCTION("""COMPUTED_VALUE"""),41.0)</f>
        <v>41</v>
      </c>
      <c r="B42" s="61" t="str">
        <f>IFERROR(__xludf.DUMMYFUNCTION("""COMPUTED_VALUE"""),"137")</f>
        <v>137</v>
      </c>
      <c r="C42" s="62" t="str">
        <f>IFERROR(__xludf.DUMMYFUNCTION("""COMPUTED_VALUE"""),"DAVOUST")</f>
        <v>DAVOUST</v>
      </c>
      <c r="D42" s="63" t="str">
        <f>IFERROR(__xludf.DUMMYFUNCTION("""COMPUTED_VALUE"""),"FRÉDÉRIC")</f>
        <v>FRÉDÉRIC</v>
      </c>
      <c r="E42" s="51" t="str">
        <f>IFERROR(__xludf.DUMMYFUNCTION("""COMPUTED_VALUE"""),"MH2")</f>
        <v>MH2</v>
      </c>
      <c r="F42" s="64">
        <f>IFERROR(__xludf.DUMMYFUNCTION("""COMPUTED_VALUE"""),5.0)</f>
        <v>5</v>
      </c>
      <c r="G42" s="52">
        <f>IFERROR(__xludf.DUMMYFUNCTION("""COMPUTED_VALUE"""),0.020057870873821784)</f>
        <v>0.02005787087</v>
      </c>
      <c r="H42" s="53">
        <f>IFERROR(__xludf.DUMMYFUNCTION("""COMPUTED_VALUE"""),0.0031250000980364715)</f>
        <v>0.003125000098</v>
      </c>
      <c r="I42" s="53">
        <f>IFERROR(__xludf.DUMMYFUNCTION("""COMPUTED_VALUE"""),0.007002314884065881)</f>
        <v>0.007002314884</v>
      </c>
      <c r="J42" s="53">
        <f>IFERROR(__xludf.DUMMYFUNCTION("""COMPUTED_VALUE"""),0.008703703643071572)</f>
        <v>0.008703703643</v>
      </c>
      <c r="K42" s="54">
        <f>IFERROR(__xludf.DUMMYFUNCTION("""COMPUTED_VALUE"""),0.0012268522486478597)</f>
        <v>0.001226852249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6"/>
      <c r="W42" s="56"/>
      <c r="X42" s="56"/>
      <c r="Y42" s="56"/>
      <c r="Z42" s="57"/>
      <c r="AA42" s="58"/>
      <c r="AB42" s="59"/>
    </row>
    <row r="43" ht="13.5" customHeight="1">
      <c r="A43" s="60">
        <f>IFERROR(__xludf.DUMMYFUNCTION("""COMPUTED_VALUE"""),42.0)</f>
        <v>42</v>
      </c>
      <c r="B43" s="61" t="str">
        <f>IFERROR(__xludf.DUMMYFUNCTION("""COMPUTED_VALUE"""),"214")</f>
        <v>214</v>
      </c>
      <c r="C43" s="62" t="str">
        <f>IFERROR(__xludf.DUMMYFUNCTION("""COMPUTED_VALUE"""),"BOURCIER")</f>
        <v>BOURCIER</v>
      </c>
      <c r="D43" s="63" t="str">
        <f>IFERROR(__xludf.DUMMYFUNCTION("""COMPUTED_VALUE"""),"FLORIAN")</f>
        <v>FLORIAN</v>
      </c>
      <c r="E43" s="51" t="str">
        <f>IFERROR(__xludf.DUMMYFUNCTION("""COMPUTED_VALUE"""),"SH4")</f>
        <v>SH4</v>
      </c>
      <c r="F43" s="64">
        <f>IFERROR(__xludf.DUMMYFUNCTION("""COMPUTED_VALUE"""),12.0)</f>
        <v>12</v>
      </c>
      <c r="G43" s="52">
        <f>IFERROR(__xludf.DUMMYFUNCTION("""COMPUTED_VALUE"""),0.020081018662153925)</f>
        <v>0.02008101866</v>
      </c>
      <c r="H43" s="53">
        <f>IFERROR(__xludf.DUMMYFUNCTION("""COMPUTED_VALUE"""),0.0032986112013834957)</f>
        <v>0.003298611201</v>
      </c>
      <c r="I43" s="53">
        <f>IFERROR(__xludf.DUMMYFUNCTION("""COMPUTED_VALUE"""),0.007268518630952805)</f>
        <v>0.007268518631</v>
      </c>
      <c r="J43" s="53">
        <f>IFERROR(__xludf.DUMMYFUNCTION("""COMPUTED_VALUE"""),0.008622684336997533)</f>
        <v>0.008622684337</v>
      </c>
      <c r="K43" s="54">
        <f>IFERROR(__xludf.DUMMYFUNCTION("""COMPUTED_VALUE"""),8.912044928200916E-4)</f>
        <v>0.0008912044928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6"/>
      <c r="W43" s="56"/>
      <c r="X43" s="56"/>
      <c r="Y43" s="56"/>
      <c r="Z43" s="57"/>
      <c r="AA43" s="58"/>
      <c r="AB43" s="59"/>
    </row>
    <row r="44" ht="13.5" customHeight="1">
      <c r="A44" s="60">
        <f>IFERROR(__xludf.DUMMYFUNCTION("""COMPUTED_VALUE"""),43.0)</f>
        <v>43</v>
      </c>
      <c r="B44" s="61" t="str">
        <f>IFERROR(__xludf.DUMMYFUNCTION("""COMPUTED_VALUE"""),"189")</f>
        <v>189</v>
      </c>
      <c r="C44" s="62" t="str">
        <f>IFERROR(__xludf.DUMMYFUNCTION("""COMPUTED_VALUE"""),"GONZALEZ DE CABO")</f>
        <v>GONZALEZ DE CABO</v>
      </c>
      <c r="D44" s="63" t="str">
        <f>IFERROR(__xludf.DUMMYFUNCTION("""COMPUTED_VALUE"""),"DAVID")</f>
        <v>DAVID</v>
      </c>
      <c r="E44" s="51" t="str">
        <f>IFERROR(__xludf.DUMMYFUNCTION("""COMPUTED_VALUE"""),"SH4")</f>
        <v>SH4</v>
      </c>
      <c r="F44" s="64">
        <f>IFERROR(__xludf.DUMMYFUNCTION("""COMPUTED_VALUE"""),13.0)</f>
        <v>13</v>
      </c>
      <c r="G44" s="52">
        <f>IFERROR(__xludf.DUMMYFUNCTION("""COMPUTED_VALUE"""),0.020335649260114913)</f>
        <v>0.02033564926</v>
      </c>
      <c r="H44" s="53">
        <f>IFERROR(__xludf.DUMMYFUNCTION("""COMPUTED_VALUE"""),0.0037847222570010393)</f>
        <v>0.003784722257</v>
      </c>
      <c r="I44" s="53">
        <f>IFERROR(__xludf.DUMMYFUNCTION("""COMPUTED_VALUE"""),0.007129629678946536)</f>
        <v>0.007129629679</v>
      </c>
      <c r="J44" s="53">
        <f>IFERROR(__xludf.DUMMYFUNCTION("""COMPUTED_VALUE"""),0.008217593585364542)</f>
        <v>0.008217593585</v>
      </c>
      <c r="K44" s="54">
        <f>IFERROR(__xludf.DUMMYFUNCTION("""COMPUTED_VALUE"""),0.0012037037388027954)</f>
        <v>0.001203703739</v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6"/>
      <c r="W44" s="56"/>
      <c r="X44" s="56"/>
      <c r="Y44" s="56"/>
      <c r="Z44" s="57"/>
      <c r="AA44" s="58"/>
      <c r="AB44" s="59"/>
    </row>
    <row r="45" ht="13.5" customHeight="1">
      <c r="A45" s="60">
        <f>IFERROR(__xludf.DUMMYFUNCTION("""COMPUTED_VALUE"""),44.0)</f>
        <v>44</v>
      </c>
      <c r="B45" s="61" t="str">
        <f>IFERROR(__xludf.DUMMYFUNCTION("""COMPUTED_VALUE"""),"89")</f>
        <v>89</v>
      </c>
      <c r="C45" s="62" t="str">
        <f>IFERROR(__xludf.DUMMYFUNCTION("""COMPUTED_VALUE"""),"CHAZY")</f>
        <v>CHAZY</v>
      </c>
      <c r="D45" s="63" t="str">
        <f>IFERROR(__xludf.DUMMYFUNCTION("""COMPUTED_VALUE"""),"FRANÇOIS")</f>
        <v>FRANÇOIS</v>
      </c>
      <c r="E45" s="51" t="str">
        <f>IFERROR(__xludf.DUMMYFUNCTION("""COMPUTED_VALUE"""),"MH5")</f>
        <v>MH5</v>
      </c>
      <c r="F45" s="64">
        <f>IFERROR(__xludf.DUMMYFUNCTION("""COMPUTED_VALUE"""),1.0)</f>
        <v>1</v>
      </c>
      <c r="G45" s="52">
        <f>IFERROR(__xludf.DUMMYFUNCTION("""COMPUTED_VALUE"""),0.020451389324410152)</f>
        <v>0.02045138932</v>
      </c>
      <c r="H45" s="53">
        <f>IFERROR(__xludf.DUMMYFUNCTION("""COMPUTED_VALUE"""),0.00396990741702607)</f>
        <v>0.003969907417</v>
      </c>
      <c r="I45" s="53">
        <f>IFERROR(__xludf.DUMMYFUNCTION("""COMPUTED_VALUE"""),0.007106481515820638)</f>
        <v>0.007106481516</v>
      </c>
      <c r="J45" s="53">
        <f>IFERROR(__xludf.DUMMYFUNCTION("""COMPUTED_VALUE"""),0.008564814541898051)</f>
        <v>0.008564814542</v>
      </c>
      <c r="K45" s="54">
        <f>IFERROR(__xludf.DUMMYFUNCTION("""COMPUTED_VALUE"""),8.101858496653925E-4)</f>
        <v>0.0008101858497</v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6"/>
      <c r="W45" s="56"/>
      <c r="X45" s="56"/>
      <c r="Y45" s="56"/>
      <c r="Z45" s="57"/>
      <c r="AA45" s="58"/>
      <c r="AB45" s="59"/>
    </row>
    <row r="46" ht="13.5" customHeight="1">
      <c r="A46" s="60">
        <f>IFERROR(__xludf.DUMMYFUNCTION("""COMPUTED_VALUE"""),45.0)</f>
        <v>45</v>
      </c>
      <c r="B46" s="61" t="str">
        <f>IFERROR(__xludf.DUMMYFUNCTION("""COMPUTED_VALUE"""),"210")</f>
        <v>210</v>
      </c>
      <c r="C46" s="62" t="str">
        <f>IFERROR(__xludf.DUMMYFUNCTION("""COMPUTED_VALUE"""),"MOREIRA")</f>
        <v>MOREIRA</v>
      </c>
      <c r="D46" s="63" t="str">
        <f>IFERROR(__xludf.DUMMYFUNCTION("""COMPUTED_VALUE"""),"THOMAS")</f>
        <v>THOMAS</v>
      </c>
      <c r="E46" s="51" t="str">
        <f>IFERROR(__xludf.DUMMYFUNCTION("""COMPUTED_VALUE"""),"SH2")</f>
        <v>SH2</v>
      </c>
      <c r="F46" s="64">
        <f>IFERROR(__xludf.DUMMYFUNCTION("""COMPUTED_VALUE"""),4.0)</f>
        <v>4</v>
      </c>
      <c r="G46" s="52">
        <f>IFERROR(__xludf.DUMMYFUNCTION("""COMPUTED_VALUE"""),0.020567130471619035)</f>
        <v>0.02056713047</v>
      </c>
      <c r="H46" s="53">
        <f>IFERROR(__xludf.DUMMYFUNCTION("""COMPUTED_VALUE"""),0.0029050926206600756)</f>
        <v>0.002905092621</v>
      </c>
      <c r="I46" s="53">
        <f>IFERROR(__xludf.DUMMYFUNCTION("""COMPUTED_VALUE"""),0.009618055596290871)</f>
        <v>0.009618055596</v>
      </c>
      <c r="J46" s="53">
        <f>IFERROR(__xludf.DUMMYFUNCTION("""COMPUTED_VALUE"""),0.007303241106348042)</f>
        <v>0.007303241106</v>
      </c>
      <c r="K46" s="54">
        <f>IFERROR(__xludf.DUMMYFUNCTION("""COMPUTED_VALUE"""),7.407411483200464E-4)</f>
        <v>0.0007407411483</v>
      </c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6"/>
      <c r="W46" s="56"/>
      <c r="X46" s="56"/>
      <c r="Y46" s="56"/>
      <c r="Z46" s="57"/>
      <c r="AA46" s="58"/>
      <c r="AB46" s="59"/>
    </row>
    <row r="47" ht="13.5" customHeight="1">
      <c r="A47" s="60">
        <f>IFERROR(__xludf.DUMMYFUNCTION("""COMPUTED_VALUE"""),46.0)</f>
        <v>46</v>
      </c>
      <c r="B47" s="61" t="str">
        <f>IFERROR(__xludf.DUMMYFUNCTION("""COMPUTED_VALUE"""),"194")</f>
        <v>194</v>
      </c>
      <c r="C47" s="62" t="str">
        <f>IFERROR(__xludf.DUMMYFUNCTION("""COMPUTED_VALUE"""),"TAFSI")</f>
        <v>TAFSI</v>
      </c>
      <c r="D47" s="63" t="str">
        <f>IFERROR(__xludf.DUMMYFUNCTION("""COMPUTED_VALUE"""),"OMAR")</f>
        <v>OMAR</v>
      </c>
      <c r="E47" s="51" t="str">
        <f>IFERROR(__xludf.DUMMYFUNCTION("""COMPUTED_VALUE"""),"SH2")</f>
        <v>SH2</v>
      </c>
      <c r="F47" s="64">
        <f>IFERROR(__xludf.DUMMYFUNCTION("""COMPUTED_VALUE"""),5.0)</f>
        <v>5</v>
      </c>
      <c r="G47" s="52">
        <f>IFERROR(__xludf.DUMMYFUNCTION("""COMPUTED_VALUE"""),0.02059027823261312)</f>
        <v>0.02059027823</v>
      </c>
      <c r="H47" s="53">
        <f>IFERROR(__xludf.DUMMYFUNCTION("""COMPUTED_VALUE"""),0.003993055578602643)</f>
        <v>0.003993055579</v>
      </c>
      <c r="I47" s="53">
        <f>IFERROR(__xludf.DUMMYFUNCTION("""COMPUTED_VALUE"""),0.00692129635294278)</f>
        <v>0.006921296353</v>
      </c>
      <c r="J47" s="53">
        <f>IFERROR(__xludf.DUMMYFUNCTION("""COMPUTED_VALUE"""),0.008634259108538943)</f>
        <v>0.008634259109</v>
      </c>
      <c r="K47" s="54">
        <f>IFERROR(__xludf.DUMMYFUNCTION("""COMPUTED_VALUE"""),0.001041667192528753)</f>
        <v>0.001041667193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6"/>
      <c r="W47" s="56"/>
      <c r="X47" s="56"/>
      <c r="Y47" s="56"/>
      <c r="Z47" s="57"/>
      <c r="AA47" s="58"/>
      <c r="AB47" s="59"/>
    </row>
    <row r="48" ht="13.5" customHeight="1">
      <c r="A48" s="60">
        <f>IFERROR(__xludf.DUMMYFUNCTION("""COMPUTED_VALUE"""),47.0)</f>
        <v>47</v>
      </c>
      <c r="B48" s="61" t="str">
        <f>IFERROR(__xludf.DUMMYFUNCTION("""COMPUTED_VALUE"""),"109")</f>
        <v>109</v>
      </c>
      <c r="C48" s="62" t="str">
        <f>IFERROR(__xludf.DUMMYFUNCTION("""COMPUTED_VALUE"""),"HEROGUEZ")</f>
        <v>HEROGUEZ</v>
      </c>
      <c r="D48" s="63" t="str">
        <f>IFERROR(__xludf.DUMMYFUNCTION("""COMPUTED_VALUE"""),"NICOLAS")</f>
        <v>NICOLAS</v>
      </c>
      <c r="E48" s="51" t="str">
        <f>IFERROR(__xludf.DUMMYFUNCTION("""COMPUTED_VALUE"""),"MH3")</f>
        <v>MH3</v>
      </c>
      <c r="F48" s="64">
        <f>IFERROR(__xludf.DUMMYFUNCTION("""COMPUTED_VALUE"""),4.0)</f>
        <v>4</v>
      </c>
      <c r="G48" s="52">
        <f>IFERROR(__xludf.DUMMYFUNCTION("""COMPUTED_VALUE"""),0.020625000349576705)</f>
        <v>0.02062500035</v>
      </c>
      <c r="H48" s="53">
        <f>IFERROR(__xludf.DUMMYFUNCTION("""COMPUTED_VALUE"""),0.004421296305886976)</f>
        <v>0.004421296306</v>
      </c>
      <c r="I48" s="53">
        <f>IFERROR(__xludf.DUMMYFUNCTION("""COMPUTED_VALUE"""),0.007372685207393592)</f>
        <v>0.007372685207</v>
      </c>
      <c r="J48" s="53">
        <f>IFERROR(__xludf.DUMMYFUNCTION("""COMPUTED_VALUE"""),0.007951388957402161)</f>
        <v>0.007951388957</v>
      </c>
      <c r="K48" s="54">
        <f>IFERROR(__xludf.DUMMYFUNCTION("""COMPUTED_VALUE"""),8.796298788939757E-4)</f>
        <v>0.0008796298789</v>
      </c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6"/>
      <c r="W48" s="56"/>
      <c r="X48" s="56"/>
      <c r="Y48" s="56"/>
      <c r="Z48" s="57"/>
      <c r="AA48" s="58"/>
      <c r="AB48" s="59"/>
    </row>
    <row r="49" ht="13.5" customHeight="1">
      <c r="A49" s="60">
        <f>IFERROR(__xludf.DUMMYFUNCTION("""COMPUTED_VALUE"""),48.0)</f>
        <v>48</v>
      </c>
      <c r="B49" s="61" t="str">
        <f>IFERROR(__xludf.DUMMYFUNCTION("""COMPUTED_VALUE"""),"193")</f>
        <v>193</v>
      </c>
      <c r="C49" s="62" t="str">
        <f>IFERROR(__xludf.DUMMYFUNCTION("""COMPUTED_VALUE"""),"ROUSSEAU")</f>
        <v>ROUSSEAU</v>
      </c>
      <c r="D49" s="63" t="str">
        <f>IFERROR(__xludf.DUMMYFUNCTION("""COMPUTED_VALUE"""),"THOMAS")</f>
        <v>THOMAS</v>
      </c>
      <c r="E49" s="51" t="str">
        <f>IFERROR(__xludf.DUMMYFUNCTION("""COMPUTED_VALUE"""),"SH3")</f>
        <v>SH3</v>
      </c>
      <c r="F49" s="64">
        <f>IFERROR(__xludf.DUMMYFUNCTION("""COMPUTED_VALUE"""),13.0)</f>
        <v>13</v>
      </c>
      <c r="G49" s="52">
        <f>IFERROR(__xludf.DUMMYFUNCTION("""COMPUTED_VALUE"""),0.02064814878576802)</f>
        <v>0.02064814879</v>
      </c>
      <c r="H49" s="53">
        <f>IFERROR(__xludf.DUMMYFUNCTION("""COMPUTED_VALUE"""),0.004236111193935369)</f>
        <v>0.004236111194</v>
      </c>
      <c r="I49" s="53">
        <f>IFERROR(__xludf.DUMMYFUNCTION("""COMPUTED_VALUE"""),0.007488425966152335)</f>
        <v>0.007488425966</v>
      </c>
      <c r="J49" s="53">
        <f>IFERROR(__xludf.DUMMYFUNCTION("""COMPUTED_VALUE"""),0.008252315404655377)</f>
        <v>0.008252315405</v>
      </c>
      <c r="K49" s="54">
        <f>IFERROR(__xludf.DUMMYFUNCTION("""COMPUTED_VALUE"""),6.712962210249406E-4)</f>
        <v>0.000671296221</v>
      </c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6"/>
      <c r="W49" s="56"/>
      <c r="X49" s="56"/>
      <c r="Y49" s="56"/>
      <c r="Z49" s="57"/>
      <c r="AA49" s="58"/>
      <c r="AB49" s="59"/>
    </row>
    <row r="50" ht="13.5" customHeight="1">
      <c r="A50" s="60">
        <f>IFERROR(__xludf.DUMMYFUNCTION("""COMPUTED_VALUE"""),49.0)</f>
        <v>49</v>
      </c>
      <c r="B50" s="61" t="str">
        <f>IFERROR(__xludf.DUMMYFUNCTION("""COMPUTED_VALUE"""),"197")</f>
        <v>197</v>
      </c>
      <c r="C50" s="62" t="str">
        <f>IFERROR(__xludf.DUMMYFUNCTION("""COMPUTED_VALUE"""),"LI")</f>
        <v>LI</v>
      </c>
      <c r="D50" s="63" t="str">
        <f>IFERROR(__xludf.DUMMYFUNCTION("""COMPUTED_VALUE"""),"MICHAEL")</f>
        <v>MICHAEL</v>
      </c>
      <c r="E50" s="51" t="str">
        <f>IFERROR(__xludf.DUMMYFUNCTION("""COMPUTED_VALUE"""),"SH2")</f>
        <v>SH2</v>
      </c>
      <c r="F50" s="64">
        <f>IFERROR(__xludf.DUMMYFUNCTION("""COMPUTED_VALUE"""),6.0)</f>
        <v>6</v>
      </c>
      <c r="G50" s="52">
        <f>IFERROR(__xludf.DUMMYFUNCTION("""COMPUTED_VALUE"""),0.020659722524237208)</f>
        <v>0.02065972252</v>
      </c>
      <c r="H50" s="53">
        <f>IFERROR(__xludf.DUMMYFUNCTION("""COMPUTED_VALUE"""),0.00317129632679981)</f>
        <v>0.003171296327</v>
      </c>
      <c r="I50" s="53">
        <f>IFERROR(__xludf.DUMMYFUNCTION("""COMPUTED_VALUE"""),0.007592592680941413)</f>
        <v>0.007592592681</v>
      </c>
      <c r="J50" s="53">
        <f>IFERROR(__xludf.DUMMYFUNCTION("""COMPUTED_VALUE"""),0.008113425477594745)</f>
        <v>0.008113425478</v>
      </c>
      <c r="K50" s="54">
        <f>IFERROR(__xludf.DUMMYFUNCTION("""COMPUTED_VALUE"""),0.001782408038901239)</f>
        <v>0.001782408039</v>
      </c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6"/>
      <c r="W50" s="56"/>
      <c r="X50" s="56"/>
      <c r="Y50" s="56"/>
      <c r="Z50" s="57"/>
      <c r="AA50" s="58"/>
      <c r="AB50" s="59"/>
    </row>
    <row r="51" ht="13.5" customHeight="1">
      <c r="A51" s="60">
        <f>IFERROR(__xludf.DUMMYFUNCTION("""COMPUTED_VALUE"""),50.0)</f>
        <v>50</v>
      </c>
      <c r="B51" s="61" t="str">
        <f>IFERROR(__xludf.DUMMYFUNCTION("""COMPUTED_VALUE"""),"73")</f>
        <v>73</v>
      </c>
      <c r="C51" s="62" t="str">
        <f>IFERROR(__xludf.DUMMYFUNCTION("""COMPUTED_VALUE"""),"MEYRUEY")</f>
        <v>MEYRUEY</v>
      </c>
      <c r="D51" s="63" t="str">
        <f>IFERROR(__xludf.DUMMYFUNCTION("""COMPUTED_VALUE"""),"ETIENNE")</f>
        <v>ETIENNE</v>
      </c>
      <c r="E51" s="51" t="str">
        <f>IFERROR(__xludf.DUMMYFUNCTION("""COMPUTED_VALUE"""),"SH3")</f>
        <v>SH3</v>
      </c>
      <c r="F51" s="64">
        <f>IFERROR(__xludf.DUMMYFUNCTION("""COMPUTED_VALUE"""),14.0)</f>
        <v>14</v>
      </c>
      <c r="G51" s="52">
        <f>IFERROR(__xludf.DUMMYFUNCTION("""COMPUTED_VALUE"""),0.02067129654107898)</f>
        <v>0.02067129654</v>
      </c>
      <c r="H51" s="53">
        <f>IFERROR(__xludf.DUMMYFUNCTION("""COMPUTED_VALUE"""),0.0045833333607618485)</f>
        <v>0.004583333361</v>
      </c>
      <c r="I51" s="53">
        <f>IFERROR(__xludf.DUMMYFUNCTION("""COMPUTED_VALUE"""),0.007245370453516609)</f>
        <v>0.007245370454</v>
      </c>
      <c r="J51" s="53">
        <f>IFERROR(__xludf.DUMMYFUNCTION("""COMPUTED_VALUE"""),0.00793981409213126)</f>
        <v>0.007939814092</v>
      </c>
      <c r="K51" s="54">
        <f>IFERROR(__xludf.DUMMYFUNCTION("""COMPUTED_VALUE"""),9.027786346692606E-4)</f>
        <v>0.0009027786347</v>
      </c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6"/>
      <c r="W51" s="56"/>
      <c r="X51" s="56"/>
      <c r="Y51" s="56"/>
      <c r="Z51" s="57"/>
      <c r="AA51" s="58"/>
      <c r="AB51" s="59"/>
    </row>
    <row r="52" ht="13.5" customHeight="1">
      <c r="A52" s="60">
        <f>IFERROR(__xludf.DUMMYFUNCTION("""COMPUTED_VALUE"""),51.0)</f>
        <v>51</v>
      </c>
      <c r="B52" s="61" t="str">
        <f>IFERROR(__xludf.DUMMYFUNCTION("""COMPUTED_VALUE"""),"207")</f>
        <v>207</v>
      </c>
      <c r="C52" s="62" t="str">
        <f>IFERROR(__xludf.DUMMYFUNCTION("""COMPUTED_VALUE"""),"LE HUEROU")</f>
        <v>LE HUEROU</v>
      </c>
      <c r="D52" s="63" t="str">
        <f>IFERROR(__xludf.DUMMYFUNCTION("""COMPUTED_VALUE"""),"ALEXIS")</f>
        <v>ALEXIS</v>
      </c>
      <c r="E52" s="51" t="str">
        <f>IFERROR(__xludf.DUMMYFUNCTION("""COMPUTED_VALUE"""),"SH3")</f>
        <v>SH3</v>
      </c>
      <c r="F52" s="64">
        <f>IFERROR(__xludf.DUMMYFUNCTION("""COMPUTED_VALUE"""),15.0)</f>
        <v>15</v>
      </c>
      <c r="G52" s="52">
        <f>IFERROR(__xludf.DUMMYFUNCTION("""COMPUTED_VALUE"""),0.020902778557697465)</f>
        <v>0.02090277856</v>
      </c>
      <c r="H52" s="53">
        <f>IFERROR(__xludf.DUMMYFUNCTION("""COMPUTED_VALUE"""),0.004571759330886624)</f>
        <v>0.004571759331</v>
      </c>
      <c r="I52" s="53">
        <f>IFERROR(__xludf.DUMMYFUNCTION("""COMPUTED_VALUE"""),0.007916666717491902)</f>
        <v>0.007916666717</v>
      </c>
      <c r="J52" s="53">
        <f>IFERROR(__xludf.DUMMYFUNCTION("""COMPUTED_VALUE"""),0.007291667274617587)</f>
        <v>0.007291667275</v>
      </c>
      <c r="K52" s="54">
        <f>IFERROR(__xludf.DUMMYFUNCTION("""COMPUTED_VALUE"""),0.0011226852347013512)</f>
        <v>0.001122685235</v>
      </c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6"/>
      <c r="W52" s="56"/>
      <c r="X52" s="56"/>
      <c r="Y52" s="56"/>
      <c r="Z52" s="57"/>
      <c r="AA52" s="58"/>
      <c r="AB52" s="59"/>
    </row>
    <row r="53" ht="13.5" customHeight="1">
      <c r="A53" s="60">
        <f>IFERROR(__xludf.DUMMYFUNCTION("""COMPUTED_VALUE"""),52.0)</f>
        <v>52</v>
      </c>
      <c r="B53" s="61" t="str">
        <f>IFERROR(__xludf.DUMMYFUNCTION("""COMPUTED_VALUE"""),"223")</f>
        <v>223</v>
      </c>
      <c r="C53" s="62" t="str">
        <f>IFERROR(__xludf.DUMMYFUNCTION("""COMPUTED_VALUE"""),"LANDRY")</f>
        <v>LANDRY</v>
      </c>
      <c r="D53" s="63" t="str">
        <f>IFERROR(__xludf.DUMMYFUNCTION("""COMPUTED_VALUE"""),"GUILLAUME")</f>
        <v>GUILLAUME</v>
      </c>
      <c r="E53" s="51" t="str">
        <f>IFERROR(__xludf.DUMMYFUNCTION("""COMPUTED_VALUE"""),"SH4")</f>
        <v>SH4</v>
      </c>
      <c r="F53" s="64">
        <f>IFERROR(__xludf.DUMMYFUNCTION("""COMPUTED_VALUE"""),14.0)</f>
        <v>14</v>
      </c>
      <c r="G53" s="52">
        <f>IFERROR(__xludf.DUMMYFUNCTION("""COMPUTED_VALUE"""),0.02105324152417471)</f>
        <v>0.02105324152</v>
      </c>
      <c r="H53" s="53">
        <f>IFERROR(__xludf.DUMMYFUNCTION("""COMPUTED_VALUE"""),0.002824074099659732)</f>
        <v>0.0028240741</v>
      </c>
      <c r="I53" s="53">
        <f>IFERROR(__xludf.DUMMYFUNCTION("""COMPUTED_VALUE"""),0.008564814854066797)</f>
        <v>0.008564814854</v>
      </c>
      <c r="J53" s="53">
        <f>IFERROR(__xludf.DUMMYFUNCTION("""COMPUTED_VALUE"""),0.008263888873122745)</f>
        <v>0.008263888873</v>
      </c>
      <c r="K53" s="54">
        <f>IFERROR(__xludf.DUMMYFUNCTION("""COMPUTED_VALUE"""),0.0014004636973254372)</f>
        <v>0.001400463697</v>
      </c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6"/>
      <c r="W53" s="56"/>
      <c r="X53" s="56"/>
      <c r="Y53" s="56"/>
      <c r="Z53" s="57"/>
      <c r="AA53" s="58"/>
      <c r="AB53" s="59"/>
    </row>
    <row r="54" ht="13.5" customHeight="1">
      <c r="A54" s="60">
        <f>IFERROR(__xludf.DUMMYFUNCTION("""COMPUTED_VALUE"""),53.0)</f>
        <v>53</v>
      </c>
      <c r="B54" s="61" t="str">
        <f>IFERROR(__xludf.DUMMYFUNCTION("""COMPUTED_VALUE"""),"149")</f>
        <v>149</v>
      </c>
      <c r="C54" s="62" t="str">
        <f>IFERROR(__xludf.DUMMYFUNCTION("""COMPUTED_VALUE"""),"FAIVRE")</f>
        <v>FAIVRE</v>
      </c>
      <c r="D54" s="63" t="str">
        <f>IFERROR(__xludf.DUMMYFUNCTION("""COMPUTED_VALUE"""),"LIONEL")</f>
        <v>LIONEL</v>
      </c>
      <c r="E54" s="51" t="str">
        <f>IFERROR(__xludf.DUMMYFUNCTION("""COMPUTED_VALUE"""),"SH4")</f>
        <v>SH4</v>
      </c>
      <c r="F54" s="64">
        <f>IFERROR(__xludf.DUMMYFUNCTION("""COMPUTED_VALUE"""),15.0)</f>
        <v>15</v>
      </c>
      <c r="G54" s="52">
        <f>IFERROR(__xludf.DUMMYFUNCTION("""COMPUTED_VALUE"""),0.021087963742525112)</f>
        <v>0.02108796374</v>
      </c>
      <c r="H54" s="53">
        <f>IFERROR(__xludf.DUMMYFUNCTION("""COMPUTED_VALUE"""),0.003819444455330476)</f>
        <v>0.003819444455</v>
      </c>
      <c r="I54" s="53">
        <f>IFERROR(__xludf.DUMMYFUNCTION("""COMPUTED_VALUE"""),0.007905092680849256)</f>
        <v>0.007905092681</v>
      </c>
      <c r="J54" s="53">
        <f>IFERROR(__xludf.DUMMYFUNCTION("""COMPUTED_VALUE"""),0.008495370135621965)</f>
        <v>0.008495370136</v>
      </c>
      <c r="K54" s="54">
        <f>IFERROR(__xludf.DUMMYFUNCTION("""COMPUTED_VALUE"""),8.680564707234145E-4)</f>
        <v>0.0008680564707</v>
      </c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6"/>
      <c r="W54" s="56"/>
      <c r="X54" s="56"/>
      <c r="Y54" s="56"/>
      <c r="Z54" s="57"/>
      <c r="AA54" s="58"/>
      <c r="AB54" s="59"/>
    </row>
    <row r="55" ht="13.5" customHeight="1">
      <c r="A55" s="60">
        <f>IFERROR(__xludf.DUMMYFUNCTION("""COMPUTED_VALUE"""),54.0)</f>
        <v>54</v>
      </c>
      <c r="B55" s="61" t="str">
        <f>IFERROR(__xludf.DUMMYFUNCTION("""COMPUTED_VALUE"""),"81")</f>
        <v>81</v>
      </c>
      <c r="C55" s="62" t="str">
        <f>IFERROR(__xludf.DUMMYFUNCTION("""COMPUTED_VALUE"""),"ANSELMI")</f>
        <v>ANSELMI</v>
      </c>
      <c r="D55" s="63" t="str">
        <f>IFERROR(__xludf.DUMMYFUNCTION("""COMPUTED_VALUE"""),"AURELIEN")</f>
        <v>AURELIEN</v>
      </c>
      <c r="E55" s="51" t="str">
        <f>IFERROR(__xludf.DUMMYFUNCTION("""COMPUTED_VALUE"""),"MH1")</f>
        <v>MH1</v>
      </c>
      <c r="F55" s="64">
        <f>IFERROR(__xludf.DUMMYFUNCTION("""COMPUTED_VALUE"""),6.0)</f>
        <v>6</v>
      </c>
      <c r="G55" s="52">
        <f>IFERROR(__xludf.DUMMYFUNCTION("""COMPUTED_VALUE"""),0.021099537302999474)</f>
        <v>0.0210995373</v>
      </c>
      <c r="H55" s="53">
        <f>IFERROR(__xludf.DUMMYFUNCTION("""COMPUTED_VALUE"""),0.003912037049258412)</f>
        <v>0.003912037049</v>
      </c>
      <c r="I55" s="53">
        <f>IFERROR(__xludf.DUMMYFUNCTION("""COMPUTED_VALUE"""),0.007997685211200263)</f>
        <v>0.007997685211</v>
      </c>
      <c r="J55" s="53">
        <f>IFERROR(__xludf.DUMMYFUNCTION("""COMPUTED_VALUE"""),0.008287036941292392)</f>
        <v>0.008287036941</v>
      </c>
      <c r="K55" s="54">
        <f>IFERROR(__xludf.DUMMYFUNCTION("""COMPUTED_VALUE"""),9.027781012484071E-4)</f>
        <v>0.0009027781012</v>
      </c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6"/>
      <c r="W55" s="56"/>
      <c r="X55" s="56"/>
      <c r="Y55" s="56"/>
      <c r="Z55" s="57"/>
      <c r="AA55" s="58"/>
      <c r="AB55" s="59"/>
    </row>
    <row r="56" ht="13.5" customHeight="1">
      <c r="A56" s="60">
        <f>IFERROR(__xludf.DUMMYFUNCTION("""COMPUTED_VALUE"""),55.0)</f>
        <v>55</v>
      </c>
      <c r="B56" s="61" t="str">
        <f>IFERROR(__xludf.DUMMYFUNCTION("""COMPUTED_VALUE"""),"134")</f>
        <v>134</v>
      </c>
      <c r="C56" s="62" t="str">
        <f>IFERROR(__xludf.DUMMYFUNCTION("""COMPUTED_VALUE"""),"POUTOUT")</f>
        <v>POUTOUT</v>
      </c>
      <c r="D56" s="63" t="str">
        <f>IFERROR(__xludf.DUMMYFUNCTION("""COMPUTED_VALUE"""),"ROMAIN")</f>
        <v>ROMAIN</v>
      </c>
      <c r="E56" s="51" t="str">
        <f>IFERROR(__xludf.DUMMYFUNCTION("""COMPUTED_VALUE"""),"SH3")</f>
        <v>SH3</v>
      </c>
      <c r="F56" s="64">
        <f>IFERROR(__xludf.DUMMYFUNCTION("""COMPUTED_VALUE"""),16.0)</f>
        <v>16</v>
      </c>
      <c r="G56" s="52">
        <f>IFERROR(__xludf.DUMMYFUNCTION("""COMPUTED_VALUE"""),0.021099538069560244)</f>
        <v>0.02109953807</v>
      </c>
      <c r="H56" s="53">
        <f>IFERROR(__xludf.DUMMYFUNCTION("""COMPUTED_VALUE"""),0.00414351858282849)</f>
        <v>0.004143518583</v>
      </c>
      <c r="I56" s="53">
        <f>IFERROR(__xludf.DUMMYFUNCTION("""COMPUTED_VALUE"""),0.007372685187764225)</f>
        <v>0.007372685188</v>
      </c>
      <c r="J56" s="53">
        <f>IFERROR(__xludf.DUMMYFUNCTION("""COMPUTED_VALUE"""),0.008599538049162286)</f>
        <v>0.008599538049</v>
      </c>
      <c r="K56" s="54">
        <f>IFERROR(__xludf.DUMMYFUNCTION("""COMPUTED_VALUE"""),9.837962498052437E-4)</f>
        <v>0.0009837962498</v>
      </c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6"/>
      <c r="W56" s="56"/>
      <c r="X56" s="56"/>
      <c r="Y56" s="56"/>
      <c r="Z56" s="57"/>
      <c r="AA56" s="58"/>
      <c r="AB56" s="59"/>
    </row>
    <row r="57" ht="13.5" customHeight="1">
      <c r="A57" s="60">
        <f>IFERROR(__xludf.DUMMYFUNCTION("""COMPUTED_VALUE"""),56.0)</f>
        <v>56</v>
      </c>
      <c r="B57" s="61" t="str">
        <f>IFERROR(__xludf.DUMMYFUNCTION("""COMPUTED_VALUE"""),"101")</f>
        <v>101</v>
      </c>
      <c r="C57" s="62" t="str">
        <f>IFERROR(__xludf.DUMMYFUNCTION("""COMPUTED_VALUE"""),"BOUKHIBA")</f>
        <v>BOUKHIBA</v>
      </c>
      <c r="D57" s="63" t="str">
        <f>IFERROR(__xludf.DUMMYFUNCTION("""COMPUTED_VALUE"""),"YANNIS")</f>
        <v>YANNIS</v>
      </c>
      <c r="E57" s="51" t="str">
        <f>IFERROR(__xludf.DUMMYFUNCTION("""COMPUTED_VALUE"""),"SH3")</f>
        <v>SH3</v>
      </c>
      <c r="F57" s="64">
        <f>IFERROR(__xludf.DUMMYFUNCTION("""COMPUTED_VALUE"""),17.0)</f>
        <v>17</v>
      </c>
      <c r="G57" s="52">
        <f>IFERROR(__xludf.DUMMYFUNCTION("""COMPUTED_VALUE"""),0.021168981906123596)</f>
        <v>0.02116898191</v>
      </c>
      <c r="H57" s="53">
        <f>IFERROR(__xludf.DUMMYFUNCTION("""COMPUTED_VALUE"""),0.0034722223024677462)</f>
        <v>0.003472222302</v>
      </c>
      <c r="I57" s="53">
        <f>IFERROR(__xludf.DUMMYFUNCTION("""COMPUTED_VALUE"""),0.007534722229990941)</f>
        <v>0.00753472223</v>
      </c>
      <c r="J57" s="53">
        <f>IFERROR(__xludf.DUMMYFUNCTION("""COMPUTED_VALUE"""),0.00826388829342638)</f>
        <v>0.008263888293</v>
      </c>
      <c r="K57" s="54">
        <f>IFERROR(__xludf.DUMMYFUNCTION("""COMPUTED_VALUE"""),0.0018981490802385298)</f>
        <v>0.00189814908</v>
      </c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6"/>
      <c r="W57" s="56"/>
      <c r="X57" s="56"/>
      <c r="Y57" s="56"/>
      <c r="Z57" s="57"/>
      <c r="AA57" s="58"/>
      <c r="AB57" s="59"/>
    </row>
    <row r="58" ht="13.5" customHeight="1">
      <c r="A58" s="60">
        <f>IFERROR(__xludf.DUMMYFUNCTION("""COMPUTED_VALUE"""),57.0)</f>
        <v>57</v>
      </c>
      <c r="B58" s="61" t="str">
        <f>IFERROR(__xludf.DUMMYFUNCTION("""COMPUTED_VALUE"""),"126")</f>
        <v>126</v>
      </c>
      <c r="C58" s="62" t="str">
        <f>IFERROR(__xludf.DUMMYFUNCTION("""COMPUTED_VALUE"""),"MAZIERE")</f>
        <v>MAZIERE</v>
      </c>
      <c r="D58" s="63" t="str">
        <f>IFERROR(__xludf.DUMMYFUNCTION("""COMPUTED_VALUE"""),"CHRISTOPHE")</f>
        <v>CHRISTOPHE</v>
      </c>
      <c r="E58" s="51" t="str">
        <f>IFERROR(__xludf.DUMMYFUNCTION("""COMPUTED_VALUE"""),"MH2")</f>
        <v>MH2</v>
      </c>
      <c r="F58" s="64">
        <f>IFERROR(__xludf.DUMMYFUNCTION("""COMPUTED_VALUE"""),6.0)</f>
        <v>6</v>
      </c>
      <c r="G58" s="52">
        <f>IFERROR(__xludf.DUMMYFUNCTION("""COMPUTED_VALUE"""),0.021203704255504868)</f>
        <v>0.02120370426</v>
      </c>
      <c r="H58" s="53">
        <f>IFERROR(__xludf.DUMMYFUNCTION("""COMPUTED_VALUE"""),0.004363425985820657)</f>
        <v>0.004363425986</v>
      </c>
      <c r="I58" s="53">
        <f>IFERROR(__xludf.DUMMYFUNCTION("""COMPUTED_VALUE"""),0.007928240850627542)</f>
        <v>0.007928240851</v>
      </c>
      <c r="J58" s="53">
        <f>IFERROR(__xludf.DUMMYFUNCTION("""COMPUTED_VALUE"""),0.00799768563926872)</f>
        <v>0.007997685639</v>
      </c>
      <c r="K58" s="54">
        <f>IFERROR(__xludf.DUMMYFUNCTION("""COMPUTED_VALUE"""),9.143517797879485E-4)</f>
        <v>0.0009143517798</v>
      </c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6"/>
      <c r="W58" s="56"/>
      <c r="X58" s="56"/>
      <c r="Y58" s="56"/>
      <c r="Z58" s="57"/>
      <c r="AA58" s="58"/>
      <c r="AB58" s="59"/>
    </row>
    <row r="59" ht="13.5" customHeight="1">
      <c r="A59" s="60">
        <f>IFERROR(__xludf.DUMMYFUNCTION("""COMPUTED_VALUE"""),58.0)</f>
        <v>58</v>
      </c>
      <c r="B59" s="61" t="str">
        <f>IFERROR(__xludf.DUMMYFUNCTION("""COMPUTED_VALUE"""),"91")</f>
        <v>91</v>
      </c>
      <c r="C59" s="62" t="str">
        <f>IFERROR(__xludf.DUMMYFUNCTION("""COMPUTED_VALUE"""),"CHATENET")</f>
        <v>CHATENET</v>
      </c>
      <c r="D59" s="63" t="str">
        <f>IFERROR(__xludf.DUMMYFUNCTION("""COMPUTED_VALUE"""),"BENJAMIN")</f>
        <v>BENJAMIN</v>
      </c>
      <c r="E59" s="51" t="str">
        <f>IFERROR(__xludf.DUMMYFUNCTION("""COMPUTED_VALUE"""),"SH4")</f>
        <v>SH4</v>
      </c>
      <c r="F59" s="64">
        <f>IFERROR(__xludf.DUMMYFUNCTION("""COMPUTED_VALUE"""),16.0)</f>
        <v>16</v>
      </c>
      <c r="G59" s="52">
        <f>IFERROR(__xludf.DUMMYFUNCTION("""COMPUTED_VALUE"""),0.02156250026841064)</f>
        <v>0.02156250027</v>
      </c>
      <c r="H59" s="53">
        <f>IFERROR(__xludf.DUMMYFUNCTION("""COMPUTED_VALUE"""),0.0044328704301627294)</f>
        <v>0.00443287043</v>
      </c>
      <c r="I59" s="53">
        <f>IFERROR(__xludf.DUMMYFUNCTION("""COMPUTED_VALUE"""),0.006851851904946369)</f>
        <v>0.006851851905</v>
      </c>
      <c r="J59" s="53">
        <f>IFERROR(__xludf.DUMMYFUNCTION("""COMPUTED_VALUE"""),0.009618054896622033)</f>
        <v>0.009618054897</v>
      </c>
      <c r="K59" s="54">
        <f>IFERROR(__xludf.DUMMYFUNCTION("""COMPUTED_VALUE"""),6.597230366795085E-4)</f>
        <v>0.0006597230367</v>
      </c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6"/>
      <c r="W59" s="56"/>
      <c r="X59" s="56"/>
      <c r="Y59" s="56"/>
      <c r="Z59" s="57"/>
      <c r="AA59" s="58"/>
      <c r="AB59" s="59"/>
    </row>
    <row r="60" ht="13.5" customHeight="1">
      <c r="A60" s="60">
        <f>IFERROR(__xludf.DUMMYFUNCTION("""COMPUTED_VALUE"""),59.0)</f>
        <v>59</v>
      </c>
      <c r="B60" s="61" t="str">
        <f>IFERROR(__xludf.DUMMYFUNCTION("""COMPUTED_VALUE"""),"161")</f>
        <v>161</v>
      </c>
      <c r="C60" s="62" t="str">
        <f>IFERROR(__xludf.DUMMYFUNCTION("""COMPUTED_VALUE"""),"ALORY")</f>
        <v>ALORY</v>
      </c>
      <c r="D60" s="63" t="str">
        <f>IFERROR(__xludf.DUMMYFUNCTION("""COMPUTED_VALUE"""),"JONATHAN")</f>
        <v>JONATHAN</v>
      </c>
      <c r="E60" s="51" t="str">
        <f>IFERROR(__xludf.DUMMYFUNCTION("""COMPUTED_VALUE"""),"SH4")</f>
        <v>SH4</v>
      </c>
      <c r="F60" s="64">
        <f>IFERROR(__xludf.DUMMYFUNCTION("""COMPUTED_VALUE"""),17.0)</f>
        <v>17</v>
      </c>
      <c r="G60" s="52">
        <f>IFERROR(__xludf.DUMMYFUNCTION("""COMPUTED_VALUE"""),0.02156250086148316)</f>
        <v>0.02156250086</v>
      </c>
      <c r="H60" s="53">
        <f>IFERROR(__xludf.DUMMYFUNCTION("""COMPUTED_VALUE"""),0.004212963013397811)</f>
        <v>0.004212963013</v>
      </c>
      <c r="I60" s="53">
        <f>IFERROR(__xludf.DUMMYFUNCTION("""COMPUTED_VALUE"""),0.00783564815519252)</f>
        <v>0.007835648155</v>
      </c>
      <c r="J60" s="53">
        <f>IFERROR(__xludf.DUMMYFUNCTION("""COMPUTED_VALUE"""),0.00834490822934924)</f>
        <v>0.008344908229</v>
      </c>
      <c r="K60" s="54">
        <f>IFERROR(__xludf.DUMMYFUNCTION("""COMPUTED_VALUE"""),0.0011689814635435902)</f>
        <v>0.001168981464</v>
      </c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6"/>
      <c r="W60" s="56"/>
      <c r="X60" s="56"/>
      <c r="Y60" s="56"/>
      <c r="Z60" s="57"/>
      <c r="AA60" s="58"/>
      <c r="AB60" s="59"/>
    </row>
    <row r="61" ht="13.5" customHeight="1">
      <c r="A61" s="60">
        <f>IFERROR(__xludf.DUMMYFUNCTION("""COMPUTED_VALUE"""),60.0)</f>
        <v>60</v>
      </c>
      <c r="B61" s="61" t="str">
        <f>IFERROR(__xludf.DUMMYFUNCTION("""COMPUTED_VALUE"""),"122")</f>
        <v>122</v>
      </c>
      <c r="C61" s="62" t="str">
        <f>IFERROR(__xludf.DUMMYFUNCTION("""COMPUTED_VALUE"""),"PERETTI")</f>
        <v>PERETTI</v>
      </c>
      <c r="D61" s="63" t="str">
        <f>IFERROR(__xludf.DUMMYFUNCTION("""COMPUTED_VALUE"""),"MAXIME")</f>
        <v>MAXIME</v>
      </c>
      <c r="E61" s="51" t="str">
        <f>IFERROR(__xludf.DUMMYFUNCTION("""COMPUTED_VALUE"""),"MH1")</f>
        <v>MH1</v>
      </c>
      <c r="F61" s="64">
        <f>IFERROR(__xludf.DUMMYFUNCTION("""COMPUTED_VALUE"""),7.0)</f>
        <v>7</v>
      </c>
      <c r="G61" s="52">
        <f>IFERROR(__xludf.DUMMYFUNCTION("""COMPUTED_VALUE"""),0.021585649224822034)</f>
        <v>0.02158564922</v>
      </c>
      <c r="H61" s="53">
        <f>IFERROR(__xludf.DUMMYFUNCTION("""COMPUTED_VALUE"""),0.004143518587560433)</f>
        <v>0.004143518588</v>
      </c>
      <c r="I61" s="53">
        <f>IFERROR(__xludf.DUMMYFUNCTION("""COMPUTED_VALUE"""),0.008090277839638716)</f>
        <v>0.00809027784</v>
      </c>
      <c r="J61" s="53">
        <f>IFERROR(__xludf.DUMMYFUNCTION("""COMPUTED_VALUE"""),0.007800925952901017)</f>
        <v>0.007800925953</v>
      </c>
      <c r="K61" s="54">
        <f>IFERROR(__xludf.DUMMYFUNCTION("""COMPUTED_VALUE"""),0.0015509268447218682)</f>
        <v>0.001550926845</v>
      </c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6"/>
      <c r="W61" s="56"/>
      <c r="X61" s="56"/>
      <c r="Y61" s="56"/>
      <c r="Z61" s="57"/>
      <c r="AA61" s="58"/>
      <c r="AB61" s="59"/>
    </row>
    <row r="62" ht="13.5" customHeight="1">
      <c r="A62" s="60">
        <f>IFERROR(__xludf.DUMMYFUNCTION("""COMPUTED_VALUE"""),61.0)</f>
        <v>61</v>
      </c>
      <c r="B62" s="61" t="str">
        <f>IFERROR(__xludf.DUMMYFUNCTION("""COMPUTED_VALUE"""),"93")</f>
        <v>93</v>
      </c>
      <c r="C62" s="62" t="str">
        <f>IFERROR(__xludf.DUMMYFUNCTION("""COMPUTED_VALUE"""),"CHARMAIL")</f>
        <v>CHARMAIL</v>
      </c>
      <c r="D62" s="63" t="str">
        <f>IFERROR(__xludf.DUMMYFUNCTION("""COMPUTED_VALUE"""),"NICOLAS")</f>
        <v>NICOLAS</v>
      </c>
      <c r="E62" s="51" t="str">
        <f>IFERROR(__xludf.DUMMYFUNCTION("""COMPUTED_VALUE"""),"MH2")</f>
        <v>MH2</v>
      </c>
      <c r="F62" s="64">
        <f>IFERROR(__xludf.DUMMYFUNCTION("""COMPUTED_VALUE"""),7.0)</f>
        <v>7</v>
      </c>
      <c r="G62" s="52">
        <f>IFERROR(__xludf.DUMMYFUNCTION("""COMPUTED_VALUE"""),0.021631945457623057)</f>
        <v>0.02163194546</v>
      </c>
      <c r="H62" s="53">
        <f>IFERROR(__xludf.DUMMYFUNCTION("""COMPUTED_VALUE"""),0.0036574074626364397)</f>
        <v>0.003657407463</v>
      </c>
      <c r="I62" s="53">
        <f>IFERROR(__xludf.DUMMYFUNCTION("""COMPUTED_VALUE"""),0.007893518533823526)</f>
        <v>0.007893518534</v>
      </c>
      <c r="J62" s="53">
        <f>IFERROR(__xludf.DUMMYFUNCTION("""COMPUTED_VALUE"""),0.009143518837772532)</f>
        <v>0.009143518838</v>
      </c>
      <c r="K62" s="54">
        <f>IFERROR(__xludf.DUMMYFUNCTION("""COMPUTED_VALUE"""),9.375006233905601E-4)</f>
        <v>0.0009375006234</v>
      </c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6"/>
      <c r="W62" s="56"/>
      <c r="X62" s="56"/>
      <c r="Y62" s="56"/>
      <c r="Z62" s="57"/>
      <c r="AA62" s="58"/>
      <c r="AB62" s="59"/>
    </row>
    <row r="63" ht="13.5" customHeight="1">
      <c r="A63" s="60">
        <f>IFERROR(__xludf.DUMMYFUNCTION("""COMPUTED_VALUE"""),62.0)</f>
        <v>62</v>
      </c>
      <c r="B63" s="61" t="str">
        <f>IFERROR(__xludf.DUMMYFUNCTION("""COMPUTED_VALUE"""),"159")</f>
        <v>159</v>
      </c>
      <c r="C63" s="62" t="str">
        <f>IFERROR(__xludf.DUMMYFUNCTION("""COMPUTED_VALUE"""),"PRADIER")</f>
        <v>PRADIER</v>
      </c>
      <c r="D63" s="63" t="str">
        <f>IFERROR(__xludf.DUMMYFUNCTION("""COMPUTED_VALUE"""),"VINCENT")</f>
        <v>VINCENT</v>
      </c>
      <c r="E63" s="51" t="str">
        <f>IFERROR(__xludf.DUMMYFUNCTION("""COMPUTED_VALUE"""),"SH4")</f>
        <v>SH4</v>
      </c>
      <c r="F63" s="64">
        <f>IFERROR(__xludf.DUMMYFUNCTION("""COMPUTED_VALUE"""),18.0)</f>
        <v>18</v>
      </c>
      <c r="G63" s="52">
        <f>IFERROR(__xludf.DUMMYFUNCTION("""COMPUTED_VALUE"""),0.022013888972676005)</f>
        <v>0.02201388897</v>
      </c>
      <c r="H63" s="53">
        <f>IFERROR(__xludf.DUMMYFUNCTION("""COMPUTED_VALUE"""),0.0037384260062550026)</f>
        <v>0.003738426006</v>
      </c>
      <c r="I63" s="53">
        <f>IFERROR(__xludf.DUMMYFUNCTION("""COMPUTED_VALUE"""),0.007685185186063136)</f>
        <v>0.007685185186</v>
      </c>
      <c r="J63" s="53">
        <f>IFERROR(__xludf.DUMMYFUNCTION("""COMPUTED_VALUE"""),0.009571759097722864)</f>
        <v>0.009571759098</v>
      </c>
      <c r="K63" s="54">
        <f>IFERROR(__xludf.DUMMYFUNCTION("""COMPUTED_VALUE"""),0.0010185186826350023)</f>
        <v>0.001018518683</v>
      </c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6"/>
      <c r="W63" s="56"/>
      <c r="X63" s="56"/>
      <c r="Y63" s="56"/>
      <c r="Z63" s="57"/>
      <c r="AA63" s="58"/>
      <c r="AB63" s="59"/>
    </row>
    <row r="64" ht="13.5" customHeight="1">
      <c r="A64" s="60">
        <f>IFERROR(__xludf.DUMMYFUNCTION("""COMPUTED_VALUE"""),63.0)</f>
        <v>63</v>
      </c>
      <c r="B64" s="61" t="str">
        <f>IFERROR(__xludf.DUMMYFUNCTION("""COMPUTED_VALUE"""),"143")</f>
        <v>143</v>
      </c>
      <c r="C64" s="62" t="str">
        <f>IFERROR(__xludf.DUMMYFUNCTION("""COMPUTED_VALUE"""),"RONCERAY")</f>
        <v>RONCERAY</v>
      </c>
      <c r="D64" s="63" t="str">
        <f>IFERROR(__xludf.DUMMYFUNCTION("""COMPUTED_VALUE"""),"JEAN-RENÉ")</f>
        <v>JEAN-RENÉ</v>
      </c>
      <c r="E64" s="51" t="str">
        <f>IFERROR(__xludf.DUMMYFUNCTION("""COMPUTED_VALUE"""),"MH3")</f>
        <v>MH3</v>
      </c>
      <c r="F64" s="64">
        <f>IFERROR(__xludf.DUMMYFUNCTION("""COMPUTED_VALUE"""),5.0)</f>
        <v>5</v>
      </c>
      <c r="G64" s="52">
        <f>IFERROR(__xludf.DUMMYFUNCTION("""COMPUTED_VALUE"""),0.022025463639068623)</f>
        <v>0.02202546364</v>
      </c>
      <c r="H64" s="53">
        <f>IFERROR(__xludf.DUMMYFUNCTION("""COMPUTED_VALUE"""),0.004131944458021272)</f>
        <v>0.004131944458</v>
      </c>
      <c r="I64" s="53">
        <f>IFERROR(__xludf.DUMMYFUNCTION("""COMPUTED_VALUE"""),0.007974537114138461)</f>
        <v>0.007974537114</v>
      </c>
      <c r="J64" s="53">
        <f>IFERROR(__xludf.DUMMYFUNCTION("""COMPUTED_VALUE"""),0.0087152784011626)</f>
        <v>0.008715278401</v>
      </c>
      <c r="K64" s="54">
        <f>IFERROR(__xludf.DUMMYFUNCTION("""COMPUTED_VALUE"""),0.00120370366574629)</f>
        <v>0.001203703666</v>
      </c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6"/>
      <c r="W64" s="56"/>
      <c r="X64" s="56"/>
      <c r="Y64" s="56"/>
      <c r="Z64" s="57"/>
      <c r="AA64" s="58"/>
      <c r="AB64" s="59"/>
    </row>
    <row r="65" ht="13.5" customHeight="1">
      <c r="A65" s="60">
        <f>IFERROR(__xludf.DUMMYFUNCTION("""COMPUTED_VALUE"""),64.0)</f>
        <v>64</v>
      </c>
      <c r="B65" s="61" t="str">
        <f>IFERROR(__xludf.DUMMYFUNCTION("""COMPUTED_VALUE"""),"177")</f>
        <v>177</v>
      </c>
      <c r="C65" s="62" t="str">
        <f>IFERROR(__xludf.DUMMYFUNCTION("""COMPUTED_VALUE"""),"THIERRY")</f>
        <v>THIERRY</v>
      </c>
      <c r="D65" s="63" t="str">
        <f>IFERROR(__xludf.DUMMYFUNCTION("""COMPUTED_VALUE"""),"GABRIEL")</f>
        <v>GABRIEL</v>
      </c>
      <c r="E65" s="51" t="str">
        <f>IFERROR(__xludf.DUMMYFUNCTION("""COMPUTED_VALUE"""),"MH1")</f>
        <v>MH1</v>
      </c>
      <c r="F65" s="64">
        <f>IFERROR(__xludf.DUMMYFUNCTION("""COMPUTED_VALUE"""),8.0)</f>
        <v>8</v>
      </c>
      <c r="G65" s="52">
        <f>IFERROR(__xludf.DUMMYFUNCTION("""COMPUTED_VALUE"""),0.022175926299625937)</f>
        <v>0.0221759263</v>
      </c>
      <c r="H65" s="53">
        <f>IFERROR(__xludf.DUMMYFUNCTION("""COMPUTED_VALUE"""),0.004259259291521997)</f>
        <v>0.004259259292</v>
      </c>
      <c r="I65" s="53">
        <f>IFERROR(__xludf.DUMMYFUNCTION("""COMPUTED_VALUE"""),0.007361111225340421)</f>
        <v>0.007361111225</v>
      </c>
      <c r="J65" s="53">
        <f>IFERROR(__xludf.DUMMYFUNCTION("""COMPUTED_VALUE"""),0.008715277806130533)</f>
        <v>0.008715277806</v>
      </c>
      <c r="K65" s="54">
        <f>IFERROR(__xludf.DUMMYFUNCTION("""COMPUTED_VALUE"""),0.0018402779766329867)</f>
        <v>0.001840277977</v>
      </c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6"/>
      <c r="W65" s="56"/>
      <c r="X65" s="56"/>
      <c r="Y65" s="56"/>
      <c r="Z65" s="57"/>
      <c r="AA65" s="58"/>
      <c r="AB65" s="59"/>
    </row>
    <row r="66" ht="13.5" customHeight="1">
      <c r="A66" s="60">
        <f>IFERROR(__xludf.DUMMYFUNCTION("""COMPUTED_VALUE"""),65.0)</f>
        <v>65</v>
      </c>
      <c r="B66" s="61" t="str">
        <f>IFERROR(__xludf.DUMMYFUNCTION("""COMPUTED_VALUE"""),"78")</f>
        <v>78</v>
      </c>
      <c r="C66" s="62" t="str">
        <f>IFERROR(__xludf.DUMMYFUNCTION("""COMPUTED_VALUE"""),"MENOU")</f>
        <v>MENOU</v>
      </c>
      <c r="D66" s="63" t="str">
        <f>IFERROR(__xludf.DUMMYFUNCTION("""COMPUTED_VALUE"""),"MATTHIEU")</f>
        <v>MATTHIEU</v>
      </c>
      <c r="E66" s="51" t="str">
        <f>IFERROR(__xludf.DUMMYFUNCTION("""COMPUTED_VALUE"""),"SH3")</f>
        <v>SH3</v>
      </c>
      <c r="F66" s="64">
        <f>IFERROR(__xludf.DUMMYFUNCTION("""COMPUTED_VALUE"""),18.0)</f>
        <v>18</v>
      </c>
      <c r="G66" s="52">
        <f>IFERROR(__xludf.DUMMYFUNCTION("""COMPUTED_VALUE"""),0.022314814849950168)</f>
        <v>0.02231481485</v>
      </c>
      <c r="H66" s="53">
        <f>IFERROR(__xludf.DUMMYFUNCTION("""COMPUTED_VALUE"""),0.00398148155428003)</f>
        <v>0.003981481554</v>
      </c>
      <c r="I66" s="53">
        <f>IFERROR(__xludf.DUMMYFUNCTION("""COMPUTED_VALUE"""),0.007870370422446335)</f>
        <v>0.007870370422</v>
      </c>
      <c r="J66" s="53">
        <f>IFERROR(__xludf.DUMMYFUNCTION("""COMPUTED_VALUE"""),0.009386573334957193)</f>
        <v>0.009386573335</v>
      </c>
      <c r="K66" s="54">
        <f>IFERROR(__xludf.DUMMYFUNCTION("""COMPUTED_VALUE"""),0.0010763895382666106)</f>
        <v>0.001076389538</v>
      </c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6"/>
      <c r="W66" s="56"/>
      <c r="X66" s="56"/>
      <c r="Y66" s="56"/>
      <c r="Z66" s="57"/>
      <c r="AA66" s="58"/>
      <c r="AB66" s="59"/>
    </row>
    <row r="67" ht="13.5" customHeight="1">
      <c r="A67" s="60">
        <f>IFERROR(__xludf.DUMMYFUNCTION("""COMPUTED_VALUE"""),66.0)</f>
        <v>66</v>
      </c>
      <c r="B67" s="61" t="str">
        <f>IFERROR(__xludf.DUMMYFUNCTION("""COMPUTED_VALUE"""),"208")</f>
        <v>208</v>
      </c>
      <c r="C67" s="62" t="str">
        <f>IFERROR(__xludf.DUMMYFUNCTION("""COMPUTED_VALUE"""),"MAMES")</f>
        <v>MAMES</v>
      </c>
      <c r="D67" s="63" t="str">
        <f>IFERROR(__xludf.DUMMYFUNCTION("""COMPUTED_VALUE"""),"PIERRE")</f>
        <v>PIERRE</v>
      </c>
      <c r="E67" s="51" t="str">
        <f>IFERROR(__xludf.DUMMYFUNCTION("""COMPUTED_VALUE"""),"SH2")</f>
        <v>SH2</v>
      </c>
      <c r="F67" s="64">
        <f>IFERROR(__xludf.DUMMYFUNCTION("""COMPUTED_VALUE"""),7.0)</f>
        <v>7</v>
      </c>
      <c r="G67" s="52">
        <f>IFERROR(__xludf.DUMMYFUNCTION("""COMPUTED_VALUE"""),0.022372686296853912)</f>
        <v>0.0223726863</v>
      </c>
      <c r="H67" s="53">
        <f>IFERROR(__xludf.DUMMYFUNCTION("""COMPUTED_VALUE"""),0.0037731482529607223)</f>
        <v>0.003773148253</v>
      </c>
      <c r="I67" s="53">
        <f>IFERROR(__xludf.DUMMYFUNCTION("""COMPUTED_VALUE"""),0.00805555565238191)</f>
        <v>0.008055555652</v>
      </c>
      <c r="J67" s="53">
        <f>IFERROR(__xludf.DUMMYFUNCTION("""COMPUTED_VALUE"""),0.010046296321094645)</f>
        <v>0.01004629632</v>
      </c>
      <c r="K67" s="54">
        <f>IFERROR(__xludf.DUMMYFUNCTION("""COMPUTED_VALUE"""),4.97686070416635E-4)</f>
        <v>0.0004976860704</v>
      </c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6"/>
      <c r="W67" s="56"/>
      <c r="X67" s="56"/>
      <c r="Y67" s="56"/>
      <c r="Z67" s="57"/>
      <c r="AA67" s="58"/>
      <c r="AB67" s="59"/>
    </row>
    <row r="68" ht="13.5" customHeight="1">
      <c r="A68" s="60">
        <f>IFERROR(__xludf.DUMMYFUNCTION("""COMPUTED_VALUE"""),67.0)</f>
        <v>67</v>
      </c>
      <c r="B68" s="61" t="str">
        <f>IFERROR(__xludf.DUMMYFUNCTION("""COMPUTED_VALUE"""),"90")</f>
        <v>90</v>
      </c>
      <c r="C68" s="62" t="str">
        <f>IFERROR(__xludf.DUMMYFUNCTION("""COMPUTED_VALUE"""),"FRADETAL")</f>
        <v>FRADETAL</v>
      </c>
      <c r="D68" s="63" t="str">
        <f>IFERROR(__xludf.DUMMYFUNCTION("""COMPUTED_VALUE"""),"DENIS")</f>
        <v>DENIS</v>
      </c>
      <c r="E68" s="51" t="str">
        <f>IFERROR(__xludf.DUMMYFUNCTION("""COMPUTED_VALUE"""),"MH5")</f>
        <v>MH5</v>
      </c>
      <c r="F68" s="64">
        <f>IFERROR(__xludf.DUMMYFUNCTION("""COMPUTED_VALUE"""),2.0)</f>
        <v>2</v>
      </c>
      <c r="G68" s="52">
        <f>IFERROR(__xludf.DUMMYFUNCTION("""COMPUTED_VALUE"""),0.022685185315202975)</f>
        <v>0.02268518532</v>
      </c>
      <c r="H68" s="53">
        <f>IFERROR(__xludf.DUMMYFUNCTION("""COMPUTED_VALUE"""),0.004432870438904311)</f>
        <v>0.004432870439</v>
      </c>
      <c r="I68" s="53">
        <f>IFERROR(__xludf.DUMMYFUNCTION("""COMPUTED_VALUE"""),0.007766203712213502)</f>
        <v>0.007766203712</v>
      </c>
      <c r="J68" s="53">
        <f>IFERROR(__xludf.DUMMYFUNCTION("""COMPUTED_VALUE"""),0.009629629373143527)</f>
        <v>0.009629629373</v>
      </c>
      <c r="K68" s="54">
        <f>IFERROR(__xludf.DUMMYFUNCTION("""COMPUTED_VALUE"""),8.564817909416352E-4)</f>
        <v>0.0008564817909</v>
      </c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6"/>
      <c r="W68" s="56"/>
      <c r="X68" s="56"/>
      <c r="Y68" s="56"/>
      <c r="Z68" s="57"/>
      <c r="AA68" s="58"/>
      <c r="AB68" s="59"/>
    </row>
    <row r="69" ht="13.5" customHeight="1">
      <c r="A69" s="60">
        <f>IFERROR(__xludf.DUMMYFUNCTION("""COMPUTED_VALUE"""),68.0)</f>
        <v>68</v>
      </c>
      <c r="B69" s="61" t="str">
        <f>IFERROR(__xludf.DUMMYFUNCTION("""COMPUTED_VALUE"""),"181")</f>
        <v>181</v>
      </c>
      <c r="C69" s="62" t="str">
        <f>IFERROR(__xludf.DUMMYFUNCTION("""COMPUTED_VALUE"""),"RABIER")</f>
        <v>RABIER</v>
      </c>
      <c r="D69" s="63" t="str">
        <f>IFERROR(__xludf.DUMMYFUNCTION("""COMPUTED_VALUE"""),"GAËTAN")</f>
        <v>GAËTAN</v>
      </c>
      <c r="E69" s="51" t="str">
        <f>IFERROR(__xludf.DUMMYFUNCTION("""COMPUTED_VALUE"""),"SH4")</f>
        <v>SH4</v>
      </c>
      <c r="F69" s="64">
        <f>IFERROR(__xludf.DUMMYFUNCTION("""COMPUTED_VALUE"""),19.0)</f>
        <v>19</v>
      </c>
      <c r="G69" s="52">
        <f>IFERROR(__xludf.DUMMYFUNCTION("""COMPUTED_VALUE"""),0.02270833415039679)</f>
        <v>0.02270833415</v>
      </c>
      <c r="H69" s="53">
        <f>IFERROR(__xludf.DUMMYFUNCTION("""COMPUTED_VALUE"""),0.005277777863910716)</f>
        <v>0.005277777864</v>
      </c>
      <c r="I69" s="53">
        <f>IFERROR(__xludf.DUMMYFUNCTION("""COMPUTED_VALUE"""),0.008414351888816732)</f>
        <v>0.008414351889</v>
      </c>
      <c r="J69" s="53">
        <f>IFERROR(__xludf.DUMMYFUNCTION("""COMPUTED_VALUE"""),0.00793981509538069)</f>
        <v>0.007939815095</v>
      </c>
      <c r="K69" s="54">
        <f>IFERROR(__xludf.DUMMYFUNCTION("""COMPUTED_VALUE"""),0.0010763893022886495)</f>
        <v>0.001076389302</v>
      </c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6"/>
      <c r="W69" s="56"/>
      <c r="X69" s="56"/>
      <c r="Y69" s="56"/>
      <c r="Z69" s="57"/>
      <c r="AA69" s="58"/>
      <c r="AB69" s="59"/>
    </row>
    <row r="70" ht="13.5" customHeight="1">
      <c r="A70" s="60">
        <f>IFERROR(__xludf.DUMMYFUNCTION("""COMPUTED_VALUE"""),69.0)</f>
        <v>69</v>
      </c>
      <c r="B70" s="61" t="str">
        <f>IFERROR(__xludf.DUMMYFUNCTION("""COMPUTED_VALUE"""),"206")</f>
        <v>206</v>
      </c>
      <c r="C70" s="62" t="str">
        <f>IFERROR(__xludf.DUMMYFUNCTION("""COMPUTED_VALUE"""),"GALLET")</f>
        <v>GALLET</v>
      </c>
      <c r="D70" s="63" t="str">
        <f>IFERROR(__xludf.DUMMYFUNCTION("""COMPUTED_VALUE"""),"FLORIAN")</f>
        <v>FLORIAN</v>
      </c>
      <c r="E70" s="51" t="str">
        <f>IFERROR(__xludf.DUMMYFUNCTION("""COMPUTED_VALUE"""),"SH4")</f>
        <v>SH4</v>
      </c>
      <c r="F70" s="64">
        <f>IFERROR(__xludf.DUMMYFUNCTION("""COMPUTED_VALUE"""),20.0)</f>
        <v>20</v>
      </c>
      <c r="G70" s="52">
        <f>IFERROR(__xludf.DUMMYFUNCTION("""COMPUTED_VALUE"""),0.02276620397728212)</f>
        <v>0.02276620398</v>
      </c>
      <c r="H70" s="53">
        <f>IFERROR(__xludf.DUMMYFUNCTION("""COMPUTED_VALUE"""),0.0036921297432811477)</f>
        <v>0.003692129743</v>
      </c>
      <c r="I70" s="53">
        <f>IFERROR(__xludf.DUMMYFUNCTION("""COMPUTED_VALUE"""),0.007708333395716756)</f>
        <v>0.007708333396</v>
      </c>
      <c r="J70" s="53">
        <f>IFERROR(__xludf.DUMMYFUNCTION("""COMPUTED_VALUE"""),0.010196759450828222)</f>
        <v>0.01019675945</v>
      </c>
      <c r="K70" s="54">
        <f>IFERROR(__xludf.DUMMYFUNCTION("""COMPUTED_VALUE"""),0.0011689813874559934)</f>
        <v>0.001168981387</v>
      </c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6"/>
      <c r="W70" s="56"/>
      <c r="X70" s="56"/>
      <c r="Y70" s="56"/>
      <c r="Z70" s="57"/>
      <c r="AA70" s="58"/>
      <c r="AB70" s="59"/>
    </row>
    <row r="71" ht="13.5" customHeight="1">
      <c r="A71" s="60">
        <f>IFERROR(__xludf.DUMMYFUNCTION("""COMPUTED_VALUE"""),70.0)</f>
        <v>70</v>
      </c>
      <c r="B71" s="61" t="str">
        <f>IFERROR(__xludf.DUMMYFUNCTION("""COMPUTED_VALUE"""),"186")</f>
        <v>186</v>
      </c>
      <c r="C71" s="62" t="str">
        <f>IFERROR(__xludf.DUMMYFUNCTION("""COMPUTED_VALUE"""),"GUINEFORT")</f>
        <v>GUINEFORT</v>
      </c>
      <c r="D71" s="63" t="str">
        <f>IFERROR(__xludf.DUMMYFUNCTION("""COMPUTED_VALUE"""),"ALEXANDRE")</f>
        <v>ALEXANDRE</v>
      </c>
      <c r="E71" s="51" t="str">
        <f>IFERROR(__xludf.DUMMYFUNCTION("""COMPUTED_VALUE"""),"MH2")</f>
        <v>MH2</v>
      </c>
      <c r="F71" s="64">
        <f>IFERROR(__xludf.DUMMYFUNCTION("""COMPUTED_VALUE"""),8.0)</f>
        <v>8</v>
      </c>
      <c r="G71" s="52">
        <f>IFERROR(__xludf.DUMMYFUNCTION("""COMPUTED_VALUE"""),0.022812500136498465)</f>
        <v>0.02281250014</v>
      </c>
      <c r="H71" s="53">
        <f>IFERROR(__xludf.DUMMYFUNCTION("""COMPUTED_VALUE"""),0.0036805555798948768)</f>
        <v>0.00368055558</v>
      </c>
      <c r="I71" s="53">
        <f>IFERROR(__xludf.DUMMYFUNCTION("""COMPUTED_VALUE"""),0.008657407415563166)</f>
        <v>0.008657407416</v>
      </c>
      <c r="J71" s="53">
        <f>IFERROR(__xludf.DUMMYFUNCTION("""COMPUTED_VALUE"""),0.009479165963625665)</f>
        <v>0.009479165964</v>
      </c>
      <c r="K71" s="54">
        <f>IFERROR(__xludf.DUMMYFUNCTION("""COMPUTED_VALUE"""),9.95371177414757E-4)</f>
        <v>0.0009953711774</v>
      </c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6"/>
      <c r="W71" s="56"/>
      <c r="X71" s="56"/>
      <c r="Y71" s="56"/>
      <c r="Z71" s="57"/>
      <c r="AA71" s="58"/>
      <c r="AB71" s="59"/>
    </row>
    <row r="72" ht="13.5" customHeight="1">
      <c r="A72" s="60">
        <f>IFERROR(__xludf.DUMMYFUNCTION("""COMPUTED_VALUE"""),71.0)</f>
        <v>71</v>
      </c>
      <c r="B72" s="61" t="str">
        <f>IFERROR(__xludf.DUMMYFUNCTION("""COMPUTED_VALUE"""),"139")</f>
        <v>139</v>
      </c>
      <c r="C72" s="62" t="str">
        <f>IFERROR(__xludf.DUMMYFUNCTION("""COMPUTED_VALUE"""),"GUTIERREZ")</f>
        <v>GUTIERREZ</v>
      </c>
      <c r="D72" s="63" t="str">
        <f>IFERROR(__xludf.DUMMYFUNCTION("""COMPUTED_VALUE"""),"JUAN PABLO")</f>
        <v>JUAN PABLO</v>
      </c>
      <c r="E72" s="51" t="str">
        <f>IFERROR(__xludf.DUMMYFUNCTION("""COMPUTED_VALUE"""),"SH2")</f>
        <v>SH2</v>
      </c>
      <c r="F72" s="64">
        <f>IFERROR(__xludf.DUMMYFUNCTION("""COMPUTED_VALUE"""),8.0)</f>
        <v>8</v>
      </c>
      <c r="G72" s="52">
        <f>IFERROR(__xludf.DUMMYFUNCTION("""COMPUTED_VALUE"""),0.02283564914218848)</f>
        <v>0.02283564914</v>
      </c>
      <c r="H72" s="53">
        <f>IFERROR(__xludf.DUMMYFUNCTION("""COMPUTED_VALUE"""),0.0043171296791527924)</f>
        <v>0.004317129679</v>
      </c>
      <c r="I72" s="53">
        <f>IFERROR(__xludf.DUMMYFUNCTION("""COMPUTED_VALUE"""),0.008657407417030073)</f>
        <v>0.008657407417</v>
      </c>
      <c r="J72" s="53">
        <f>IFERROR(__xludf.DUMMYFUNCTION("""COMPUTED_VALUE"""),0.008692130406379714)</f>
        <v>0.008692130406</v>
      </c>
      <c r="K72" s="54">
        <f>IFERROR(__xludf.DUMMYFUNCTION("""COMPUTED_VALUE"""),0.0011689816396259003)</f>
        <v>0.00116898164</v>
      </c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6"/>
      <c r="W72" s="56"/>
      <c r="X72" s="56"/>
      <c r="Y72" s="56"/>
      <c r="Z72" s="57"/>
      <c r="AA72" s="58"/>
      <c r="AB72" s="59"/>
    </row>
    <row r="73" ht="13.5" customHeight="1">
      <c r="A73" s="60">
        <f>IFERROR(__xludf.DUMMYFUNCTION("""COMPUTED_VALUE"""),72.0)</f>
        <v>72</v>
      </c>
      <c r="B73" s="61" t="str">
        <f>IFERROR(__xludf.DUMMYFUNCTION("""COMPUTED_VALUE"""),"160")</f>
        <v>160</v>
      </c>
      <c r="C73" s="62" t="str">
        <f>IFERROR(__xludf.DUMMYFUNCTION("""COMPUTED_VALUE"""),"HALGAND")</f>
        <v>HALGAND</v>
      </c>
      <c r="D73" s="63" t="str">
        <f>IFERROR(__xludf.DUMMYFUNCTION("""COMPUTED_VALUE"""),"RÉMY")</f>
        <v>RÉMY</v>
      </c>
      <c r="E73" s="51" t="str">
        <f>IFERROR(__xludf.DUMMYFUNCTION("""COMPUTED_VALUE"""),"MH2")</f>
        <v>MH2</v>
      </c>
      <c r="F73" s="64">
        <f>IFERROR(__xludf.DUMMYFUNCTION("""COMPUTED_VALUE"""),9.0)</f>
        <v>9</v>
      </c>
      <c r="G73" s="52">
        <f>IFERROR(__xludf.DUMMYFUNCTION("""COMPUTED_VALUE"""),0.022858797020813906)</f>
        <v>0.02285879702</v>
      </c>
      <c r="H73" s="53">
        <f>IFERROR(__xludf.DUMMYFUNCTION("""COMPUTED_VALUE"""),0.003935185195073664)</f>
        <v>0.003935185195</v>
      </c>
      <c r="I73" s="53">
        <f>IFERROR(__xludf.DUMMYFUNCTION("""COMPUTED_VALUE"""),0.007696759305434657)</f>
        <v>0.007696759305</v>
      </c>
      <c r="J73" s="53">
        <f>IFERROR(__xludf.DUMMYFUNCTION("""COMPUTED_VALUE"""),0.00964120404375251)</f>
        <v>0.009641204044</v>
      </c>
      <c r="K73" s="54">
        <f>IFERROR(__xludf.DUMMYFUNCTION("""COMPUTED_VALUE"""),0.001585648476553075)</f>
        <v>0.001585648477</v>
      </c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6"/>
      <c r="W73" s="56"/>
      <c r="X73" s="56"/>
      <c r="Y73" s="56"/>
      <c r="Z73" s="57"/>
      <c r="AA73" s="58"/>
      <c r="AB73" s="59"/>
    </row>
    <row r="74" ht="13.5" customHeight="1">
      <c r="A74" s="60">
        <f>IFERROR(__xludf.DUMMYFUNCTION("""COMPUTED_VALUE"""),73.0)</f>
        <v>73</v>
      </c>
      <c r="B74" s="61" t="str">
        <f>IFERROR(__xludf.DUMMYFUNCTION("""COMPUTED_VALUE"""),"144")</f>
        <v>144</v>
      </c>
      <c r="C74" s="62" t="str">
        <f>IFERROR(__xludf.DUMMYFUNCTION("""COMPUTED_VALUE"""),"CAUVIN")</f>
        <v>CAUVIN</v>
      </c>
      <c r="D74" s="63" t="str">
        <f>IFERROR(__xludf.DUMMYFUNCTION("""COMPUTED_VALUE"""),"CHRISTOPHE")</f>
        <v>CHRISTOPHE</v>
      </c>
      <c r="E74" s="51" t="str">
        <f>IFERROR(__xludf.DUMMYFUNCTION("""COMPUTED_VALUE"""),"MH4")</f>
        <v>MH4</v>
      </c>
      <c r="F74" s="64">
        <f>IFERROR(__xludf.DUMMYFUNCTION("""COMPUTED_VALUE"""),3.0)</f>
        <v>3</v>
      </c>
      <c r="G74" s="52">
        <f>IFERROR(__xludf.DUMMYFUNCTION("""COMPUTED_VALUE"""),0.022974537770969992)</f>
        <v>0.02297453777</v>
      </c>
      <c r="H74" s="53">
        <f>IFERROR(__xludf.DUMMYFUNCTION("""COMPUTED_VALUE"""),0.004328703769333694)</f>
        <v>0.004328703769</v>
      </c>
      <c r="I74" s="53">
        <f>IFERROR(__xludf.DUMMYFUNCTION("""COMPUTED_VALUE"""),0.008761574174808464)</f>
        <v>0.008761574175</v>
      </c>
      <c r="J74" s="53">
        <f>IFERROR(__xludf.DUMMYFUNCTION("""COMPUTED_VALUE"""),0.008715278298046466)</f>
        <v>0.008715278298</v>
      </c>
      <c r="K74" s="54">
        <f>IFERROR(__xludf.DUMMYFUNCTION("""COMPUTED_VALUE"""),0.0011689815287813689)</f>
        <v>0.001168981529</v>
      </c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6"/>
      <c r="W74" s="56"/>
      <c r="X74" s="56"/>
      <c r="Y74" s="56"/>
      <c r="Z74" s="57"/>
      <c r="AA74" s="58"/>
      <c r="AB74" s="59"/>
    </row>
    <row r="75" ht="13.5" customHeight="1">
      <c r="A75" s="60">
        <f>IFERROR(__xludf.DUMMYFUNCTION("""COMPUTED_VALUE"""),74.0)</f>
        <v>74</v>
      </c>
      <c r="B75" s="61" t="str">
        <f>IFERROR(__xludf.DUMMYFUNCTION("""COMPUTED_VALUE"""),"147")</f>
        <v>147</v>
      </c>
      <c r="C75" s="62" t="str">
        <f>IFERROR(__xludf.DUMMYFUNCTION("""COMPUTED_VALUE"""),"GAVINI")</f>
        <v>GAVINI</v>
      </c>
      <c r="D75" s="63" t="str">
        <f>IFERROR(__xludf.DUMMYFUNCTION("""COMPUTED_VALUE"""),"JEAN")</f>
        <v>JEAN</v>
      </c>
      <c r="E75" s="51" t="str">
        <f>IFERROR(__xludf.DUMMYFUNCTION("""COMPUTED_VALUE"""),"MH4")</f>
        <v>MH4</v>
      </c>
      <c r="F75" s="64">
        <f>IFERROR(__xludf.DUMMYFUNCTION("""COMPUTED_VALUE"""),4.0)</f>
        <v>4</v>
      </c>
      <c r="G75" s="52">
        <f>IFERROR(__xludf.DUMMYFUNCTION("""COMPUTED_VALUE"""),0.023009259614527575)</f>
        <v>0.02300925961</v>
      </c>
      <c r="H75" s="53">
        <f>IFERROR(__xludf.DUMMYFUNCTION("""COMPUTED_VALUE"""),0.004375000040624424)</f>
        <v>0.004375000041</v>
      </c>
      <c r="I75" s="53">
        <f>IFERROR(__xludf.DUMMYFUNCTION("""COMPUTED_VALUE"""),0.009201388905148874)</f>
        <v>0.009201388905</v>
      </c>
      <c r="J75" s="53">
        <f>IFERROR(__xludf.DUMMYFUNCTION("""COMPUTED_VALUE"""),0.00752314738925932)</f>
        <v>0.007523147389</v>
      </c>
      <c r="K75" s="54">
        <f>IFERROR(__xludf.DUMMYFUNCTION("""COMPUTED_VALUE"""),0.001909723279494957)</f>
        <v>0.001909723279</v>
      </c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6"/>
      <c r="W75" s="56"/>
      <c r="X75" s="56"/>
      <c r="Y75" s="56"/>
      <c r="Z75" s="57"/>
      <c r="AA75" s="58"/>
      <c r="AB75" s="59"/>
    </row>
    <row r="76" ht="13.5" customHeight="1">
      <c r="A76" s="60">
        <f>IFERROR(__xludf.DUMMYFUNCTION("""COMPUTED_VALUE"""),75.0)</f>
        <v>75</v>
      </c>
      <c r="B76" s="61" t="str">
        <f>IFERROR(__xludf.DUMMYFUNCTION("""COMPUTED_VALUE"""),"107")</f>
        <v>107</v>
      </c>
      <c r="C76" s="62" t="str">
        <f>IFERROR(__xludf.DUMMYFUNCTION("""COMPUTED_VALUE"""),"YVART")</f>
        <v>YVART</v>
      </c>
      <c r="D76" s="63" t="str">
        <f>IFERROR(__xludf.DUMMYFUNCTION("""COMPUTED_VALUE"""),"JÉRÔME")</f>
        <v>JÉRÔME</v>
      </c>
      <c r="E76" s="51" t="str">
        <f>IFERROR(__xludf.DUMMYFUNCTION("""COMPUTED_VALUE"""),"MH1")</f>
        <v>MH1</v>
      </c>
      <c r="F76" s="64">
        <f>IFERROR(__xludf.DUMMYFUNCTION("""COMPUTED_VALUE"""),9.0)</f>
        <v>9</v>
      </c>
      <c r="G76" s="52">
        <f>IFERROR(__xludf.DUMMYFUNCTION("""COMPUTED_VALUE"""),0.02317129687806523)</f>
        <v>0.02317129688</v>
      </c>
      <c r="H76" s="53">
        <f>IFERROR(__xludf.DUMMYFUNCTION("""COMPUTED_VALUE"""),0.0047222222547489414)</f>
        <v>0.004722222255</v>
      </c>
      <c r="I76" s="53">
        <f>IFERROR(__xludf.DUMMYFUNCTION("""COMPUTED_VALUE"""),0.008587963065303425)</f>
        <v>0.008587963065</v>
      </c>
      <c r="J76" s="53">
        <f>IFERROR(__xludf.DUMMYFUNCTION("""COMPUTED_VALUE"""),0.008425925756761054)</f>
        <v>0.008425925757</v>
      </c>
      <c r="K76" s="54">
        <f>IFERROR(__xludf.DUMMYFUNCTION("""COMPUTED_VALUE"""),0.001435185801251809)</f>
        <v>0.001435185801</v>
      </c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6"/>
      <c r="W76" s="56"/>
      <c r="X76" s="56"/>
      <c r="Y76" s="56"/>
      <c r="Z76" s="57"/>
      <c r="AA76" s="58"/>
      <c r="AB76" s="59"/>
    </row>
    <row r="77" ht="13.5" customHeight="1">
      <c r="A77" s="60">
        <f>IFERROR(__xludf.DUMMYFUNCTION("""COMPUTED_VALUE"""),76.0)</f>
        <v>76</v>
      </c>
      <c r="B77" s="61" t="str">
        <f>IFERROR(__xludf.DUMMYFUNCTION("""COMPUTED_VALUE"""),"163")</f>
        <v>163</v>
      </c>
      <c r="C77" s="62" t="str">
        <f>IFERROR(__xludf.DUMMYFUNCTION("""COMPUTED_VALUE"""),"BETH")</f>
        <v>BETH</v>
      </c>
      <c r="D77" s="63" t="str">
        <f>IFERROR(__xludf.DUMMYFUNCTION("""COMPUTED_VALUE"""),"VICTOR")</f>
        <v>VICTOR</v>
      </c>
      <c r="E77" s="51" t="str">
        <f>IFERROR(__xludf.DUMMYFUNCTION("""COMPUTED_VALUE"""),"MH2")</f>
        <v>MH2</v>
      </c>
      <c r="F77" s="64">
        <f>IFERROR(__xludf.DUMMYFUNCTION("""COMPUTED_VALUE"""),10.0)</f>
        <v>10</v>
      </c>
      <c r="G77" s="52">
        <f>IFERROR(__xludf.DUMMYFUNCTION("""COMPUTED_VALUE"""),0.02320601899466702)</f>
        <v>0.02320601899</v>
      </c>
      <c r="H77" s="53">
        <f>IFERROR(__xludf.DUMMYFUNCTION("""COMPUTED_VALUE"""),0.004618055568775145)</f>
        <v>0.004618055569</v>
      </c>
      <c r="I77" s="53">
        <f>IFERROR(__xludf.DUMMYFUNCTION("""COMPUTED_VALUE"""),0.008113426025742167)</f>
        <v>0.008113426026</v>
      </c>
      <c r="J77" s="53">
        <f>IFERROR(__xludf.DUMMYFUNCTION("""COMPUTED_VALUE"""),0.009062500412030123)</f>
        <v>0.009062500412</v>
      </c>
      <c r="K77" s="54">
        <f>IFERROR(__xludf.DUMMYFUNCTION("""COMPUTED_VALUE"""),0.0014120369881195855)</f>
        <v>0.001412036988</v>
      </c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6"/>
      <c r="W77" s="56"/>
      <c r="X77" s="56"/>
      <c r="Y77" s="56"/>
      <c r="Z77" s="57"/>
      <c r="AA77" s="58"/>
      <c r="AB77" s="59"/>
    </row>
    <row r="78" ht="13.5" customHeight="1">
      <c r="A78" s="60">
        <f>IFERROR(__xludf.DUMMYFUNCTION("""COMPUTED_VALUE"""),77.0)</f>
        <v>77</v>
      </c>
      <c r="B78" s="61" t="str">
        <f>IFERROR(__xludf.DUMMYFUNCTION("""COMPUTED_VALUE"""),"164")</f>
        <v>164</v>
      </c>
      <c r="C78" s="62" t="str">
        <f>IFERROR(__xludf.DUMMYFUNCTION("""COMPUTED_VALUE"""),"COISNE")</f>
        <v>COISNE</v>
      </c>
      <c r="D78" s="63" t="str">
        <f>IFERROR(__xludf.DUMMYFUNCTION("""COMPUTED_VALUE"""),"SYLVAIN")</f>
        <v>SYLVAIN</v>
      </c>
      <c r="E78" s="51" t="str">
        <f>IFERROR(__xludf.DUMMYFUNCTION("""COMPUTED_VALUE"""),"SH4")</f>
        <v>SH4</v>
      </c>
      <c r="F78" s="64">
        <f>IFERROR(__xludf.DUMMYFUNCTION("""COMPUTED_VALUE"""),21.0)</f>
        <v>21</v>
      </c>
      <c r="G78" s="52">
        <f>IFERROR(__xludf.DUMMYFUNCTION("""COMPUTED_VALUE"""),0.023333333874450878)</f>
        <v>0.02333333387</v>
      </c>
      <c r="H78" s="53">
        <f>IFERROR(__xludf.DUMMYFUNCTION("""COMPUTED_VALUE"""),0.00430555557648368)</f>
        <v>0.004305555576</v>
      </c>
      <c r="I78" s="53">
        <f>IFERROR(__xludf.DUMMYFUNCTION("""COMPUTED_VALUE"""),0.007569444536437565)</f>
        <v>0.007569444536</v>
      </c>
      <c r="J78" s="53">
        <f>IFERROR(__xludf.DUMMYFUNCTION("""COMPUTED_VALUE"""),0.010011574455487308)</f>
        <v>0.01001157446</v>
      </c>
      <c r="K78" s="54">
        <f>IFERROR(__xludf.DUMMYFUNCTION("""COMPUTED_VALUE"""),0.001446759306042324)</f>
        <v>0.001446759306</v>
      </c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6"/>
      <c r="W78" s="56"/>
      <c r="X78" s="56"/>
      <c r="Y78" s="56"/>
      <c r="Z78" s="57"/>
      <c r="AA78" s="58"/>
      <c r="AB78" s="59"/>
    </row>
    <row r="79" ht="13.5" customHeight="1">
      <c r="A79" s="60">
        <f>IFERROR(__xludf.DUMMYFUNCTION("""COMPUTED_VALUE"""),78.0)</f>
        <v>78</v>
      </c>
      <c r="B79" s="61" t="str">
        <f>IFERROR(__xludf.DUMMYFUNCTION("""COMPUTED_VALUE"""),"165")</f>
        <v>165</v>
      </c>
      <c r="C79" s="62" t="str">
        <f>IFERROR(__xludf.DUMMYFUNCTION("""COMPUTED_VALUE"""),"PINOT")</f>
        <v>PINOT</v>
      </c>
      <c r="D79" s="63" t="str">
        <f>IFERROR(__xludf.DUMMYFUNCTION("""COMPUTED_VALUE"""),"ALEXANDRE")</f>
        <v>ALEXANDRE</v>
      </c>
      <c r="E79" s="51" t="str">
        <f>IFERROR(__xludf.DUMMYFUNCTION("""COMPUTED_VALUE"""),"SH4")</f>
        <v>SH4</v>
      </c>
      <c r="F79" s="64">
        <f>IFERROR(__xludf.DUMMYFUNCTION("""COMPUTED_VALUE"""),22.0)</f>
        <v>22</v>
      </c>
      <c r="G79" s="52">
        <f>IFERROR(__xludf.DUMMYFUNCTION("""COMPUTED_VALUE"""),0.023402778655716487)</f>
        <v>0.02340277866</v>
      </c>
      <c r="H79" s="53">
        <f>IFERROR(__xludf.DUMMYFUNCTION("""COMPUTED_VALUE"""),0.005497685297255787)</f>
        <v>0.005497685297</v>
      </c>
      <c r="I79" s="53">
        <f>IFERROR(__xludf.DUMMYFUNCTION("""COMPUTED_VALUE"""),0.0077314815076099325)</f>
        <v>0.007731481508</v>
      </c>
      <c r="J79" s="53">
        <f>IFERROR(__xludf.DUMMYFUNCTION("""COMPUTED_VALUE"""),0.009062499971979861)</f>
        <v>0.009062499972</v>
      </c>
      <c r="K79" s="54">
        <f>IFERROR(__xludf.DUMMYFUNCTION("""COMPUTED_VALUE"""),0.0011111118788709063)</f>
        <v>0.001111111879</v>
      </c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6"/>
      <c r="W79" s="56"/>
      <c r="X79" s="56"/>
      <c r="Y79" s="56"/>
      <c r="Z79" s="57"/>
      <c r="AA79" s="58"/>
      <c r="AB79" s="59"/>
    </row>
    <row r="80" ht="13.5" customHeight="1">
      <c r="A80" s="60">
        <f>IFERROR(__xludf.DUMMYFUNCTION("""COMPUTED_VALUE"""),79.0)</f>
        <v>79</v>
      </c>
      <c r="B80" s="61" t="str">
        <f>IFERROR(__xludf.DUMMYFUNCTION("""COMPUTED_VALUE"""),"110")</f>
        <v>110</v>
      </c>
      <c r="C80" s="62" t="str">
        <f>IFERROR(__xludf.DUMMYFUNCTION("""COMPUTED_VALUE"""),"LECOCQ")</f>
        <v>LECOCQ</v>
      </c>
      <c r="D80" s="63" t="str">
        <f>IFERROR(__xludf.DUMMYFUNCTION("""COMPUTED_VALUE"""),"PIERRE")</f>
        <v>PIERRE</v>
      </c>
      <c r="E80" s="51" t="str">
        <f>IFERROR(__xludf.DUMMYFUNCTION("""COMPUTED_VALUE"""),"SH4")</f>
        <v>SH4</v>
      </c>
      <c r="F80" s="64">
        <f>IFERROR(__xludf.DUMMYFUNCTION("""COMPUTED_VALUE"""),23.0)</f>
        <v>23</v>
      </c>
      <c r="G80" s="52">
        <f>IFERROR(__xludf.DUMMYFUNCTION("""COMPUTED_VALUE"""),0.023483796656094687)</f>
        <v>0.02348379666</v>
      </c>
      <c r="H80" s="53">
        <f>IFERROR(__xludf.DUMMYFUNCTION("""COMPUTED_VALUE"""),0.004571759279316037)</f>
        <v>0.004571759279</v>
      </c>
      <c r="I80" s="53">
        <f>IFERROR(__xludf.DUMMYFUNCTION("""COMPUTED_VALUE"""),0.008090277823160212)</f>
        <v>0.008090277823</v>
      </c>
      <c r="J80" s="53">
        <f>IFERROR(__xludf.DUMMYFUNCTION("""COMPUTED_VALUE"""),0.009826388623265118)</f>
        <v>0.009826388623</v>
      </c>
      <c r="K80" s="54">
        <f>IFERROR(__xludf.DUMMYFUNCTION("""COMPUTED_VALUE"""),9.953709303533193E-4)</f>
        <v>0.0009953709304</v>
      </c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6"/>
      <c r="W80" s="56"/>
      <c r="X80" s="56"/>
      <c r="Y80" s="56"/>
      <c r="Z80" s="57"/>
      <c r="AA80" s="58"/>
      <c r="AB80" s="59"/>
    </row>
    <row r="81" ht="13.5" customHeight="1">
      <c r="A81" s="60">
        <f>IFERROR(__xludf.DUMMYFUNCTION("""COMPUTED_VALUE"""),80.0)</f>
        <v>80</v>
      </c>
      <c r="B81" s="61" t="str">
        <f>IFERROR(__xludf.DUMMYFUNCTION("""COMPUTED_VALUE"""),"56")</f>
        <v>56</v>
      </c>
      <c r="C81" s="62" t="str">
        <f>IFERROR(__xludf.DUMMYFUNCTION("""COMPUTED_VALUE"""),"LAUTROU")</f>
        <v>LAUTROU</v>
      </c>
      <c r="D81" s="63" t="str">
        <f>IFERROR(__xludf.DUMMYFUNCTION("""COMPUTED_VALUE"""),"JEAN-PAUL")</f>
        <v>JEAN-PAUL</v>
      </c>
      <c r="E81" s="51" t="str">
        <f>IFERROR(__xludf.DUMMYFUNCTION("""COMPUTED_VALUE"""),"MH5")</f>
        <v>MH5</v>
      </c>
      <c r="F81" s="64">
        <f>IFERROR(__xludf.DUMMYFUNCTION("""COMPUTED_VALUE"""),3.0)</f>
        <v>3</v>
      </c>
      <c r="G81" s="52">
        <f>IFERROR(__xludf.DUMMYFUNCTION("""COMPUTED_VALUE"""),0.0235416676705876)</f>
        <v>0.02354166767</v>
      </c>
      <c r="H81" s="53">
        <f>IFERROR(__xludf.DUMMYFUNCTION("""COMPUTED_VALUE"""),0.004502314827404847)</f>
        <v>0.004502314827</v>
      </c>
      <c r="I81" s="53">
        <f>IFERROR(__xludf.DUMMYFUNCTION("""COMPUTED_VALUE"""),0.008206018624891908)</f>
        <v>0.008206018625</v>
      </c>
      <c r="J81" s="53">
        <f>IFERROR(__xludf.DUMMYFUNCTION("""COMPUTED_VALUE"""),0.009120370936537716)</f>
        <v>0.009120370937</v>
      </c>
      <c r="K81" s="54">
        <f>IFERROR(__xludf.DUMMYFUNCTION("""COMPUTED_VALUE"""),0.00171296328175313)</f>
        <v>0.001712963282</v>
      </c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6"/>
      <c r="W81" s="56"/>
      <c r="X81" s="56"/>
      <c r="Y81" s="56"/>
      <c r="Z81" s="57"/>
      <c r="AA81" s="58"/>
      <c r="AB81" s="59"/>
    </row>
    <row r="82" ht="13.5" customHeight="1">
      <c r="A82" s="60">
        <f>IFERROR(__xludf.DUMMYFUNCTION("""COMPUTED_VALUE"""),81.0)</f>
        <v>81</v>
      </c>
      <c r="B82" s="61" t="str">
        <f>IFERROR(__xludf.DUMMYFUNCTION("""COMPUTED_VALUE"""),"117")</f>
        <v>117</v>
      </c>
      <c r="C82" s="62" t="str">
        <f>IFERROR(__xludf.DUMMYFUNCTION("""COMPUTED_VALUE"""),"BARBEAU")</f>
        <v>BARBEAU</v>
      </c>
      <c r="D82" s="63" t="str">
        <f>IFERROR(__xludf.DUMMYFUNCTION("""COMPUTED_VALUE"""),"REMY")</f>
        <v>REMY</v>
      </c>
      <c r="E82" s="51" t="str">
        <f>IFERROR(__xludf.DUMMYFUNCTION("""COMPUTED_VALUE"""),"MH1")</f>
        <v>MH1</v>
      </c>
      <c r="F82" s="64">
        <f>IFERROR(__xludf.DUMMYFUNCTION("""COMPUTED_VALUE"""),10.0)</f>
        <v>10</v>
      </c>
      <c r="G82" s="52">
        <f>IFERROR(__xludf.DUMMYFUNCTION("""COMPUTED_VALUE"""),0.023738426122137724)</f>
        <v>0.02373842612</v>
      </c>
      <c r="H82" s="53">
        <f>IFERROR(__xludf.DUMMYFUNCTION("""COMPUTED_VALUE"""),0.004108796333266494)</f>
        <v>0.004108796333</v>
      </c>
      <c r="I82" s="53">
        <f>IFERROR(__xludf.DUMMYFUNCTION("""COMPUTED_VALUE"""),0.007199074165689098)</f>
        <v>0.007199074166</v>
      </c>
      <c r="J82" s="53">
        <f>IFERROR(__xludf.DUMMYFUNCTION("""COMPUTED_VALUE"""),0.011469907009536899)</f>
        <v>0.01146990701</v>
      </c>
      <c r="K82" s="54">
        <f>IFERROR(__xludf.DUMMYFUNCTION("""COMPUTED_VALUE"""),9.606486136452333E-4)</f>
        <v>0.0009606486136</v>
      </c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6"/>
      <c r="W82" s="56"/>
      <c r="X82" s="56"/>
      <c r="Y82" s="56"/>
      <c r="Z82" s="57"/>
      <c r="AA82" s="58"/>
      <c r="AB82" s="59"/>
    </row>
    <row r="83" ht="13.5" customHeight="1">
      <c r="A83" s="60">
        <f>IFERROR(__xludf.DUMMYFUNCTION("""COMPUTED_VALUE"""),82.0)</f>
        <v>82</v>
      </c>
      <c r="B83" s="61" t="str">
        <f>IFERROR(__xludf.DUMMYFUNCTION("""COMPUTED_VALUE"""),"174")</f>
        <v>174</v>
      </c>
      <c r="C83" s="62" t="str">
        <f>IFERROR(__xludf.DUMMYFUNCTION("""COMPUTED_VALUE"""),"MARIAT")</f>
        <v>MARIAT</v>
      </c>
      <c r="D83" s="63" t="str">
        <f>IFERROR(__xludf.DUMMYFUNCTION("""COMPUTED_VALUE"""),"ALEXANDRE")</f>
        <v>ALEXANDRE</v>
      </c>
      <c r="E83" s="51" t="str">
        <f>IFERROR(__xludf.DUMMYFUNCTION("""COMPUTED_VALUE"""),"MH2")</f>
        <v>MH2</v>
      </c>
      <c r="F83" s="64">
        <f>IFERROR(__xludf.DUMMYFUNCTION("""COMPUTED_VALUE"""),11.0)</f>
        <v>11</v>
      </c>
      <c r="G83" s="52">
        <f>IFERROR(__xludf.DUMMYFUNCTION("""COMPUTED_VALUE"""),0.024375000619461473)</f>
        <v>0.02437500062</v>
      </c>
      <c r="H83" s="53">
        <f>IFERROR(__xludf.DUMMYFUNCTION("""COMPUTED_VALUE"""),0.004097222308793983)</f>
        <v>0.004097222309</v>
      </c>
      <c r="I83" s="53">
        <f>IFERROR(__xludf.DUMMYFUNCTION("""COMPUTED_VALUE"""),0.00866898151445987)</f>
        <v>0.008668981514</v>
      </c>
      <c r="J83" s="53">
        <f>IFERROR(__xludf.DUMMYFUNCTION("""COMPUTED_VALUE"""),0.010115740334949318)</f>
        <v>0.01011574033</v>
      </c>
      <c r="K83" s="54">
        <f>IFERROR(__xludf.DUMMYFUNCTION("""COMPUTED_VALUE"""),0.001493056461258302)</f>
        <v>0.001493056461</v>
      </c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6"/>
      <c r="W83" s="56"/>
      <c r="X83" s="56"/>
      <c r="Y83" s="56"/>
      <c r="Z83" s="57"/>
      <c r="AA83" s="58"/>
      <c r="AB83" s="59"/>
    </row>
    <row r="84" ht="13.5" customHeight="1">
      <c r="A84" s="60">
        <f>IFERROR(__xludf.DUMMYFUNCTION("""COMPUTED_VALUE"""),83.0)</f>
        <v>83</v>
      </c>
      <c r="B84" s="61" t="str">
        <f>IFERROR(__xludf.DUMMYFUNCTION("""COMPUTED_VALUE"""),"66")</f>
        <v>66</v>
      </c>
      <c r="C84" s="62" t="str">
        <f>IFERROR(__xludf.DUMMYFUNCTION("""COMPUTED_VALUE"""),"COSSERON")</f>
        <v>COSSERON</v>
      </c>
      <c r="D84" s="63" t="str">
        <f>IFERROR(__xludf.DUMMYFUNCTION("""COMPUTED_VALUE"""),"FLORIAN")</f>
        <v>FLORIAN</v>
      </c>
      <c r="E84" s="51" t="str">
        <f>IFERROR(__xludf.DUMMYFUNCTION("""COMPUTED_VALUE"""),"SH2")</f>
        <v>SH2</v>
      </c>
      <c r="F84" s="64">
        <f>IFERROR(__xludf.DUMMYFUNCTION("""COMPUTED_VALUE"""),9.0)</f>
        <v>9</v>
      </c>
      <c r="G84" s="52">
        <f>IFERROR(__xludf.DUMMYFUNCTION("""COMPUTED_VALUE"""),0.024386574838902646)</f>
        <v>0.02438657484</v>
      </c>
      <c r="H84" s="53">
        <f>IFERROR(__xludf.DUMMYFUNCTION("""COMPUTED_VALUE"""),0.004502314882570483)</f>
        <v>0.004502314883</v>
      </c>
      <c r="I84" s="53">
        <f>IFERROR(__xludf.DUMMYFUNCTION("""COMPUTED_VALUE"""),0.009143518555501105)</f>
        <v>0.009143518556</v>
      </c>
      <c r="J84" s="53">
        <f>IFERROR(__xludf.DUMMYFUNCTION("""COMPUTED_VALUE"""),0.009594907121901584)</f>
        <v>0.009594907122</v>
      </c>
      <c r="K84" s="54">
        <f>IFERROR(__xludf.DUMMYFUNCTION("""COMPUTED_VALUE"""),0.0011458342789294742)</f>
        <v>0.001145834279</v>
      </c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6"/>
      <c r="W84" s="56"/>
      <c r="X84" s="56"/>
      <c r="Y84" s="56"/>
      <c r="Z84" s="57"/>
      <c r="AA84" s="58"/>
      <c r="AB84" s="59"/>
    </row>
    <row r="85" ht="13.5" customHeight="1">
      <c r="A85" s="60">
        <f>IFERROR(__xludf.DUMMYFUNCTION("""COMPUTED_VALUE"""),84.0)</f>
        <v>84</v>
      </c>
      <c r="B85" s="61" t="str">
        <f>IFERROR(__xludf.DUMMYFUNCTION("""COMPUTED_VALUE"""),"176")</f>
        <v>176</v>
      </c>
      <c r="C85" s="62" t="str">
        <f>IFERROR(__xludf.DUMMYFUNCTION("""COMPUTED_VALUE"""),"LOMBARD")</f>
        <v>LOMBARD</v>
      </c>
      <c r="D85" s="63" t="str">
        <f>IFERROR(__xludf.DUMMYFUNCTION("""COMPUTED_VALUE"""),"MAXIME")</f>
        <v>MAXIME</v>
      </c>
      <c r="E85" s="51" t="str">
        <f>IFERROR(__xludf.DUMMYFUNCTION("""COMPUTED_VALUE"""),"SH2")</f>
        <v>SH2</v>
      </c>
      <c r="F85" s="64">
        <f>IFERROR(__xludf.DUMMYFUNCTION("""COMPUTED_VALUE"""),10.0)</f>
        <v>10</v>
      </c>
      <c r="G85" s="52">
        <f>IFERROR(__xludf.DUMMYFUNCTION("""COMPUTED_VALUE"""),0.0244444446317668)</f>
        <v>0.02444444463</v>
      </c>
      <c r="H85" s="53">
        <f>IFERROR(__xludf.DUMMYFUNCTION("""COMPUTED_VALUE"""),0.004282407455118129)</f>
        <v>0.004282407455</v>
      </c>
      <c r="I85" s="53">
        <f>IFERROR(__xludf.DUMMYFUNCTION("""COMPUTED_VALUE"""),0.00961805558339146)</f>
        <v>0.009618055583</v>
      </c>
      <c r="J85" s="53">
        <f>IFERROR(__xludf.DUMMYFUNCTION("""COMPUTED_VALUE"""),0.009143517876602104)</f>
        <v>0.009143517877</v>
      </c>
      <c r="K85" s="54">
        <f>IFERROR(__xludf.DUMMYFUNCTION("""COMPUTED_VALUE"""),0.0014004637166551079)</f>
        <v>0.001400463717</v>
      </c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6"/>
      <c r="W85" s="56"/>
      <c r="X85" s="56"/>
      <c r="Y85" s="56"/>
      <c r="Z85" s="57"/>
      <c r="AA85" s="58"/>
      <c r="AB85" s="59"/>
    </row>
    <row r="86" ht="13.5" customHeight="1">
      <c r="A86" s="60">
        <f>IFERROR(__xludf.DUMMYFUNCTION("""COMPUTED_VALUE"""),85.0)</f>
        <v>85</v>
      </c>
      <c r="B86" s="61" t="str">
        <f>IFERROR(__xludf.DUMMYFUNCTION("""COMPUTED_VALUE"""),"79")</f>
        <v>79</v>
      </c>
      <c r="C86" s="62" t="str">
        <f>IFERROR(__xludf.DUMMYFUNCTION("""COMPUTED_VALUE"""),"RAFFRAY")</f>
        <v>RAFFRAY</v>
      </c>
      <c r="D86" s="63" t="str">
        <f>IFERROR(__xludf.DUMMYFUNCTION("""COMPUTED_VALUE"""),"SYLVAIN")</f>
        <v>SYLVAIN</v>
      </c>
      <c r="E86" s="51" t="str">
        <f>IFERROR(__xludf.DUMMYFUNCTION("""COMPUTED_VALUE"""),"MH2")</f>
        <v>MH2</v>
      </c>
      <c r="F86" s="64">
        <f>IFERROR(__xludf.DUMMYFUNCTION("""COMPUTED_VALUE"""),12.0)</f>
        <v>12</v>
      </c>
      <c r="G86" s="52">
        <f>IFERROR(__xludf.DUMMYFUNCTION("""COMPUTED_VALUE"""),0.024583334245657822)</f>
        <v>0.02458333425</v>
      </c>
      <c r="H86" s="53">
        <f>IFERROR(__xludf.DUMMYFUNCTION("""COMPUTED_VALUE"""),0.004027777843302037)</f>
        <v>0.004027777843</v>
      </c>
      <c r="I86" s="53">
        <f>IFERROR(__xludf.DUMMYFUNCTION("""COMPUTED_VALUE"""),0.007662037077595987)</f>
        <v>0.007662037078</v>
      </c>
      <c r="J86" s="53">
        <f>IFERROR(__xludf.DUMMYFUNCTION("""COMPUTED_VALUE"""),0.0113541671487176)</f>
        <v>0.01135416715</v>
      </c>
      <c r="K86" s="54">
        <f>IFERROR(__xludf.DUMMYFUNCTION("""COMPUTED_VALUE"""),0.0015393521760421972)</f>
        <v>0.001539352176</v>
      </c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6"/>
      <c r="W86" s="56"/>
      <c r="X86" s="56"/>
      <c r="Y86" s="56"/>
      <c r="Z86" s="57"/>
      <c r="AA86" s="58"/>
      <c r="AB86" s="59"/>
    </row>
    <row r="87" ht="13.5" customHeight="1">
      <c r="A87" s="60">
        <f>IFERROR(__xludf.DUMMYFUNCTION("""COMPUTED_VALUE"""),86.0)</f>
        <v>86</v>
      </c>
      <c r="B87" s="61" t="str">
        <f>IFERROR(__xludf.DUMMYFUNCTION("""COMPUTED_VALUE"""),"121")</f>
        <v>121</v>
      </c>
      <c r="C87" s="62" t="str">
        <f>IFERROR(__xludf.DUMMYFUNCTION("""COMPUTED_VALUE"""),"BENSARI")</f>
        <v>BENSARI</v>
      </c>
      <c r="D87" s="63" t="str">
        <f>IFERROR(__xludf.DUMMYFUNCTION("""COMPUTED_VALUE"""),"RYAD")</f>
        <v>RYAD</v>
      </c>
      <c r="E87" s="51" t="str">
        <f>IFERROR(__xludf.DUMMYFUNCTION("""COMPUTED_VALUE"""),"MH1")</f>
        <v>MH1</v>
      </c>
      <c r="F87" s="64">
        <f>IFERROR(__xludf.DUMMYFUNCTION("""COMPUTED_VALUE"""),11.0)</f>
        <v>11</v>
      </c>
      <c r="G87" s="52">
        <f>IFERROR(__xludf.DUMMYFUNCTION("""COMPUTED_VALUE"""),0.024618056398743406)</f>
        <v>0.0246180564</v>
      </c>
      <c r="H87" s="53">
        <f>IFERROR(__xludf.DUMMYFUNCTION("""COMPUTED_VALUE"""),0.005405092705894518)</f>
        <v>0.005405092706</v>
      </c>
      <c r="I87" s="53">
        <f>IFERROR(__xludf.DUMMYFUNCTION("""COMPUTED_VALUE"""),0.007766203819145763)</f>
        <v>0.007766203819</v>
      </c>
      <c r="J87" s="53">
        <f>IFERROR(__xludf.DUMMYFUNCTION("""COMPUTED_VALUE"""),0.009710648171603277)</f>
        <v>0.009710648172</v>
      </c>
      <c r="K87" s="54">
        <f>IFERROR(__xludf.DUMMYFUNCTION("""COMPUTED_VALUE"""),0.0017361117020998473)</f>
        <v>0.001736111702</v>
      </c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6"/>
      <c r="W87" s="56"/>
      <c r="X87" s="56"/>
      <c r="Y87" s="56"/>
      <c r="Z87" s="57"/>
      <c r="AA87" s="58"/>
      <c r="AB87" s="59"/>
    </row>
    <row r="88" ht="13.5" customHeight="1">
      <c r="A88" s="60">
        <f>IFERROR(__xludf.DUMMYFUNCTION("""COMPUTED_VALUE"""),87.0)</f>
        <v>87</v>
      </c>
      <c r="B88" s="61" t="str">
        <f>IFERROR(__xludf.DUMMYFUNCTION("""COMPUTED_VALUE"""),"123")</f>
        <v>123</v>
      </c>
      <c r="C88" s="62" t="str">
        <f>IFERROR(__xludf.DUMMYFUNCTION("""COMPUTED_VALUE"""),"SATKUNANANTHAN")</f>
        <v>SATKUNANANTHAN</v>
      </c>
      <c r="D88" s="63" t="str">
        <f>IFERROR(__xludf.DUMMYFUNCTION("""COMPUTED_VALUE"""),"SASIHARAN")</f>
        <v>SASIHARAN</v>
      </c>
      <c r="E88" s="51" t="str">
        <f>IFERROR(__xludf.DUMMYFUNCTION("""COMPUTED_VALUE"""),"MH1")</f>
        <v>MH1</v>
      </c>
      <c r="F88" s="64">
        <f>IFERROR(__xludf.DUMMYFUNCTION("""COMPUTED_VALUE"""),12.0)</f>
        <v>12</v>
      </c>
      <c r="G88" s="52">
        <f>IFERROR(__xludf.DUMMYFUNCTION("""COMPUTED_VALUE"""),0.024652778020674476)</f>
        <v>0.02465277802</v>
      </c>
      <c r="H88" s="53">
        <f>IFERROR(__xludf.DUMMYFUNCTION("""COMPUTED_VALUE"""),0.005289351947609584)</f>
        <v>0.005289351948</v>
      </c>
      <c r="I88" s="53">
        <f>IFERROR(__xludf.DUMMYFUNCTION("""COMPUTED_VALUE"""),0.00902777788617769)</f>
        <v>0.009027777886</v>
      </c>
      <c r="J88" s="53">
        <f>IFERROR(__xludf.DUMMYFUNCTION("""COMPUTED_VALUE"""),0.00906250014828194)</f>
        <v>0.009062500148</v>
      </c>
      <c r="K88" s="54">
        <f>IFERROR(__xludf.DUMMYFUNCTION("""COMPUTED_VALUE"""),0.001273148038605263)</f>
        <v>0.001273148039</v>
      </c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6"/>
      <c r="W88" s="56"/>
      <c r="X88" s="56"/>
      <c r="Y88" s="56"/>
      <c r="Z88" s="57"/>
      <c r="AA88" s="58"/>
      <c r="AB88" s="59"/>
    </row>
    <row r="89" ht="13.5" customHeight="1">
      <c r="A89" s="60">
        <f>IFERROR(__xludf.DUMMYFUNCTION("""COMPUTED_VALUE"""),88.0)</f>
        <v>88</v>
      </c>
      <c r="B89" s="61" t="str">
        <f>IFERROR(__xludf.DUMMYFUNCTION("""COMPUTED_VALUE"""),"106")</f>
        <v>106</v>
      </c>
      <c r="C89" s="62" t="str">
        <f>IFERROR(__xludf.DUMMYFUNCTION("""COMPUTED_VALUE"""),"VOUILLEMET")</f>
        <v>VOUILLEMET</v>
      </c>
      <c r="D89" s="63" t="str">
        <f>IFERROR(__xludf.DUMMYFUNCTION("""COMPUTED_VALUE"""),"MAXIMILIEN")</f>
        <v>MAXIMILIEN</v>
      </c>
      <c r="E89" s="51" t="str">
        <f>IFERROR(__xludf.DUMMYFUNCTION("""COMPUTED_VALUE"""),"MH2")</f>
        <v>MH2</v>
      </c>
      <c r="F89" s="64">
        <f>IFERROR(__xludf.DUMMYFUNCTION("""COMPUTED_VALUE"""),13.0)</f>
        <v>13</v>
      </c>
      <c r="G89" s="52">
        <f>IFERROR(__xludf.DUMMYFUNCTION("""COMPUTED_VALUE"""),0.025081019644149747)</f>
        <v>0.02508101964</v>
      </c>
      <c r="H89" s="53">
        <f>IFERROR(__xludf.DUMMYFUNCTION("""COMPUTED_VALUE"""),0.004837963063030363)</f>
        <v>0.004837963063</v>
      </c>
      <c r="I89" s="53">
        <f>IFERROR(__xludf.DUMMYFUNCTION("""COMPUTED_VALUE"""),0.007581018632700535)</f>
        <v>0.007581018633</v>
      </c>
      <c r="J89" s="53">
        <f>IFERROR(__xludf.DUMMYFUNCTION("""COMPUTED_VALUE"""),0.011412037156855244)</f>
        <v>0.01141203716</v>
      </c>
      <c r="K89" s="54">
        <f>IFERROR(__xludf.DUMMYFUNCTION("""COMPUTED_VALUE"""),0.0012500007915636048)</f>
        <v>0.001250000792</v>
      </c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6"/>
      <c r="W89" s="56"/>
      <c r="X89" s="56"/>
      <c r="Y89" s="56"/>
      <c r="Z89" s="57"/>
      <c r="AA89" s="58"/>
      <c r="AB89" s="59"/>
    </row>
    <row r="90" ht="13.5" customHeight="1">
      <c r="A90" s="60">
        <f>IFERROR(__xludf.DUMMYFUNCTION("""COMPUTED_VALUE"""),89.0)</f>
        <v>89</v>
      </c>
      <c r="B90" s="61" t="str">
        <f>IFERROR(__xludf.DUMMYFUNCTION("""COMPUTED_VALUE"""),"158")</f>
        <v>158</v>
      </c>
      <c r="C90" s="62" t="str">
        <f>IFERROR(__xludf.DUMMYFUNCTION("""COMPUTED_VALUE"""),"GIRON")</f>
        <v>GIRON</v>
      </c>
      <c r="D90" s="63" t="str">
        <f>IFERROR(__xludf.DUMMYFUNCTION("""COMPUTED_VALUE"""),"ALEXANDRE")</f>
        <v>ALEXANDRE</v>
      </c>
      <c r="E90" s="51" t="str">
        <f>IFERROR(__xludf.DUMMYFUNCTION("""COMPUTED_VALUE"""),"SH1")</f>
        <v>SH1</v>
      </c>
      <c r="F90" s="64">
        <f>IFERROR(__xludf.DUMMYFUNCTION("""COMPUTED_VALUE"""),1.0)</f>
        <v>1</v>
      </c>
      <c r="G90" s="52">
        <f>IFERROR(__xludf.DUMMYFUNCTION("""COMPUTED_VALUE"""),0.025185186007511306)</f>
        <v>0.02518518601</v>
      </c>
      <c r="H90" s="53">
        <f>IFERROR(__xludf.DUMMYFUNCTION("""COMPUTED_VALUE"""),0.0052199074220254695)</f>
        <v>0.005219907422</v>
      </c>
      <c r="I90" s="53">
        <f>IFERROR(__xludf.DUMMYFUNCTION("""COMPUTED_VALUE"""),0.008761574092696426)</f>
        <v>0.008761574093</v>
      </c>
      <c r="J90" s="53">
        <f>IFERROR(__xludf.DUMMYFUNCTION("""COMPUTED_VALUE"""),0.009768518486336381)</f>
        <v>0.009768518486</v>
      </c>
      <c r="K90" s="54">
        <f>IFERROR(__xludf.DUMMYFUNCTION("""COMPUTED_VALUE"""),0.0014351860064530288)</f>
        <v>0.001435186006</v>
      </c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6"/>
      <c r="W90" s="56"/>
      <c r="X90" s="56"/>
      <c r="Y90" s="56"/>
      <c r="Z90" s="57"/>
      <c r="AA90" s="58"/>
      <c r="AB90" s="59"/>
    </row>
    <row r="91" ht="13.5" customHeight="1">
      <c r="A91" s="60">
        <f>IFERROR(__xludf.DUMMYFUNCTION("""COMPUTED_VALUE"""),90.0)</f>
        <v>90</v>
      </c>
      <c r="B91" s="61" t="str">
        <f>IFERROR(__xludf.DUMMYFUNCTION("""COMPUTED_VALUE"""),"86")</f>
        <v>86</v>
      </c>
      <c r="C91" s="62" t="str">
        <f>IFERROR(__xludf.DUMMYFUNCTION("""COMPUTED_VALUE"""),"FUCHS")</f>
        <v>FUCHS</v>
      </c>
      <c r="D91" s="63" t="str">
        <f>IFERROR(__xludf.DUMMYFUNCTION("""COMPUTED_VALUE"""),"PATRICK")</f>
        <v>PATRICK</v>
      </c>
      <c r="E91" s="51" t="str">
        <f>IFERROR(__xludf.DUMMYFUNCTION("""COMPUTED_VALUE"""),"MH3")</f>
        <v>MH3</v>
      </c>
      <c r="F91" s="64">
        <f>IFERROR(__xludf.DUMMYFUNCTION("""COMPUTED_VALUE"""),6.0)</f>
        <v>6</v>
      </c>
      <c r="G91" s="52">
        <f>IFERROR(__xludf.DUMMYFUNCTION("""COMPUTED_VALUE"""),0.02521990830810679)</f>
        <v>0.02521990831</v>
      </c>
      <c r="H91" s="53">
        <f>IFERROR(__xludf.DUMMYFUNCTION("""COMPUTED_VALUE"""),0.004976851854244616)</f>
        <v>0.004976851854</v>
      </c>
      <c r="I91" s="53">
        <f>IFERROR(__xludf.DUMMYFUNCTION("""COMPUTED_VALUE"""),0.007881944513375849)</f>
        <v>0.007881944513</v>
      </c>
      <c r="J91" s="53">
        <f>IFERROR(__xludf.DUMMYFUNCTION("""COMPUTED_VALUE"""),0.010231481592981238)</f>
        <v>0.01023148159</v>
      </c>
      <c r="K91" s="54">
        <f>IFERROR(__xludf.DUMMYFUNCTION("""COMPUTED_VALUE"""),0.0021296303475050868)</f>
        <v>0.002129630348</v>
      </c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6"/>
      <c r="W91" s="56"/>
      <c r="X91" s="56"/>
      <c r="Y91" s="56"/>
      <c r="Z91" s="57"/>
      <c r="AA91" s="58"/>
      <c r="AB91" s="59"/>
    </row>
    <row r="92" ht="13.5" customHeight="1">
      <c r="A92" s="60">
        <f>IFERROR(__xludf.DUMMYFUNCTION("""COMPUTED_VALUE"""),91.0)</f>
        <v>91</v>
      </c>
      <c r="B92" s="61" t="str">
        <f>IFERROR(__xludf.DUMMYFUNCTION("""COMPUTED_VALUE"""),"157")</f>
        <v>157</v>
      </c>
      <c r="C92" s="62" t="str">
        <f>IFERROR(__xludf.DUMMYFUNCTION("""COMPUTED_VALUE"""),"BENISTY")</f>
        <v>BENISTY</v>
      </c>
      <c r="D92" s="63" t="str">
        <f>IFERROR(__xludf.DUMMYFUNCTION("""COMPUTED_VALUE"""),"YONATHAN")</f>
        <v>YONATHAN</v>
      </c>
      <c r="E92" s="51" t="str">
        <f>IFERROR(__xludf.DUMMYFUNCTION("""COMPUTED_VALUE"""),"MH1")</f>
        <v>MH1</v>
      </c>
      <c r="F92" s="64">
        <f>IFERROR(__xludf.DUMMYFUNCTION("""COMPUTED_VALUE"""),13.0)</f>
        <v>13</v>
      </c>
      <c r="G92" s="52">
        <f>IFERROR(__xludf.DUMMYFUNCTION("""COMPUTED_VALUE"""),0.025324074385238954)</f>
        <v>0.02532407439</v>
      </c>
      <c r="H92" s="53">
        <f>IFERROR(__xludf.DUMMYFUNCTION("""COMPUTED_VALUE"""),0.004849537122877032)</f>
        <v>0.004849537123</v>
      </c>
      <c r="I92" s="53">
        <f>IFERROR(__xludf.DUMMYFUNCTION("""COMPUTED_VALUE"""),0.008599537066233096)</f>
        <v>0.008599537066</v>
      </c>
      <c r="J92" s="53">
        <f>IFERROR(__xludf.DUMMYFUNCTION("""COMPUTED_VALUE"""),0.010266203236104613)</f>
        <v>0.01026620324</v>
      </c>
      <c r="K92" s="54">
        <f>IFERROR(__xludf.DUMMYFUNCTION("""COMPUTED_VALUE"""),0.001608796960024213)</f>
        <v>0.00160879696</v>
      </c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6"/>
      <c r="W92" s="56"/>
      <c r="X92" s="56"/>
      <c r="Y92" s="56"/>
      <c r="Z92" s="57"/>
      <c r="AA92" s="58"/>
      <c r="AB92" s="59"/>
    </row>
    <row r="93" ht="13.5" customHeight="1">
      <c r="A93" s="60">
        <f>IFERROR(__xludf.DUMMYFUNCTION("""COMPUTED_VALUE"""),92.0)</f>
        <v>92</v>
      </c>
      <c r="B93" s="61" t="str">
        <f>IFERROR(__xludf.DUMMYFUNCTION("""COMPUTED_VALUE"""),"52")</f>
        <v>52</v>
      </c>
      <c r="C93" s="62" t="str">
        <f>IFERROR(__xludf.DUMMYFUNCTION("""COMPUTED_VALUE"""),"BUREAU")</f>
        <v>BUREAU</v>
      </c>
      <c r="D93" s="63" t="str">
        <f>IFERROR(__xludf.DUMMYFUNCTION("""COMPUTED_VALUE"""),"ALBAN")</f>
        <v>ALBAN</v>
      </c>
      <c r="E93" s="51" t="str">
        <f>IFERROR(__xludf.DUMMYFUNCTION("""COMPUTED_VALUE"""),"MH1")</f>
        <v>MH1</v>
      </c>
      <c r="F93" s="64">
        <f>IFERROR(__xludf.DUMMYFUNCTION("""COMPUTED_VALUE"""),14.0)</f>
        <v>14</v>
      </c>
      <c r="G93" s="52">
        <f>IFERROR(__xludf.DUMMYFUNCTION("""COMPUTED_VALUE"""),0.0254745370821722)</f>
        <v>0.02547453708</v>
      </c>
      <c r="H93" s="53">
        <f>IFERROR(__xludf.DUMMYFUNCTION("""COMPUTED_VALUE"""),0.004930555611564586)</f>
        <v>0.004930555612</v>
      </c>
      <c r="I93" s="53">
        <f>IFERROR(__xludf.DUMMYFUNCTION("""COMPUTED_VALUE"""),0.009004629681936145)</f>
        <v>0.009004629682</v>
      </c>
      <c r="J93" s="53">
        <f>IFERROR(__xludf.DUMMYFUNCTION("""COMPUTED_VALUE"""),0.009675925358851072)</f>
        <v>0.009675925359</v>
      </c>
      <c r="K93" s="54">
        <f>IFERROR(__xludf.DUMMYFUNCTION("""COMPUTED_VALUE"""),0.0018634264298203985)</f>
        <v>0.00186342643</v>
      </c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6"/>
      <c r="W93" s="56"/>
      <c r="X93" s="56"/>
      <c r="Y93" s="56"/>
      <c r="Z93" s="57"/>
      <c r="AA93" s="58"/>
      <c r="AB93" s="59"/>
    </row>
    <row r="94" ht="13.5" customHeight="1">
      <c r="A94" s="60">
        <f>IFERROR(__xludf.DUMMYFUNCTION("""COMPUTED_VALUE"""),93.0)</f>
        <v>93</v>
      </c>
      <c r="B94" s="61" t="str">
        <f>IFERROR(__xludf.DUMMYFUNCTION("""COMPUTED_VALUE"""),"116")</f>
        <v>116</v>
      </c>
      <c r="C94" s="62" t="str">
        <f>IFERROR(__xludf.DUMMYFUNCTION("""COMPUTED_VALUE"""),"BARDOUIL")</f>
        <v>BARDOUIL</v>
      </c>
      <c r="D94" s="63" t="str">
        <f>IFERROR(__xludf.DUMMYFUNCTION("""COMPUTED_VALUE"""),"GABIN")</f>
        <v>GABIN</v>
      </c>
      <c r="E94" s="51" t="str">
        <f>IFERROR(__xludf.DUMMYFUNCTION("""COMPUTED_VALUE"""),"SH2")</f>
        <v>SH2</v>
      </c>
      <c r="F94" s="64">
        <f>IFERROR(__xludf.DUMMYFUNCTION("""COMPUTED_VALUE"""),11.0)</f>
        <v>11</v>
      </c>
      <c r="G94" s="52">
        <f>IFERROR(__xludf.DUMMYFUNCTION("""COMPUTED_VALUE"""),0.0258101857526937)</f>
        <v>0.02581018575</v>
      </c>
      <c r="H94" s="53">
        <f>IFERROR(__xludf.DUMMYFUNCTION("""COMPUTED_VALUE"""),0.004768518582722712)</f>
        <v>0.004768518583</v>
      </c>
      <c r="I94" s="53">
        <f>IFERROR(__xludf.DUMMYFUNCTION("""COMPUTED_VALUE"""),0.008564814897265587)</f>
        <v>0.008564814897</v>
      </c>
      <c r="J94" s="53">
        <f>IFERROR(__xludf.DUMMYFUNCTION("""COMPUTED_VALUE"""),0.0109259262986205)</f>
        <v>0.0109259263</v>
      </c>
      <c r="K94" s="54">
        <f>IFERROR(__xludf.DUMMYFUNCTION("""COMPUTED_VALUE"""),0.0015509259740848986)</f>
        <v>0.001550925974</v>
      </c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6"/>
      <c r="W94" s="56"/>
      <c r="X94" s="56"/>
      <c r="Y94" s="56"/>
      <c r="Z94" s="57"/>
      <c r="AA94" s="58"/>
      <c r="AB94" s="59"/>
    </row>
    <row r="95" ht="13.5" customHeight="1">
      <c r="A95" s="60">
        <f>IFERROR(__xludf.DUMMYFUNCTION("""COMPUTED_VALUE"""),94.0)</f>
        <v>94</v>
      </c>
      <c r="B95" s="61" t="str">
        <f>IFERROR(__xludf.DUMMYFUNCTION("""COMPUTED_VALUE"""),"145")</f>
        <v>145</v>
      </c>
      <c r="C95" s="62" t="str">
        <f>IFERROR(__xludf.DUMMYFUNCTION("""COMPUTED_VALUE"""),"PAQUEREAU")</f>
        <v>PAQUEREAU</v>
      </c>
      <c r="D95" s="63" t="str">
        <f>IFERROR(__xludf.DUMMYFUNCTION("""COMPUTED_VALUE"""),"SIMON")</f>
        <v>SIMON</v>
      </c>
      <c r="E95" s="51" t="str">
        <f>IFERROR(__xludf.DUMMYFUNCTION("""COMPUTED_VALUE"""),"MH5")</f>
        <v>MH5</v>
      </c>
      <c r="F95" s="64">
        <f>IFERROR(__xludf.DUMMYFUNCTION("""COMPUTED_VALUE"""),4.0)</f>
        <v>4</v>
      </c>
      <c r="G95" s="52">
        <f>IFERROR(__xludf.DUMMYFUNCTION("""COMPUTED_VALUE"""),0.026527777884811848)</f>
        <v>0.02652777788</v>
      </c>
      <c r="H95" s="53">
        <f>IFERROR(__xludf.DUMMYFUNCTION("""COMPUTED_VALUE"""),0.005324074084810287)</f>
        <v>0.005324074085</v>
      </c>
      <c r="I95" s="53">
        <f>IFERROR(__xludf.DUMMYFUNCTION("""COMPUTED_VALUE"""),0.008229166672634361)</f>
        <v>0.008229166673</v>
      </c>
      <c r="J95" s="53">
        <f>IFERROR(__xludf.DUMMYFUNCTION("""COMPUTED_VALUE"""),0.011747685048372316)</f>
        <v>0.01174768505</v>
      </c>
      <c r="K95" s="54">
        <f>IFERROR(__xludf.DUMMYFUNCTION("""COMPUTED_VALUE"""),0.001226852078994884)</f>
        <v>0.001226852079</v>
      </c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6"/>
      <c r="W95" s="56"/>
      <c r="X95" s="56"/>
      <c r="Y95" s="56"/>
      <c r="Z95" s="57"/>
      <c r="AA95" s="58"/>
      <c r="AB95" s="59"/>
    </row>
    <row r="96" ht="13.5" customHeight="1">
      <c r="A96" s="60">
        <f>IFERROR(__xludf.DUMMYFUNCTION("""COMPUTED_VALUE"""),95.0)</f>
        <v>95</v>
      </c>
      <c r="B96" s="61" t="str">
        <f>IFERROR(__xludf.DUMMYFUNCTION("""COMPUTED_VALUE"""),"63")</f>
        <v>63</v>
      </c>
      <c r="C96" s="62" t="str">
        <f>IFERROR(__xludf.DUMMYFUNCTION("""COMPUTED_VALUE"""),"BASUEMI")</f>
        <v>BASUEMI</v>
      </c>
      <c r="D96" s="63" t="str">
        <f>IFERROR(__xludf.DUMMYFUNCTION("""COMPUTED_VALUE"""),"GEOFFREY")</f>
        <v>GEOFFREY</v>
      </c>
      <c r="E96" s="51" t="str">
        <f>IFERROR(__xludf.DUMMYFUNCTION("""COMPUTED_VALUE"""),"SH4")</f>
        <v>SH4</v>
      </c>
      <c r="F96" s="64">
        <f>IFERROR(__xludf.DUMMYFUNCTION("""COMPUTED_VALUE"""),24.0)</f>
        <v>24</v>
      </c>
      <c r="G96" s="52">
        <f>IFERROR(__xludf.DUMMYFUNCTION("""COMPUTED_VALUE"""),0.02659722301849501)</f>
        <v>0.02659722302</v>
      </c>
      <c r="H96" s="53">
        <f>IFERROR(__xludf.DUMMYFUNCTION("""COMPUTED_VALUE"""),0.005081018524934651)</f>
        <v>0.005081018525</v>
      </c>
      <c r="I96" s="53">
        <f>IFERROR(__xludf.DUMMYFUNCTION("""COMPUTED_VALUE"""),0.008136574184917925)</f>
        <v>0.008136574185</v>
      </c>
      <c r="J96" s="53">
        <f>IFERROR(__xludf.DUMMYFUNCTION("""COMPUTED_VALUE"""),0.011203703788335045)</f>
        <v>0.01120370379</v>
      </c>
      <c r="K96" s="54">
        <f>IFERROR(__xludf.DUMMYFUNCTION("""COMPUTED_VALUE"""),0.002175926520307389)</f>
        <v>0.00217592652</v>
      </c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6"/>
      <c r="W96" s="56"/>
      <c r="X96" s="56"/>
      <c r="Y96" s="56"/>
      <c r="Z96" s="57"/>
      <c r="AA96" s="58"/>
      <c r="AB96" s="59"/>
    </row>
    <row r="97" ht="13.5" customHeight="1">
      <c r="A97" s="60">
        <f>IFERROR(__xludf.DUMMYFUNCTION("""COMPUTED_VALUE"""),96.0)</f>
        <v>96</v>
      </c>
      <c r="B97" s="61" t="str">
        <f>IFERROR(__xludf.DUMMYFUNCTION("""COMPUTED_VALUE"""),"72")</f>
        <v>72</v>
      </c>
      <c r="C97" s="62" t="str">
        <f>IFERROR(__xludf.DUMMYFUNCTION("""COMPUTED_VALUE"""),"HUARANCCA NINANYA")</f>
        <v>HUARANCCA NINANYA</v>
      </c>
      <c r="D97" s="63" t="str">
        <f>IFERROR(__xludf.DUMMYFUNCTION("""COMPUTED_VALUE"""),"MARCO")</f>
        <v>MARCO</v>
      </c>
      <c r="E97" s="51" t="str">
        <f>IFERROR(__xludf.DUMMYFUNCTION("""COMPUTED_VALUE"""),"SH3")</f>
        <v>SH3</v>
      </c>
      <c r="F97" s="64">
        <f>IFERROR(__xludf.DUMMYFUNCTION("""COMPUTED_VALUE"""),19.0)</f>
        <v>19</v>
      </c>
      <c r="G97" s="52">
        <f>IFERROR(__xludf.DUMMYFUNCTION("""COMPUTED_VALUE"""),0.027013889737929148)</f>
        <v>0.02701388974</v>
      </c>
      <c r="H97" s="53">
        <f>IFERROR(__xludf.DUMMYFUNCTION("""COMPUTED_VALUE"""),0.006018518633077733)</f>
        <v>0.006018518633</v>
      </c>
      <c r="I97" s="53">
        <f>IFERROR(__xludf.DUMMYFUNCTION("""COMPUTED_VALUE"""),0.00895833343203025)</f>
        <v>0.008958333432</v>
      </c>
      <c r="J97" s="53">
        <f>IFERROR(__xludf.DUMMYFUNCTION("""COMPUTED_VALUE"""),0.010601852082659333)</f>
        <v>0.01060185208</v>
      </c>
      <c r="K97" s="54">
        <f>IFERROR(__xludf.DUMMYFUNCTION("""COMPUTED_VALUE"""),0.0014351855901618311)</f>
        <v>0.00143518559</v>
      </c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6"/>
      <c r="W97" s="56"/>
      <c r="X97" s="56"/>
      <c r="Y97" s="56"/>
      <c r="Z97" s="57"/>
      <c r="AA97" s="58"/>
      <c r="AB97" s="59"/>
    </row>
    <row r="98" ht="13.5" customHeight="1">
      <c r="A98" s="60">
        <f>IFERROR(__xludf.DUMMYFUNCTION("""COMPUTED_VALUE"""),97.0)</f>
        <v>97</v>
      </c>
      <c r="B98" s="61" t="str">
        <f>IFERROR(__xludf.DUMMYFUNCTION("""COMPUTED_VALUE"""),"58")</f>
        <v>58</v>
      </c>
      <c r="C98" s="62" t="str">
        <f>IFERROR(__xludf.DUMMYFUNCTION("""COMPUTED_VALUE"""),"NONY-DAVADIE")</f>
        <v>NONY-DAVADIE</v>
      </c>
      <c r="D98" s="63" t="str">
        <f>IFERROR(__xludf.DUMMYFUNCTION("""COMPUTED_VALUE"""),"MAXIMILIEN")</f>
        <v>MAXIMILIEN</v>
      </c>
      <c r="E98" s="51" t="str">
        <f>IFERROR(__xludf.DUMMYFUNCTION("""COMPUTED_VALUE"""),"SH4")</f>
        <v>SH4</v>
      </c>
      <c r="F98" s="64">
        <f>IFERROR(__xludf.DUMMYFUNCTION("""COMPUTED_VALUE"""),25.0)</f>
        <v>25</v>
      </c>
      <c r="G98" s="52">
        <f>IFERROR(__xludf.DUMMYFUNCTION("""COMPUTED_VALUE"""),0.027453704513199517)</f>
        <v>0.02745370451</v>
      </c>
      <c r="H98" s="53">
        <f>IFERROR(__xludf.DUMMYFUNCTION("""COMPUTED_VALUE"""),0.005625000103609586)</f>
        <v>0.005625000104</v>
      </c>
      <c r="I98" s="53">
        <f>IFERROR(__xludf.DUMMYFUNCTION("""COMPUTED_VALUE"""),0.008414351890867583)</f>
        <v>0.008414351891</v>
      </c>
      <c r="J98" s="53">
        <f>IFERROR(__xludf.DUMMYFUNCTION("""COMPUTED_VALUE"""),0.011608796791738825)</f>
        <v>0.01160879679</v>
      </c>
      <c r="K98" s="54">
        <f>IFERROR(__xludf.DUMMYFUNCTION("""COMPUTED_VALUE"""),0.0018055557269835223)</f>
        <v>0.001805555727</v>
      </c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6"/>
      <c r="W98" s="56"/>
      <c r="X98" s="56"/>
      <c r="Y98" s="56"/>
      <c r="Z98" s="57"/>
      <c r="AA98" s="58"/>
      <c r="AB98" s="59"/>
    </row>
    <row r="99" ht="13.5" customHeight="1">
      <c r="A99" s="60">
        <f>IFERROR(__xludf.DUMMYFUNCTION("""COMPUTED_VALUE"""),98.0)</f>
        <v>98</v>
      </c>
      <c r="B99" s="61" t="str">
        <f>IFERROR(__xludf.DUMMYFUNCTION("""COMPUTED_VALUE"""),"62")</f>
        <v>62</v>
      </c>
      <c r="C99" s="62" t="str">
        <f>IFERROR(__xludf.DUMMYFUNCTION("""COMPUTED_VALUE"""),"TANNER")</f>
        <v>TANNER</v>
      </c>
      <c r="D99" s="63" t="str">
        <f>IFERROR(__xludf.DUMMYFUNCTION("""COMPUTED_VALUE"""),"RENAUD")</f>
        <v>RENAUD</v>
      </c>
      <c r="E99" s="51" t="str">
        <f>IFERROR(__xludf.DUMMYFUNCTION("""COMPUTED_VALUE"""),"MH1")</f>
        <v>MH1</v>
      </c>
      <c r="F99" s="64">
        <f>IFERROR(__xludf.DUMMYFUNCTION("""COMPUTED_VALUE"""),15.0)</f>
        <v>15</v>
      </c>
      <c r="G99" s="52">
        <f>IFERROR(__xludf.DUMMYFUNCTION("""COMPUTED_VALUE"""),0.02821759265430833)</f>
        <v>0.02821759265</v>
      </c>
      <c r="H99" s="53">
        <f>IFERROR(__xludf.DUMMYFUNCTION("""COMPUTED_VALUE"""),0.004930555598018108)</f>
        <v>0.004930555598</v>
      </c>
      <c r="I99" s="53">
        <f>IFERROR(__xludf.DUMMYFUNCTION("""COMPUTED_VALUE"""),0.008599537101484724)</f>
        <v>0.008599537101</v>
      </c>
      <c r="J99" s="53">
        <f>IFERROR(__xludf.DUMMYFUNCTION("""COMPUTED_VALUE"""),0.012812499982810095)</f>
        <v>0.01281249998</v>
      </c>
      <c r="K99" s="54">
        <f>IFERROR(__xludf.DUMMYFUNCTION("""COMPUTED_VALUE"""),0.0018749999719954022)</f>
        <v>0.001874999972</v>
      </c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6"/>
      <c r="W99" s="56"/>
      <c r="X99" s="56"/>
      <c r="Y99" s="56"/>
      <c r="Z99" s="57"/>
      <c r="AA99" s="58"/>
      <c r="AB99" s="59"/>
    </row>
    <row r="100" ht="13.5" customHeight="1">
      <c r="A100" s="60">
        <f>IFERROR(__xludf.DUMMYFUNCTION("""COMPUTED_VALUE"""),99.0)</f>
        <v>99</v>
      </c>
      <c r="B100" s="61" t="str">
        <f>IFERROR(__xludf.DUMMYFUNCTION("""COMPUTED_VALUE"""),"59")</f>
        <v>59</v>
      </c>
      <c r="C100" s="62" t="str">
        <f>IFERROR(__xludf.DUMMYFUNCTION("""COMPUTED_VALUE"""),"TANNER")</f>
        <v>TANNER</v>
      </c>
      <c r="D100" s="63" t="str">
        <f>IFERROR(__xludf.DUMMYFUNCTION("""COMPUTED_VALUE"""),"MICHEL")</f>
        <v>MICHEL</v>
      </c>
      <c r="E100" s="51" t="str">
        <f>IFERROR(__xludf.DUMMYFUNCTION("""COMPUTED_VALUE"""),"MH6")</f>
        <v>MH6</v>
      </c>
      <c r="F100" s="64">
        <f>IFERROR(__xludf.DUMMYFUNCTION("""COMPUTED_VALUE"""),1.0)</f>
        <v>1</v>
      </c>
      <c r="G100" s="52">
        <f>IFERROR(__xludf.DUMMYFUNCTION("""COMPUTED_VALUE"""),0.0317939816343476)</f>
        <v>0.03179398163</v>
      </c>
      <c r="H100" s="53">
        <f>IFERROR(__xludf.DUMMYFUNCTION("""COMPUTED_VALUE"""),0.008356481523017581)</f>
        <v>0.008356481523</v>
      </c>
      <c r="I100" s="53">
        <f>IFERROR(__xludf.DUMMYFUNCTION("""COMPUTED_VALUE"""),0.009479166698375393)</f>
        <v>0.009479166698</v>
      </c>
      <c r="J100" s="53">
        <f>IFERROR(__xludf.DUMMYFUNCTION("""COMPUTED_VALUE"""),0.011527777852628613)</f>
        <v>0.01152777785</v>
      </c>
      <c r="K100" s="54">
        <f>IFERROR(__xludf.DUMMYFUNCTION("""COMPUTED_VALUE"""),0.002430555560326014)</f>
        <v>0.00243055556</v>
      </c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6"/>
      <c r="W100" s="56"/>
      <c r="X100" s="56"/>
      <c r="Y100" s="56"/>
      <c r="Z100" s="57"/>
      <c r="AA100" s="58"/>
      <c r="AB100" s="59"/>
    </row>
    <row r="101" ht="13.5" customHeight="1">
      <c r="A101" s="60">
        <f>IFERROR(__xludf.DUMMYFUNCTION("""COMPUTED_VALUE"""),100.0)</f>
        <v>100</v>
      </c>
      <c r="B101" s="61" t="str">
        <f>IFERROR(__xludf.DUMMYFUNCTION("""COMPUTED_VALUE"""),"68")</f>
        <v>68</v>
      </c>
      <c r="C101" s="62" t="str">
        <f>IFERROR(__xludf.DUMMYFUNCTION("""COMPUTED_VALUE"""),"URSULET")</f>
        <v>URSULET</v>
      </c>
      <c r="D101" s="63" t="str">
        <f>IFERROR(__xludf.DUMMYFUNCTION("""COMPUTED_VALUE"""),"BRUNO")</f>
        <v>BRUNO</v>
      </c>
      <c r="E101" s="51" t="str">
        <f>IFERROR(__xludf.DUMMYFUNCTION("""COMPUTED_VALUE"""),"MH5")</f>
        <v>MH5</v>
      </c>
      <c r="F101" s="64">
        <f>IFERROR(__xludf.DUMMYFUNCTION("""COMPUTED_VALUE"""),5.0)</f>
        <v>5</v>
      </c>
      <c r="G101" s="52">
        <f>IFERROR(__xludf.DUMMYFUNCTION("""COMPUTED_VALUE"""),0.03780092628991552)</f>
        <v>0.03780092629</v>
      </c>
      <c r="H101" s="53">
        <f>IFERROR(__xludf.DUMMYFUNCTION("""COMPUTED_VALUE"""),0.006793981577697487)</f>
        <v>0.006793981578</v>
      </c>
      <c r="I101" s="53">
        <f>IFERROR(__xludf.DUMMYFUNCTION("""COMPUTED_VALUE"""),0.009780092701226546)</f>
        <v>0.009780092701</v>
      </c>
      <c r="J101" s="53">
        <f>IFERROR(__xludf.DUMMYFUNCTION("""COMPUTED_VALUE"""),0.018032407109976455)</f>
        <v>0.01803240711</v>
      </c>
      <c r="K101" s="54">
        <f>IFERROR(__xludf.DUMMYFUNCTION("""COMPUTED_VALUE"""),0.003194444901015032)</f>
        <v>0.003194444901</v>
      </c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6"/>
      <c r="W101" s="56"/>
      <c r="X101" s="56"/>
      <c r="Y101" s="56"/>
      <c r="Z101" s="57"/>
      <c r="AA101" s="58"/>
      <c r="AB101" s="59"/>
    </row>
    <row r="102" ht="13.5" customHeight="1">
      <c r="A102" s="60" t="str">
        <f>IFERROR(__xludf.DUMMYFUNCTION("""COMPUTED_VALUE"""),"")</f>
        <v/>
      </c>
      <c r="B102" s="64" t="str">
        <f>IFERROR(__xludf.DUMMYFUNCTION("""COMPUTED_VALUE"""),"")</f>
        <v/>
      </c>
      <c r="C102" s="63" t="str">
        <f>IFERROR(__xludf.DUMMYFUNCTION("""COMPUTED_VALUE"""),"")</f>
        <v/>
      </c>
      <c r="D102" s="63" t="str">
        <f>IFERROR(__xludf.DUMMYFUNCTION("""COMPUTED_VALUE"""),"")</f>
        <v/>
      </c>
      <c r="E102" s="51" t="str">
        <f>IFERROR(__xludf.DUMMYFUNCTION("""COMPUTED_VALUE"""),"")</f>
        <v/>
      </c>
      <c r="F102" s="64" t="str">
        <f>IFERROR(__xludf.DUMMYFUNCTION("""COMPUTED_VALUE"""),"")</f>
        <v/>
      </c>
      <c r="G102" s="52" t="str">
        <f>IFERROR(__xludf.DUMMYFUNCTION("""COMPUTED_VALUE"""),"")</f>
        <v/>
      </c>
      <c r="H102" s="53" t="str">
        <f>IFERROR(__xludf.DUMMYFUNCTION("""COMPUTED_VALUE"""),"")</f>
        <v/>
      </c>
      <c r="I102" s="53" t="str">
        <f>IFERROR(__xludf.DUMMYFUNCTION("""COMPUTED_VALUE"""),"")</f>
        <v/>
      </c>
      <c r="J102" s="53" t="str">
        <f>IFERROR(__xludf.DUMMYFUNCTION("""COMPUTED_VALUE"""),"")</f>
        <v/>
      </c>
      <c r="K102" s="54" t="str">
        <f>IFERROR(__xludf.DUMMYFUNCTION("""COMPUTED_VALUE"""),"")</f>
        <v/>
      </c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6"/>
      <c r="W102" s="56"/>
      <c r="X102" s="56"/>
      <c r="Y102" s="56"/>
      <c r="Z102" s="57"/>
      <c r="AA102" s="58"/>
      <c r="AB102" s="59"/>
    </row>
    <row r="103" ht="13.5" customHeight="1">
      <c r="A103" s="60" t="str">
        <f>IFERROR(__xludf.DUMMYFUNCTION("""COMPUTED_VALUE"""),"")</f>
        <v/>
      </c>
      <c r="B103" s="64" t="str">
        <f>IFERROR(__xludf.DUMMYFUNCTION("""COMPUTED_VALUE"""),"")</f>
        <v/>
      </c>
      <c r="C103" s="63" t="str">
        <f>IFERROR(__xludf.DUMMYFUNCTION("""COMPUTED_VALUE"""),"")</f>
        <v/>
      </c>
      <c r="D103" s="63" t="str">
        <f>IFERROR(__xludf.DUMMYFUNCTION("""COMPUTED_VALUE"""),"")</f>
        <v/>
      </c>
      <c r="E103" s="51" t="str">
        <f>IFERROR(__xludf.DUMMYFUNCTION("""COMPUTED_VALUE"""),"")</f>
        <v/>
      </c>
      <c r="F103" s="64" t="str">
        <f>IFERROR(__xludf.DUMMYFUNCTION("""COMPUTED_VALUE"""),"")</f>
        <v/>
      </c>
      <c r="G103" s="52" t="str">
        <f>IFERROR(__xludf.DUMMYFUNCTION("""COMPUTED_VALUE"""),"")</f>
        <v/>
      </c>
      <c r="H103" s="53" t="str">
        <f>IFERROR(__xludf.DUMMYFUNCTION("""COMPUTED_VALUE"""),"")</f>
        <v/>
      </c>
      <c r="I103" s="53" t="str">
        <f>IFERROR(__xludf.DUMMYFUNCTION("""COMPUTED_VALUE"""),"")</f>
        <v/>
      </c>
      <c r="J103" s="53" t="str">
        <f>IFERROR(__xludf.DUMMYFUNCTION("""COMPUTED_VALUE"""),"")</f>
        <v/>
      </c>
      <c r="K103" s="54" t="str">
        <f>IFERROR(__xludf.DUMMYFUNCTION("""COMPUTED_VALUE"""),"")</f>
        <v/>
      </c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6"/>
      <c r="W103" s="56"/>
      <c r="X103" s="56"/>
      <c r="Y103" s="56"/>
      <c r="Z103" s="57"/>
      <c r="AA103" s="58"/>
      <c r="AB103" s="59"/>
    </row>
    <row r="104" ht="13.5" customHeight="1">
      <c r="A104" s="60" t="str">
        <f>IFERROR(__xludf.DUMMYFUNCTION("""COMPUTED_VALUE"""),"")</f>
        <v/>
      </c>
      <c r="B104" s="64" t="str">
        <f>IFERROR(__xludf.DUMMYFUNCTION("""COMPUTED_VALUE"""),"")</f>
        <v/>
      </c>
      <c r="C104" s="63" t="str">
        <f>IFERROR(__xludf.DUMMYFUNCTION("""COMPUTED_VALUE"""),"")</f>
        <v/>
      </c>
      <c r="D104" s="63" t="str">
        <f>IFERROR(__xludf.DUMMYFUNCTION("""COMPUTED_VALUE"""),"")</f>
        <v/>
      </c>
      <c r="E104" s="51" t="str">
        <f>IFERROR(__xludf.DUMMYFUNCTION("""COMPUTED_VALUE"""),"")</f>
        <v/>
      </c>
      <c r="F104" s="64" t="str">
        <f>IFERROR(__xludf.DUMMYFUNCTION("""COMPUTED_VALUE"""),"")</f>
        <v/>
      </c>
      <c r="G104" s="52" t="str">
        <f>IFERROR(__xludf.DUMMYFUNCTION("""COMPUTED_VALUE"""),"")</f>
        <v/>
      </c>
      <c r="H104" s="53" t="str">
        <f>IFERROR(__xludf.DUMMYFUNCTION("""COMPUTED_VALUE"""),"")</f>
        <v/>
      </c>
      <c r="I104" s="53" t="str">
        <f>IFERROR(__xludf.DUMMYFUNCTION("""COMPUTED_VALUE"""),"")</f>
        <v/>
      </c>
      <c r="J104" s="53" t="str">
        <f>IFERROR(__xludf.DUMMYFUNCTION("""COMPUTED_VALUE"""),"")</f>
        <v/>
      </c>
      <c r="K104" s="54" t="str">
        <f>IFERROR(__xludf.DUMMYFUNCTION("""COMPUTED_VALUE"""),"")</f>
        <v/>
      </c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6"/>
      <c r="W104" s="56"/>
      <c r="X104" s="56"/>
      <c r="Y104" s="56"/>
      <c r="Z104" s="57"/>
      <c r="AA104" s="58"/>
      <c r="AB104" s="59"/>
    </row>
    <row r="105" ht="13.5" customHeight="1">
      <c r="A105" s="60" t="str">
        <f>IFERROR(__xludf.DUMMYFUNCTION("""COMPUTED_VALUE"""),"")</f>
        <v/>
      </c>
      <c r="B105" s="64" t="str">
        <f>IFERROR(__xludf.DUMMYFUNCTION("""COMPUTED_VALUE"""),"")</f>
        <v/>
      </c>
      <c r="C105" s="63" t="str">
        <f>IFERROR(__xludf.DUMMYFUNCTION("""COMPUTED_VALUE"""),"")</f>
        <v/>
      </c>
      <c r="D105" s="63" t="str">
        <f>IFERROR(__xludf.DUMMYFUNCTION("""COMPUTED_VALUE"""),"")</f>
        <v/>
      </c>
      <c r="E105" s="51" t="str">
        <f>IFERROR(__xludf.DUMMYFUNCTION("""COMPUTED_VALUE"""),"")</f>
        <v/>
      </c>
      <c r="F105" s="64" t="str">
        <f>IFERROR(__xludf.DUMMYFUNCTION("""COMPUTED_VALUE"""),"")</f>
        <v/>
      </c>
      <c r="G105" s="52" t="str">
        <f>IFERROR(__xludf.DUMMYFUNCTION("""COMPUTED_VALUE"""),"")</f>
        <v/>
      </c>
      <c r="H105" s="53" t="str">
        <f>IFERROR(__xludf.DUMMYFUNCTION("""COMPUTED_VALUE"""),"")</f>
        <v/>
      </c>
      <c r="I105" s="53" t="str">
        <f>IFERROR(__xludf.DUMMYFUNCTION("""COMPUTED_VALUE"""),"")</f>
        <v/>
      </c>
      <c r="J105" s="53" t="str">
        <f>IFERROR(__xludf.DUMMYFUNCTION("""COMPUTED_VALUE"""),"")</f>
        <v/>
      </c>
      <c r="K105" s="54" t="str">
        <f>IFERROR(__xludf.DUMMYFUNCTION("""COMPUTED_VALUE"""),"")</f>
        <v/>
      </c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6"/>
      <c r="W105" s="56"/>
      <c r="X105" s="56"/>
      <c r="Y105" s="56"/>
      <c r="Z105" s="57"/>
      <c r="AA105" s="58"/>
      <c r="AB105" s="59"/>
    </row>
    <row r="106" ht="13.5" customHeight="1">
      <c r="A106" s="60" t="str">
        <f>IFERROR(__xludf.DUMMYFUNCTION("""COMPUTED_VALUE"""),"")</f>
        <v/>
      </c>
      <c r="B106" s="64" t="str">
        <f>IFERROR(__xludf.DUMMYFUNCTION("""COMPUTED_VALUE"""),"")</f>
        <v/>
      </c>
      <c r="C106" s="63" t="str">
        <f>IFERROR(__xludf.DUMMYFUNCTION("""COMPUTED_VALUE"""),"")</f>
        <v/>
      </c>
      <c r="D106" s="63" t="str">
        <f>IFERROR(__xludf.DUMMYFUNCTION("""COMPUTED_VALUE"""),"")</f>
        <v/>
      </c>
      <c r="E106" s="51" t="str">
        <f>IFERROR(__xludf.DUMMYFUNCTION("""COMPUTED_VALUE"""),"")</f>
        <v/>
      </c>
      <c r="F106" s="64" t="str">
        <f>IFERROR(__xludf.DUMMYFUNCTION("""COMPUTED_VALUE"""),"")</f>
        <v/>
      </c>
      <c r="G106" s="52" t="str">
        <f>IFERROR(__xludf.DUMMYFUNCTION("""COMPUTED_VALUE"""),"")</f>
        <v/>
      </c>
      <c r="H106" s="53" t="str">
        <f>IFERROR(__xludf.DUMMYFUNCTION("""COMPUTED_VALUE"""),"")</f>
        <v/>
      </c>
      <c r="I106" s="53" t="str">
        <f>IFERROR(__xludf.DUMMYFUNCTION("""COMPUTED_VALUE"""),"")</f>
        <v/>
      </c>
      <c r="J106" s="53" t="str">
        <f>IFERROR(__xludf.DUMMYFUNCTION("""COMPUTED_VALUE"""),"")</f>
        <v/>
      </c>
      <c r="K106" s="54" t="str">
        <f>IFERROR(__xludf.DUMMYFUNCTION("""COMPUTED_VALUE"""),"")</f>
        <v/>
      </c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6"/>
      <c r="W106" s="56"/>
      <c r="X106" s="56"/>
      <c r="Y106" s="56"/>
      <c r="Z106" s="57"/>
      <c r="AA106" s="58"/>
      <c r="AB106" s="59"/>
    </row>
    <row r="107" ht="13.5" customHeight="1">
      <c r="A107" s="60" t="str">
        <f>IFERROR(__xludf.DUMMYFUNCTION("""COMPUTED_VALUE"""),"")</f>
        <v/>
      </c>
      <c r="B107" s="64" t="str">
        <f>IFERROR(__xludf.DUMMYFUNCTION("""COMPUTED_VALUE"""),"")</f>
        <v/>
      </c>
      <c r="C107" s="63" t="str">
        <f>IFERROR(__xludf.DUMMYFUNCTION("""COMPUTED_VALUE"""),"")</f>
        <v/>
      </c>
      <c r="D107" s="63" t="str">
        <f>IFERROR(__xludf.DUMMYFUNCTION("""COMPUTED_VALUE"""),"")</f>
        <v/>
      </c>
      <c r="E107" s="51" t="str">
        <f>IFERROR(__xludf.DUMMYFUNCTION("""COMPUTED_VALUE"""),"")</f>
        <v/>
      </c>
      <c r="F107" s="64" t="str">
        <f>IFERROR(__xludf.DUMMYFUNCTION("""COMPUTED_VALUE"""),"")</f>
        <v/>
      </c>
      <c r="G107" s="52" t="str">
        <f>IFERROR(__xludf.DUMMYFUNCTION("""COMPUTED_VALUE"""),"")</f>
        <v/>
      </c>
      <c r="H107" s="53" t="str">
        <f>IFERROR(__xludf.DUMMYFUNCTION("""COMPUTED_VALUE"""),"")</f>
        <v/>
      </c>
      <c r="I107" s="53" t="str">
        <f>IFERROR(__xludf.DUMMYFUNCTION("""COMPUTED_VALUE"""),"")</f>
        <v/>
      </c>
      <c r="J107" s="53" t="str">
        <f>IFERROR(__xludf.DUMMYFUNCTION("""COMPUTED_VALUE"""),"")</f>
        <v/>
      </c>
      <c r="K107" s="54" t="str">
        <f>IFERROR(__xludf.DUMMYFUNCTION("""COMPUTED_VALUE"""),"")</f>
        <v/>
      </c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6"/>
      <c r="W107" s="56"/>
      <c r="X107" s="56"/>
      <c r="Y107" s="56"/>
      <c r="Z107" s="57"/>
      <c r="AA107" s="58"/>
      <c r="AB107" s="59"/>
    </row>
    <row r="108" ht="13.5" customHeight="1">
      <c r="A108" s="60" t="str">
        <f>IFERROR(__xludf.DUMMYFUNCTION("""COMPUTED_VALUE"""),"")</f>
        <v/>
      </c>
      <c r="B108" s="64" t="str">
        <f>IFERROR(__xludf.DUMMYFUNCTION("""COMPUTED_VALUE"""),"")</f>
        <v/>
      </c>
      <c r="C108" s="63" t="str">
        <f>IFERROR(__xludf.DUMMYFUNCTION("""COMPUTED_VALUE"""),"")</f>
        <v/>
      </c>
      <c r="D108" s="63" t="str">
        <f>IFERROR(__xludf.DUMMYFUNCTION("""COMPUTED_VALUE"""),"")</f>
        <v/>
      </c>
      <c r="E108" s="51" t="str">
        <f>IFERROR(__xludf.DUMMYFUNCTION("""COMPUTED_VALUE"""),"")</f>
        <v/>
      </c>
      <c r="F108" s="64" t="str">
        <f>IFERROR(__xludf.DUMMYFUNCTION("""COMPUTED_VALUE"""),"")</f>
        <v/>
      </c>
      <c r="G108" s="52" t="str">
        <f>IFERROR(__xludf.DUMMYFUNCTION("""COMPUTED_VALUE"""),"")</f>
        <v/>
      </c>
      <c r="H108" s="53" t="str">
        <f>IFERROR(__xludf.DUMMYFUNCTION("""COMPUTED_VALUE"""),"")</f>
        <v/>
      </c>
      <c r="I108" s="53" t="str">
        <f>IFERROR(__xludf.DUMMYFUNCTION("""COMPUTED_VALUE"""),"")</f>
        <v/>
      </c>
      <c r="J108" s="53" t="str">
        <f>IFERROR(__xludf.DUMMYFUNCTION("""COMPUTED_VALUE"""),"")</f>
        <v/>
      </c>
      <c r="K108" s="54" t="str">
        <f>IFERROR(__xludf.DUMMYFUNCTION("""COMPUTED_VALUE"""),"")</f>
        <v/>
      </c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6"/>
      <c r="W108" s="56"/>
      <c r="X108" s="56"/>
      <c r="Y108" s="56"/>
      <c r="Z108" s="57"/>
      <c r="AA108" s="58"/>
      <c r="AB108" s="59"/>
    </row>
    <row r="109" ht="13.5" customHeight="1">
      <c r="A109" s="60" t="str">
        <f>IFERROR(__xludf.DUMMYFUNCTION("""COMPUTED_VALUE"""),"")</f>
        <v/>
      </c>
      <c r="B109" s="64" t="str">
        <f>IFERROR(__xludf.DUMMYFUNCTION("""COMPUTED_VALUE"""),"")</f>
        <v/>
      </c>
      <c r="C109" s="63" t="str">
        <f>IFERROR(__xludf.DUMMYFUNCTION("""COMPUTED_VALUE"""),"")</f>
        <v/>
      </c>
      <c r="D109" s="63" t="str">
        <f>IFERROR(__xludf.DUMMYFUNCTION("""COMPUTED_VALUE"""),"")</f>
        <v/>
      </c>
      <c r="E109" s="51" t="str">
        <f>IFERROR(__xludf.DUMMYFUNCTION("""COMPUTED_VALUE"""),"")</f>
        <v/>
      </c>
      <c r="F109" s="64" t="str">
        <f>IFERROR(__xludf.DUMMYFUNCTION("""COMPUTED_VALUE"""),"")</f>
        <v/>
      </c>
      <c r="G109" s="52" t="str">
        <f>IFERROR(__xludf.DUMMYFUNCTION("""COMPUTED_VALUE"""),"")</f>
        <v/>
      </c>
      <c r="H109" s="53" t="str">
        <f>IFERROR(__xludf.DUMMYFUNCTION("""COMPUTED_VALUE"""),"")</f>
        <v/>
      </c>
      <c r="I109" s="53" t="str">
        <f>IFERROR(__xludf.DUMMYFUNCTION("""COMPUTED_VALUE"""),"")</f>
        <v/>
      </c>
      <c r="J109" s="53" t="str">
        <f>IFERROR(__xludf.DUMMYFUNCTION("""COMPUTED_VALUE"""),"")</f>
        <v/>
      </c>
      <c r="K109" s="54" t="str">
        <f>IFERROR(__xludf.DUMMYFUNCTION("""COMPUTED_VALUE"""),"")</f>
        <v/>
      </c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6"/>
      <c r="W109" s="56"/>
      <c r="X109" s="56"/>
      <c r="Y109" s="56"/>
      <c r="Z109" s="57"/>
      <c r="AA109" s="58"/>
      <c r="AB109" s="59"/>
    </row>
    <row r="110" ht="13.5" customHeight="1">
      <c r="A110" s="60" t="str">
        <f>IFERROR(__xludf.DUMMYFUNCTION("""COMPUTED_VALUE"""),"")</f>
        <v/>
      </c>
      <c r="B110" s="64" t="str">
        <f>IFERROR(__xludf.DUMMYFUNCTION("""COMPUTED_VALUE"""),"")</f>
        <v/>
      </c>
      <c r="C110" s="63" t="str">
        <f>IFERROR(__xludf.DUMMYFUNCTION("""COMPUTED_VALUE"""),"")</f>
        <v/>
      </c>
      <c r="D110" s="63" t="str">
        <f>IFERROR(__xludf.DUMMYFUNCTION("""COMPUTED_VALUE"""),"")</f>
        <v/>
      </c>
      <c r="E110" s="51" t="str">
        <f>IFERROR(__xludf.DUMMYFUNCTION("""COMPUTED_VALUE"""),"")</f>
        <v/>
      </c>
      <c r="F110" s="64" t="str">
        <f>IFERROR(__xludf.DUMMYFUNCTION("""COMPUTED_VALUE"""),"")</f>
        <v/>
      </c>
      <c r="G110" s="52" t="str">
        <f>IFERROR(__xludf.DUMMYFUNCTION("""COMPUTED_VALUE"""),"")</f>
        <v/>
      </c>
      <c r="H110" s="53" t="str">
        <f>IFERROR(__xludf.DUMMYFUNCTION("""COMPUTED_VALUE"""),"")</f>
        <v/>
      </c>
      <c r="I110" s="53" t="str">
        <f>IFERROR(__xludf.DUMMYFUNCTION("""COMPUTED_VALUE"""),"")</f>
        <v/>
      </c>
      <c r="J110" s="53" t="str">
        <f>IFERROR(__xludf.DUMMYFUNCTION("""COMPUTED_VALUE"""),"")</f>
        <v/>
      </c>
      <c r="K110" s="54" t="str">
        <f>IFERROR(__xludf.DUMMYFUNCTION("""COMPUTED_VALUE"""),"")</f>
        <v/>
      </c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6"/>
      <c r="W110" s="56"/>
      <c r="X110" s="56"/>
      <c r="Y110" s="56"/>
      <c r="Z110" s="57"/>
      <c r="AA110" s="58"/>
      <c r="AB110" s="59"/>
    </row>
    <row r="111" ht="13.5" customHeight="1">
      <c r="A111" s="60" t="str">
        <f>IFERROR(__xludf.DUMMYFUNCTION("""COMPUTED_VALUE"""),"")</f>
        <v/>
      </c>
      <c r="B111" s="64" t="str">
        <f>IFERROR(__xludf.DUMMYFUNCTION("""COMPUTED_VALUE"""),"")</f>
        <v/>
      </c>
      <c r="C111" s="63" t="str">
        <f>IFERROR(__xludf.DUMMYFUNCTION("""COMPUTED_VALUE"""),"")</f>
        <v/>
      </c>
      <c r="D111" s="63" t="str">
        <f>IFERROR(__xludf.DUMMYFUNCTION("""COMPUTED_VALUE"""),"")</f>
        <v/>
      </c>
      <c r="E111" s="51" t="str">
        <f>IFERROR(__xludf.DUMMYFUNCTION("""COMPUTED_VALUE"""),"")</f>
        <v/>
      </c>
      <c r="F111" s="64" t="str">
        <f>IFERROR(__xludf.DUMMYFUNCTION("""COMPUTED_VALUE"""),"")</f>
        <v/>
      </c>
      <c r="G111" s="52" t="str">
        <f>IFERROR(__xludf.DUMMYFUNCTION("""COMPUTED_VALUE"""),"")</f>
        <v/>
      </c>
      <c r="H111" s="53" t="str">
        <f>IFERROR(__xludf.DUMMYFUNCTION("""COMPUTED_VALUE"""),"")</f>
        <v/>
      </c>
      <c r="I111" s="53" t="str">
        <f>IFERROR(__xludf.DUMMYFUNCTION("""COMPUTED_VALUE"""),"")</f>
        <v/>
      </c>
      <c r="J111" s="53" t="str">
        <f>IFERROR(__xludf.DUMMYFUNCTION("""COMPUTED_VALUE"""),"")</f>
        <v/>
      </c>
      <c r="K111" s="54" t="str">
        <f>IFERROR(__xludf.DUMMYFUNCTION("""COMPUTED_VALUE"""),"")</f>
        <v/>
      </c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6"/>
      <c r="W111" s="56"/>
      <c r="X111" s="56"/>
      <c r="Y111" s="56"/>
      <c r="Z111" s="57"/>
      <c r="AA111" s="58"/>
      <c r="AB111" s="59"/>
    </row>
    <row r="112" ht="13.5" customHeight="1">
      <c r="A112" s="60" t="str">
        <f>IFERROR(__xludf.DUMMYFUNCTION("""COMPUTED_VALUE"""),"")</f>
        <v/>
      </c>
      <c r="B112" s="64" t="str">
        <f>IFERROR(__xludf.DUMMYFUNCTION("""COMPUTED_VALUE"""),"")</f>
        <v/>
      </c>
      <c r="C112" s="63" t="str">
        <f>IFERROR(__xludf.DUMMYFUNCTION("""COMPUTED_VALUE"""),"")</f>
        <v/>
      </c>
      <c r="D112" s="63" t="str">
        <f>IFERROR(__xludf.DUMMYFUNCTION("""COMPUTED_VALUE"""),"")</f>
        <v/>
      </c>
      <c r="E112" s="51" t="str">
        <f>IFERROR(__xludf.DUMMYFUNCTION("""COMPUTED_VALUE"""),"")</f>
        <v/>
      </c>
      <c r="F112" s="64" t="str">
        <f>IFERROR(__xludf.DUMMYFUNCTION("""COMPUTED_VALUE"""),"")</f>
        <v/>
      </c>
      <c r="G112" s="52" t="str">
        <f>IFERROR(__xludf.DUMMYFUNCTION("""COMPUTED_VALUE"""),"")</f>
        <v/>
      </c>
      <c r="H112" s="53" t="str">
        <f>IFERROR(__xludf.DUMMYFUNCTION("""COMPUTED_VALUE"""),"")</f>
        <v/>
      </c>
      <c r="I112" s="53" t="str">
        <f>IFERROR(__xludf.DUMMYFUNCTION("""COMPUTED_VALUE"""),"")</f>
        <v/>
      </c>
      <c r="J112" s="53" t="str">
        <f>IFERROR(__xludf.DUMMYFUNCTION("""COMPUTED_VALUE"""),"")</f>
        <v/>
      </c>
      <c r="K112" s="54" t="str">
        <f>IFERROR(__xludf.DUMMYFUNCTION("""COMPUTED_VALUE"""),"")</f>
        <v/>
      </c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6"/>
      <c r="W112" s="56"/>
      <c r="X112" s="56"/>
      <c r="Y112" s="56"/>
      <c r="Z112" s="57"/>
      <c r="AA112" s="58"/>
      <c r="AB112" s="59"/>
    </row>
    <row r="113" ht="13.5" customHeight="1">
      <c r="A113" s="60" t="str">
        <f>IFERROR(__xludf.DUMMYFUNCTION("""COMPUTED_VALUE"""),"")</f>
        <v/>
      </c>
      <c r="B113" s="64" t="str">
        <f>IFERROR(__xludf.DUMMYFUNCTION("""COMPUTED_VALUE"""),"")</f>
        <v/>
      </c>
      <c r="C113" s="63" t="str">
        <f>IFERROR(__xludf.DUMMYFUNCTION("""COMPUTED_VALUE"""),"")</f>
        <v/>
      </c>
      <c r="D113" s="63" t="str">
        <f>IFERROR(__xludf.DUMMYFUNCTION("""COMPUTED_VALUE"""),"")</f>
        <v/>
      </c>
      <c r="E113" s="51" t="str">
        <f>IFERROR(__xludf.DUMMYFUNCTION("""COMPUTED_VALUE"""),"")</f>
        <v/>
      </c>
      <c r="F113" s="64" t="str">
        <f>IFERROR(__xludf.DUMMYFUNCTION("""COMPUTED_VALUE"""),"")</f>
        <v/>
      </c>
      <c r="G113" s="52" t="str">
        <f>IFERROR(__xludf.DUMMYFUNCTION("""COMPUTED_VALUE"""),"")</f>
        <v/>
      </c>
      <c r="H113" s="53" t="str">
        <f>IFERROR(__xludf.DUMMYFUNCTION("""COMPUTED_VALUE"""),"")</f>
        <v/>
      </c>
      <c r="I113" s="53" t="str">
        <f>IFERROR(__xludf.DUMMYFUNCTION("""COMPUTED_VALUE"""),"")</f>
        <v/>
      </c>
      <c r="J113" s="53" t="str">
        <f>IFERROR(__xludf.DUMMYFUNCTION("""COMPUTED_VALUE"""),"")</f>
        <v/>
      </c>
      <c r="K113" s="54" t="str">
        <f>IFERROR(__xludf.DUMMYFUNCTION("""COMPUTED_VALUE"""),"")</f>
        <v/>
      </c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6"/>
      <c r="W113" s="56"/>
      <c r="X113" s="56"/>
      <c r="Y113" s="56"/>
      <c r="Z113" s="57"/>
      <c r="AA113" s="58"/>
      <c r="AB113" s="59"/>
    </row>
    <row r="114" ht="13.5" customHeight="1">
      <c r="A114" s="60" t="str">
        <f>IFERROR(__xludf.DUMMYFUNCTION("""COMPUTED_VALUE"""),"")</f>
        <v/>
      </c>
      <c r="B114" s="64" t="str">
        <f>IFERROR(__xludf.DUMMYFUNCTION("""COMPUTED_VALUE"""),"")</f>
        <v/>
      </c>
      <c r="C114" s="63" t="str">
        <f>IFERROR(__xludf.DUMMYFUNCTION("""COMPUTED_VALUE"""),"")</f>
        <v/>
      </c>
      <c r="D114" s="63" t="str">
        <f>IFERROR(__xludf.DUMMYFUNCTION("""COMPUTED_VALUE"""),"")</f>
        <v/>
      </c>
      <c r="E114" s="51" t="str">
        <f>IFERROR(__xludf.DUMMYFUNCTION("""COMPUTED_VALUE"""),"")</f>
        <v/>
      </c>
      <c r="F114" s="64" t="str">
        <f>IFERROR(__xludf.DUMMYFUNCTION("""COMPUTED_VALUE"""),"")</f>
        <v/>
      </c>
      <c r="G114" s="52" t="str">
        <f>IFERROR(__xludf.DUMMYFUNCTION("""COMPUTED_VALUE"""),"")</f>
        <v/>
      </c>
      <c r="H114" s="53" t="str">
        <f>IFERROR(__xludf.DUMMYFUNCTION("""COMPUTED_VALUE"""),"")</f>
        <v/>
      </c>
      <c r="I114" s="53" t="str">
        <f>IFERROR(__xludf.DUMMYFUNCTION("""COMPUTED_VALUE"""),"")</f>
        <v/>
      </c>
      <c r="J114" s="53" t="str">
        <f>IFERROR(__xludf.DUMMYFUNCTION("""COMPUTED_VALUE"""),"")</f>
        <v/>
      </c>
      <c r="K114" s="54" t="str">
        <f>IFERROR(__xludf.DUMMYFUNCTION("""COMPUTED_VALUE"""),"")</f>
        <v/>
      </c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6"/>
      <c r="W114" s="56"/>
      <c r="X114" s="56"/>
      <c r="Y114" s="56"/>
      <c r="Z114" s="57"/>
      <c r="AA114" s="58"/>
      <c r="AB114" s="59"/>
    </row>
    <row r="115" ht="13.5" customHeight="1">
      <c r="A115" s="60" t="str">
        <f>IFERROR(__xludf.DUMMYFUNCTION("""COMPUTED_VALUE"""),"")</f>
        <v/>
      </c>
      <c r="B115" s="64" t="str">
        <f>IFERROR(__xludf.DUMMYFUNCTION("""COMPUTED_VALUE"""),"")</f>
        <v/>
      </c>
      <c r="C115" s="63" t="str">
        <f>IFERROR(__xludf.DUMMYFUNCTION("""COMPUTED_VALUE"""),"")</f>
        <v/>
      </c>
      <c r="D115" s="63" t="str">
        <f>IFERROR(__xludf.DUMMYFUNCTION("""COMPUTED_VALUE"""),"")</f>
        <v/>
      </c>
      <c r="E115" s="51" t="str">
        <f>IFERROR(__xludf.DUMMYFUNCTION("""COMPUTED_VALUE"""),"")</f>
        <v/>
      </c>
      <c r="F115" s="64" t="str">
        <f>IFERROR(__xludf.DUMMYFUNCTION("""COMPUTED_VALUE"""),"")</f>
        <v/>
      </c>
      <c r="G115" s="52" t="str">
        <f>IFERROR(__xludf.DUMMYFUNCTION("""COMPUTED_VALUE"""),"")</f>
        <v/>
      </c>
      <c r="H115" s="53" t="str">
        <f>IFERROR(__xludf.DUMMYFUNCTION("""COMPUTED_VALUE"""),"")</f>
        <v/>
      </c>
      <c r="I115" s="53" t="str">
        <f>IFERROR(__xludf.DUMMYFUNCTION("""COMPUTED_VALUE"""),"")</f>
        <v/>
      </c>
      <c r="J115" s="53" t="str">
        <f>IFERROR(__xludf.DUMMYFUNCTION("""COMPUTED_VALUE"""),"")</f>
        <v/>
      </c>
      <c r="K115" s="54" t="str">
        <f>IFERROR(__xludf.DUMMYFUNCTION("""COMPUTED_VALUE"""),"")</f>
        <v/>
      </c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6"/>
      <c r="W115" s="56"/>
      <c r="X115" s="56"/>
      <c r="Y115" s="56"/>
      <c r="Z115" s="57"/>
      <c r="AA115" s="58"/>
      <c r="AB115" s="59"/>
    </row>
    <row r="116" ht="13.5" customHeight="1">
      <c r="A116" s="60" t="str">
        <f>IFERROR(__xludf.DUMMYFUNCTION("""COMPUTED_VALUE"""),"")</f>
        <v/>
      </c>
      <c r="B116" s="64" t="str">
        <f>IFERROR(__xludf.DUMMYFUNCTION("""COMPUTED_VALUE"""),"")</f>
        <v/>
      </c>
      <c r="C116" s="63" t="str">
        <f>IFERROR(__xludf.DUMMYFUNCTION("""COMPUTED_VALUE"""),"")</f>
        <v/>
      </c>
      <c r="D116" s="63" t="str">
        <f>IFERROR(__xludf.DUMMYFUNCTION("""COMPUTED_VALUE"""),"")</f>
        <v/>
      </c>
      <c r="E116" s="51" t="str">
        <f>IFERROR(__xludf.DUMMYFUNCTION("""COMPUTED_VALUE"""),"")</f>
        <v/>
      </c>
      <c r="F116" s="64" t="str">
        <f>IFERROR(__xludf.DUMMYFUNCTION("""COMPUTED_VALUE"""),"")</f>
        <v/>
      </c>
      <c r="G116" s="52" t="str">
        <f>IFERROR(__xludf.DUMMYFUNCTION("""COMPUTED_VALUE"""),"")</f>
        <v/>
      </c>
      <c r="H116" s="53" t="str">
        <f>IFERROR(__xludf.DUMMYFUNCTION("""COMPUTED_VALUE"""),"")</f>
        <v/>
      </c>
      <c r="I116" s="53" t="str">
        <f>IFERROR(__xludf.DUMMYFUNCTION("""COMPUTED_VALUE"""),"")</f>
        <v/>
      </c>
      <c r="J116" s="53" t="str">
        <f>IFERROR(__xludf.DUMMYFUNCTION("""COMPUTED_VALUE"""),"")</f>
        <v/>
      </c>
      <c r="K116" s="54" t="str">
        <f>IFERROR(__xludf.DUMMYFUNCTION("""COMPUTED_VALUE"""),"")</f>
        <v/>
      </c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6"/>
      <c r="W116" s="56"/>
      <c r="X116" s="56"/>
      <c r="Y116" s="56"/>
      <c r="Z116" s="57"/>
      <c r="AA116" s="58"/>
      <c r="AB116" s="59"/>
    </row>
    <row r="117" ht="13.5" customHeight="1">
      <c r="A117" s="60" t="str">
        <f>IFERROR(__xludf.DUMMYFUNCTION("""COMPUTED_VALUE"""),"")</f>
        <v/>
      </c>
      <c r="B117" s="64" t="str">
        <f>IFERROR(__xludf.DUMMYFUNCTION("""COMPUTED_VALUE"""),"")</f>
        <v/>
      </c>
      <c r="C117" s="63" t="str">
        <f>IFERROR(__xludf.DUMMYFUNCTION("""COMPUTED_VALUE"""),"")</f>
        <v/>
      </c>
      <c r="D117" s="63" t="str">
        <f>IFERROR(__xludf.DUMMYFUNCTION("""COMPUTED_VALUE"""),"")</f>
        <v/>
      </c>
      <c r="E117" s="51" t="str">
        <f>IFERROR(__xludf.DUMMYFUNCTION("""COMPUTED_VALUE"""),"")</f>
        <v/>
      </c>
      <c r="F117" s="64" t="str">
        <f>IFERROR(__xludf.DUMMYFUNCTION("""COMPUTED_VALUE"""),"")</f>
        <v/>
      </c>
      <c r="G117" s="52" t="str">
        <f>IFERROR(__xludf.DUMMYFUNCTION("""COMPUTED_VALUE"""),"")</f>
        <v/>
      </c>
      <c r="H117" s="53" t="str">
        <f>IFERROR(__xludf.DUMMYFUNCTION("""COMPUTED_VALUE"""),"")</f>
        <v/>
      </c>
      <c r="I117" s="53" t="str">
        <f>IFERROR(__xludf.DUMMYFUNCTION("""COMPUTED_VALUE"""),"")</f>
        <v/>
      </c>
      <c r="J117" s="53" t="str">
        <f>IFERROR(__xludf.DUMMYFUNCTION("""COMPUTED_VALUE"""),"")</f>
        <v/>
      </c>
      <c r="K117" s="54" t="str">
        <f>IFERROR(__xludf.DUMMYFUNCTION("""COMPUTED_VALUE"""),"")</f>
        <v/>
      </c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6"/>
      <c r="W117" s="56"/>
      <c r="X117" s="56"/>
      <c r="Y117" s="56"/>
      <c r="Z117" s="57"/>
      <c r="AA117" s="58"/>
      <c r="AB117" s="59"/>
    </row>
    <row r="118" ht="13.5" customHeight="1">
      <c r="A118" s="60" t="str">
        <f>IFERROR(__xludf.DUMMYFUNCTION("""COMPUTED_VALUE"""),"")</f>
        <v/>
      </c>
      <c r="B118" s="64" t="str">
        <f>IFERROR(__xludf.DUMMYFUNCTION("""COMPUTED_VALUE"""),"")</f>
        <v/>
      </c>
      <c r="C118" s="63" t="str">
        <f>IFERROR(__xludf.DUMMYFUNCTION("""COMPUTED_VALUE"""),"")</f>
        <v/>
      </c>
      <c r="D118" s="63" t="str">
        <f>IFERROR(__xludf.DUMMYFUNCTION("""COMPUTED_VALUE"""),"")</f>
        <v/>
      </c>
      <c r="E118" s="51" t="str">
        <f>IFERROR(__xludf.DUMMYFUNCTION("""COMPUTED_VALUE"""),"")</f>
        <v/>
      </c>
      <c r="F118" s="64" t="str">
        <f>IFERROR(__xludf.DUMMYFUNCTION("""COMPUTED_VALUE"""),"")</f>
        <v/>
      </c>
      <c r="G118" s="52" t="str">
        <f>IFERROR(__xludf.DUMMYFUNCTION("""COMPUTED_VALUE"""),"")</f>
        <v/>
      </c>
      <c r="H118" s="53" t="str">
        <f>IFERROR(__xludf.DUMMYFUNCTION("""COMPUTED_VALUE"""),"")</f>
        <v/>
      </c>
      <c r="I118" s="53" t="str">
        <f>IFERROR(__xludf.DUMMYFUNCTION("""COMPUTED_VALUE"""),"")</f>
        <v/>
      </c>
      <c r="J118" s="53" t="str">
        <f>IFERROR(__xludf.DUMMYFUNCTION("""COMPUTED_VALUE"""),"")</f>
        <v/>
      </c>
      <c r="K118" s="54" t="str">
        <f>IFERROR(__xludf.DUMMYFUNCTION("""COMPUTED_VALUE"""),"")</f>
        <v/>
      </c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6"/>
      <c r="W118" s="56"/>
      <c r="X118" s="56"/>
      <c r="Y118" s="56"/>
      <c r="Z118" s="57"/>
      <c r="AA118" s="58"/>
      <c r="AB118" s="59"/>
    </row>
    <row r="119" ht="13.5" customHeight="1">
      <c r="A119" s="60" t="str">
        <f>IFERROR(__xludf.DUMMYFUNCTION("""COMPUTED_VALUE"""),"")</f>
        <v/>
      </c>
      <c r="B119" s="64" t="str">
        <f>IFERROR(__xludf.DUMMYFUNCTION("""COMPUTED_VALUE"""),"")</f>
        <v/>
      </c>
      <c r="C119" s="63" t="str">
        <f>IFERROR(__xludf.DUMMYFUNCTION("""COMPUTED_VALUE"""),"")</f>
        <v/>
      </c>
      <c r="D119" s="63" t="str">
        <f>IFERROR(__xludf.DUMMYFUNCTION("""COMPUTED_VALUE"""),"")</f>
        <v/>
      </c>
      <c r="E119" s="51" t="str">
        <f>IFERROR(__xludf.DUMMYFUNCTION("""COMPUTED_VALUE"""),"")</f>
        <v/>
      </c>
      <c r="F119" s="64" t="str">
        <f>IFERROR(__xludf.DUMMYFUNCTION("""COMPUTED_VALUE"""),"")</f>
        <v/>
      </c>
      <c r="G119" s="52" t="str">
        <f>IFERROR(__xludf.DUMMYFUNCTION("""COMPUTED_VALUE"""),"")</f>
        <v/>
      </c>
      <c r="H119" s="53" t="str">
        <f>IFERROR(__xludf.DUMMYFUNCTION("""COMPUTED_VALUE"""),"")</f>
        <v/>
      </c>
      <c r="I119" s="53" t="str">
        <f>IFERROR(__xludf.DUMMYFUNCTION("""COMPUTED_VALUE"""),"")</f>
        <v/>
      </c>
      <c r="J119" s="53" t="str">
        <f>IFERROR(__xludf.DUMMYFUNCTION("""COMPUTED_VALUE"""),"")</f>
        <v/>
      </c>
      <c r="K119" s="54" t="str">
        <f>IFERROR(__xludf.DUMMYFUNCTION("""COMPUTED_VALUE"""),"")</f>
        <v/>
      </c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6"/>
      <c r="W119" s="56"/>
      <c r="X119" s="56"/>
      <c r="Y119" s="56"/>
      <c r="Z119" s="57"/>
      <c r="AA119" s="58"/>
      <c r="AB119" s="59"/>
    </row>
    <row r="120" ht="13.5" customHeight="1">
      <c r="A120" s="60" t="str">
        <f>IFERROR(__xludf.DUMMYFUNCTION("""COMPUTED_VALUE"""),"")</f>
        <v/>
      </c>
      <c r="B120" s="64" t="str">
        <f>IFERROR(__xludf.DUMMYFUNCTION("""COMPUTED_VALUE"""),"")</f>
        <v/>
      </c>
      <c r="C120" s="63" t="str">
        <f>IFERROR(__xludf.DUMMYFUNCTION("""COMPUTED_VALUE"""),"")</f>
        <v/>
      </c>
      <c r="D120" s="63" t="str">
        <f>IFERROR(__xludf.DUMMYFUNCTION("""COMPUTED_VALUE"""),"")</f>
        <v/>
      </c>
      <c r="E120" s="51" t="str">
        <f>IFERROR(__xludf.DUMMYFUNCTION("""COMPUTED_VALUE"""),"")</f>
        <v/>
      </c>
      <c r="F120" s="64" t="str">
        <f>IFERROR(__xludf.DUMMYFUNCTION("""COMPUTED_VALUE"""),"")</f>
        <v/>
      </c>
      <c r="G120" s="52" t="str">
        <f>IFERROR(__xludf.DUMMYFUNCTION("""COMPUTED_VALUE"""),"")</f>
        <v/>
      </c>
      <c r="H120" s="53" t="str">
        <f>IFERROR(__xludf.DUMMYFUNCTION("""COMPUTED_VALUE"""),"")</f>
        <v/>
      </c>
      <c r="I120" s="53" t="str">
        <f>IFERROR(__xludf.DUMMYFUNCTION("""COMPUTED_VALUE"""),"")</f>
        <v/>
      </c>
      <c r="J120" s="53" t="str">
        <f>IFERROR(__xludf.DUMMYFUNCTION("""COMPUTED_VALUE"""),"")</f>
        <v/>
      </c>
      <c r="K120" s="54" t="str">
        <f>IFERROR(__xludf.DUMMYFUNCTION("""COMPUTED_VALUE"""),"")</f>
        <v/>
      </c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6"/>
      <c r="W120" s="56"/>
      <c r="X120" s="56"/>
      <c r="Y120" s="56"/>
      <c r="Z120" s="57"/>
      <c r="AA120" s="58"/>
      <c r="AB120" s="59"/>
    </row>
    <row r="121" ht="13.5" customHeight="1">
      <c r="A121" s="60" t="str">
        <f>IFERROR(__xludf.DUMMYFUNCTION("""COMPUTED_VALUE"""),"")</f>
        <v/>
      </c>
      <c r="B121" s="64" t="str">
        <f>IFERROR(__xludf.DUMMYFUNCTION("""COMPUTED_VALUE"""),"")</f>
        <v/>
      </c>
      <c r="C121" s="63" t="str">
        <f>IFERROR(__xludf.DUMMYFUNCTION("""COMPUTED_VALUE"""),"")</f>
        <v/>
      </c>
      <c r="D121" s="63" t="str">
        <f>IFERROR(__xludf.DUMMYFUNCTION("""COMPUTED_VALUE"""),"")</f>
        <v/>
      </c>
      <c r="E121" s="51" t="str">
        <f>IFERROR(__xludf.DUMMYFUNCTION("""COMPUTED_VALUE"""),"")</f>
        <v/>
      </c>
      <c r="F121" s="64" t="str">
        <f>IFERROR(__xludf.DUMMYFUNCTION("""COMPUTED_VALUE"""),"")</f>
        <v/>
      </c>
      <c r="G121" s="52" t="str">
        <f>IFERROR(__xludf.DUMMYFUNCTION("""COMPUTED_VALUE"""),"")</f>
        <v/>
      </c>
      <c r="H121" s="53" t="str">
        <f>IFERROR(__xludf.DUMMYFUNCTION("""COMPUTED_VALUE"""),"")</f>
        <v/>
      </c>
      <c r="I121" s="53" t="str">
        <f>IFERROR(__xludf.DUMMYFUNCTION("""COMPUTED_VALUE"""),"")</f>
        <v/>
      </c>
      <c r="J121" s="53" t="str">
        <f>IFERROR(__xludf.DUMMYFUNCTION("""COMPUTED_VALUE"""),"")</f>
        <v/>
      </c>
      <c r="K121" s="54" t="str">
        <f>IFERROR(__xludf.DUMMYFUNCTION("""COMPUTED_VALUE"""),"")</f>
        <v/>
      </c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6"/>
      <c r="W121" s="56"/>
      <c r="X121" s="56"/>
      <c r="Y121" s="56"/>
      <c r="Z121" s="57"/>
      <c r="AA121" s="58"/>
      <c r="AB121" s="59"/>
    </row>
    <row r="122" ht="13.5" customHeight="1">
      <c r="A122" s="60" t="str">
        <f>IFERROR(__xludf.DUMMYFUNCTION("""COMPUTED_VALUE"""),"")</f>
        <v/>
      </c>
      <c r="B122" s="64" t="str">
        <f>IFERROR(__xludf.DUMMYFUNCTION("""COMPUTED_VALUE"""),"")</f>
        <v/>
      </c>
      <c r="C122" s="63" t="str">
        <f>IFERROR(__xludf.DUMMYFUNCTION("""COMPUTED_VALUE"""),"")</f>
        <v/>
      </c>
      <c r="D122" s="63" t="str">
        <f>IFERROR(__xludf.DUMMYFUNCTION("""COMPUTED_VALUE"""),"")</f>
        <v/>
      </c>
      <c r="E122" s="51" t="str">
        <f>IFERROR(__xludf.DUMMYFUNCTION("""COMPUTED_VALUE"""),"")</f>
        <v/>
      </c>
      <c r="F122" s="64" t="str">
        <f>IFERROR(__xludf.DUMMYFUNCTION("""COMPUTED_VALUE"""),"")</f>
        <v/>
      </c>
      <c r="G122" s="52" t="str">
        <f>IFERROR(__xludf.DUMMYFUNCTION("""COMPUTED_VALUE"""),"")</f>
        <v/>
      </c>
      <c r="H122" s="53" t="str">
        <f>IFERROR(__xludf.DUMMYFUNCTION("""COMPUTED_VALUE"""),"")</f>
        <v/>
      </c>
      <c r="I122" s="53" t="str">
        <f>IFERROR(__xludf.DUMMYFUNCTION("""COMPUTED_VALUE"""),"")</f>
        <v/>
      </c>
      <c r="J122" s="53" t="str">
        <f>IFERROR(__xludf.DUMMYFUNCTION("""COMPUTED_VALUE"""),"")</f>
        <v/>
      </c>
      <c r="K122" s="54" t="str">
        <f>IFERROR(__xludf.DUMMYFUNCTION("""COMPUTED_VALUE"""),"")</f>
        <v/>
      </c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6"/>
      <c r="W122" s="56"/>
      <c r="X122" s="56"/>
      <c r="Y122" s="56"/>
      <c r="Z122" s="57"/>
      <c r="AA122" s="58"/>
      <c r="AB122" s="59"/>
    </row>
    <row r="123" ht="13.5" customHeight="1">
      <c r="A123" s="60" t="str">
        <f>IFERROR(__xludf.DUMMYFUNCTION("""COMPUTED_VALUE"""),"")</f>
        <v/>
      </c>
      <c r="B123" s="64" t="str">
        <f>IFERROR(__xludf.DUMMYFUNCTION("""COMPUTED_VALUE"""),"")</f>
        <v/>
      </c>
      <c r="C123" s="63" t="str">
        <f>IFERROR(__xludf.DUMMYFUNCTION("""COMPUTED_VALUE"""),"")</f>
        <v/>
      </c>
      <c r="D123" s="63" t="str">
        <f>IFERROR(__xludf.DUMMYFUNCTION("""COMPUTED_VALUE"""),"")</f>
        <v/>
      </c>
      <c r="E123" s="51" t="str">
        <f>IFERROR(__xludf.DUMMYFUNCTION("""COMPUTED_VALUE"""),"")</f>
        <v/>
      </c>
      <c r="F123" s="64" t="str">
        <f>IFERROR(__xludf.DUMMYFUNCTION("""COMPUTED_VALUE"""),"")</f>
        <v/>
      </c>
      <c r="G123" s="52" t="str">
        <f>IFERROR(__xludf.DUMMYFUNCTION("""COMPUTED_VALUE"""),"")</f>
        <v/>
      </c>
      <c r="H123" s="53" t="str">
        <f>IFERROR(__xludf.DUMMYFUNCTION("""COMPUTED_VALUE"""),"")</f>
        <v/>
      </c>
      <c r="I123" s="53" t="str">
        <f>IFERROR(__xludf.DUMMYFUNCTION("""COMPUTED_VALUE"""),"")</f>
        <v/>
      </c>
      <c r="J123" s="53" t="str">
        <f>IFERROR(__xludf.DUMMYFUNCTION("""COMPUTED_VALUE"""),"")</f>
        <v/>
      </c>
      <c r="K123" s="54" t="str">
        <f>IFERROR(__xludf.DUMMYFUNCTION("""COMPUTED_VALUE"""),"")</f>
        <v/>
      </c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6"/>
      <c r="W123" s="56"/>
      <c r="X123" s="56"/>
      <c r="Y123" s="56"/>
      <c r="Z123" s="57"/>
      <c r="AA123" s="58"/>
      <c r="AB123" s="59"/>
    </row>
    <row r="124" ht="13.5" customHeight="1">
      <c r="A124" s="60" t="str">
        <f>IFERROR(__xludf.DUMMYFUNCTION("""COMPUTED_VALUE"""),"")</f>
        <v/>
      </c>
      <c r="B124" s="64" t="str">
        <f>IFERROR(__xludf.DUMMYFUNCTION("""COMPUTED_VALUE"""),"")</f>
        <v/>
      </c>
      <c r="C124" s="63" t="str">
        <f>IFERROR(__xludf.DUMMYFUNCTION("""COMPUTED_VALUE"""),"")</f>
        <v/>
      </c>
      <c r="D124" s="63" t="str">
        <f>IFERROR(__xludf.DUMMYFUNCTION("""COMPUTED_VALUE"""),"")</f>
        <v/>
      </c>
      <c r="E124" s="51" t="str">
        <f>IFERROR(__xludf.DUMMYFUNCTION("""COMPUTED_VALUE"""),"")</f>
        <v/>
      </c>
      <c r="F124" s="64" t="str">
        <f>IFERROR(__xludf.DUMMYFUNCTION("""COMPUTED_VALUE"""),"")</f>
        <v/>
      </c>
      <c r="G124" s="52" t="str">
        <f>IFERROR(__xludf.DUMMYFUNCTION("""COMPUTED_VALUE"""),"")</f>
        <v/>
      </c>
      <c r="H124" s="53" t="str">
        <f>IFERROR(__xludf.DUMMYFUNCTION("""COMPUTED_VALUE"""),"")</f>
        <v/>
      </c>
      <c r="I124" s="53" t="str">
        <f>IFERROR(__xludf.DUMMYFUNCTION("""COMPUTED_VALUE"""),"")</f>
        <v/>
      </c>
      <c r="J124" s="53" t="str">
        <f>IFERROR(__xludf.DUMMYFUNCTION("""COMPUTED_VALUE"""),"")</f>
        <v/>
      </c>
      <c r="K124" s="54" t="str">
        <f>IFERROR(__xludf.DUMMYFUNCTION("""COMPUTED_VALUE"""),"")</f>
        <v/>
      </c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6"/>
      <c r="W124" s="56"/>
      <c r="X124" s="56"/>
      <c r="Y124" s="56"/>
      <c r="Z124" s="57"/>
      <c r="AA124" s="58"/>
      <c r="AB124" s="59"/>
    </row>
    <row r="125" ht="13.5" customHeight="1">
      <c r="A125" s="60" t="str">
        <f>IFERROR(__xludf.DUMMYFUNCTION("""COMPUTED_VALUE"""),"")</f>
        <v/>
      </c>
      <c r="B125" s="64" t="str">
        <f>IFERROR(__xludf.DUMMYFUNCTION("""COMPUTED_VALUE"""),"")</f>
        <v/>
      </c>
      <c r="C125" s="63" t="str">
        <f>IFERROR(__xludf.DUMMYFUNCTION("""COMPUTED_VALUE"""),"")</f>
        <v/>
      </c>
      <c r="D125" s="63" t="str">
        <f>IFERROR(__xludf.DUMMYFUNCTION("""COMPUTED_VALUE"""),"")</f>
        <v/>
      </c>
      <c r="E125" s="51" t="str">
        <f>IFERROR(__xludf.DUMMYFUNCTION("""COMPUTED_VALUE"""),"")</f>
        <v/>
      </c>
      <c r="F125" s="64" t="str">
        <f>IFERROR(__xludf.DUMMYFUNCTION("""COMPUTED_VALUE"""),"")</f>
        <v/>
      </c>
      <c r="G125" s="52" t="str">
        <f>IFERROR(__xludf.DUMMYFUNCTION("""COMPUTED_VALUE"""),"")</f>
        <v/>
      </c>
      <c r="H125" s="53" t="str">
        <f>IFERROR(__xludf.DUMMYFUNCTION("""COMPUTED_VALUE"""),"")</f>
        <v/>
      </c>
      <c r="I125" s="53" t="str">
        <f>IFERROR(__xludf.DUMMYFUNCTION("""COMPUTED_VALUE"""),"")</f>
        <v/>
      </c>
      <c r="J125" s="53" t="str">
        <f>IFERROR(__xludf.DUMMYFUNCTION("""COMPUTED_VALUE"""),"")</f>
        <v/>
      </c>
      <c r="K125" s="54" t="str">
        <f>IFERROR(__xludf.DUMMYFUNCTION("""COMPUTED_VALUE"""),"")</f>
        <v/>
      </c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6"/>
      <c r="W125" s="56"/>
      <c r="X125" s="56"/>
      <c r="Y125" s="56"/>
      <c r="Z125" s="57"/>
      <c r="AA125" s="58"/>
      <c r="AB125" s="59"/>
    </row>
    <row r="126" ht="13.5" customHeight="1">
      <c r="A126" s="60" t="str">
        <f>IFERROR(__xludf.DUMMYFUNCTION("""COMPUTED_VALUE"""),"")</f>
        <v/>
      </c>
      <c r="B126" s="64" t="str">
        <f>IFERROR(__xludf.DUMMYFUNCTION("""COMPUTED_VALUE"""),"")</f>
        <v/>
      </c>
      <c r="C126" s="63" t="str">
        <f>IFERROR(__xludf.DUMMYFUNCTION("""COMPUTED_VALUE"""),"")</f>
        <v/>
      </c>
      <c r="D126" s="63" t="str">
        <f>IFERROR(__xludf.DUMMYFUNCTION("""COMPUTED_VALUE"""),"")</f>
        <v/>
      </c>
      <c r="E126" s="51" t="str">
        <f>IFERROR(__xludf.DUMMYFUNCTION("""COMPUTED_VALUE"""),"")</f>
        <v/>
      </c>
      <c r="F126" s="64" t="str">
        <f>IFERROR(__xludf.DUMMYFUNCTION("""COMPUTED_VALUE"""),"")</f>
        <v/>
      </c>
      <c r="G126" s="52" t="str">
        <f>IFERROR(__xludf.DUMMYFUNCTION("""COMPUTED_VALUE"""),"")</f>
        <v/>
      </c>
      <c r="H126" s="53" t="str">
        <f>IFERROR(__xludf.DUMMYFUNCTION("""COMPUTED_VALUE"""),"")</f>
        <v/>
      </c>
      <c r="I126" s="53" t="str">
        <f>IFERROR(__xludf.DUMMYFUNCTION("""COMPUTED_VALUE"""),"")</f>
        <v/>
      </c>
      <c r="J126" s="53" t="str">
        <f>IFERROR(__xludf.DUMMYFUNCTION("""COMPUTED_VALUE"""),"")</f>
        <v/>
      </c>
      <c r="K126" s="54" t="str">
        <f>IFERROR(__xludf.DUMMYFUNCTION("""COMPUTED_VALUE"""),"")</f>
        <v/>
      </c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6"/>
      <c r="W126" s="56"/>
      <c r="X126" s="56"/>
      <c r="Y126" s="56"/>
      <c r="Z126" s="57"/>
      <c r="AA126" s="58"/>
      <c r="AB126" s="59"/>
    </row>
    <row r="127" ht="13.5" customHeight="1">
      <c r="A127" s="60" t="str">
        <f>IFERROR(__xludf.DUMMYFUNCTION("""COMPUTED_VALUE"""),"")</f>
        <v/>
      </c>
      <c r="B127" s="64" t="str">
        <f>IFERROR(__xludf.DUMMYFUNCTION("""COMPUTED_VALUE"""),"")</f>
        <v/>
      </c>
      <c r="C127" s="63" t="str">
        <f>IFERROR(__xludf.DUMMYFUNCTION("""COMPUTED_VALUE"""),"")</f>
        <v/>
      </c>
      <c r="D127" s="63" t="str">
        <f>IFERROR(__xludf.DUMMYFUNCTION("""COMPUTED_VALUE"""),"")</f>
        <v/>
      </c>
      <c r="E127" s="51" t="str">
        <f>IFERROR(__xludf.DUMMYFUNCTION("""COMPUTED_VALUE"""),"")</f>
        <v/>
      </c>
      <c r="F127" s="64" t="str">
        <f>IFERROR(__xludf.DUMMYFUNCTION("""COMPUTED_VALUE"""),"")</f>
        <v/>
      </c>
      <c r="G127" s="52" t="str">
        <f>IFERROR(__xludf.DUMMYFUNCTION("""COMPUTED_VALUE"""),"")</f>
        <v/>
      </c>
      <c r="H127" s="53" t="str">
        <f>IFERROR(__xludf.DUMMYFUNCTION("""COMPUTED_VALUE"""),"")</f>
        <v/>
      </c>
      <c r="I127" s="53" t="str">
        <f>IFERROR(__xludf.DUMMYFUNCTION("""COMPUTED_VALUE"""),"")</f>
        <v/>
      </c>
      <c r="J127" s="53" t="str">
        <f>IFERROR(__xludf.DUMMYFUNCTION("""COMPUTED_VALUE"""),"")</f>
        <v/>
      </c>
      <c r="K127" s="54" t="str">
        <f>IFERROR(__xludf.DUMMYFUNCTION("""COMPUTED_VALUE"""),"")</f>
        <v/>
      </c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6"/>
      <c r="W127" s="56"/>
      <c r="X127" s="56"/>
      <c r="Y127" s="56"/>
      <c r="Z127" s="57"/>
      <c r="AA127" s="58"/>
      <c r="AB127" s="59"/>
    </row>
    <row r="128" ht="13.5" customHeight="1">
      <c r="A128" s="60" t="str">
        <f>IFERROR(__xludf.DUMMYFUNCTION("""COMPUTED_VALUE"""),"")</f>
        <v/>
      </c>
      <c r="B128" s="64" t="str">
        <f>IFERROR(__xludf.DUMMYFUNCTION("""COMPUTED_VALUE"""),"")</f>
        <v/>
      </c>
      <c r="C128" s="63" t="str">
        <f>IFERROR(__xludf.DUMMYFUNCTION("""COMPUTED_VALUE"""),"")</f>
        <v/>
      </c>
      <c r="D128" s="63" t="str">
        <f>IFERROR(__xludf.DUMMYFUNCTION("""COMPUTED_VALUE"""),"")</f>
        <v/>
      </c>
      <c r="E128" s="51" t="str">
        <f>IFERROR(__xludf.DUMMYFUNCTION("""COMPUTED_VALUE"""),"")</f>
        <v/>
      </c>
      <c r="F128" s="64" t="str">
        <f>IFERROR(__xludf.DUMMYFUNCTION("""COMPUTED_VALUE"""),"")</f>
        <v/>
      </c>
      <c r="G128" s="52" t="str">
        <f>IFERROR(__xludf.DUMMYFUNCTION("""COMPUTED_VALUE"""),"")</f>
        <v/>
      </c>
      <c r="H128" s="53" t="str">
        <f>IFERROR(__xludf.DUMMYFUNCTION("""COMPUTED_VALUE"""),"")</f>
        <v/>
      </c>
      <c r="I128" s="53" t="str">
        <f>IFERROR(__xludf.DUMMYFUNCTION("""COMPUTED_VALUE"""),"")</f>
        <v/>
      </c>
      <c r="J128" s="53" t="str">
        <f>IFERROR(__xludf.DUMMYFUNCTION("""COMPUTED_VALUE"""),"")</f>
        <v/>
      </c>
      <c r="K128" s="54" t="str">
        <f>IFERROR(__xludf.DUMMYFUNCTION("""COMPUTED_VALUE"""),"")</f>
        <v/>
      </c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6"/>
      <c r="W128" s="56"/>
      <c r="X128" s="56"/>
      <c r="Y128" s="56"/>
      <c r="Z128" s="57"/>
      <c r="AA128" s="58"/>
      <c r="AB128" s="59"/>
    </row>
    <row r="129" ht="13.5" customHeight="1">
      <c r="A129" s="60" t="str">
        <f>IFERROR(__xludf.DUMMYFUNCTION("""COMPUTED_VALUE"""),"")</f>
        <v/>
      </c>
      <c r="B129" s="64" t="str">
        <f>IFERROR(__xludf.DUMMYFUNCTION("""COMPUTED_VALUE"""),"")</f>
        <v/>
      </c>
      <c r="C129" s="63" t="str">
        <f>IFERROR(__xludf.DUMMYFUNCTION("""COMPUTED_VALUE"""),"")</f>
        <v/>
      </c>
      <c r="D129" s="63" t="str">
        <f>IFERROR(__xludf.DUMMYFUNCTION("""COMPUTED_VALUE"""),"")</f>
        <v/>
      </c>
      <c r="E129" s="51" t="str">
        <f>IFERROR(__xludf.DUMMYFUNCTION("""COMPUTED_VALUE"""),"")</f>
        <v/>
      </c>
      <c r="F129" s="64" t="str">
        <f>IFERROR(__xludf.DUMMYFUNCTION("""COMPUTED_VALUE"""),"")</f>
        <v/>
      </c>
      <c r="G129" s="52" t="str">
        <f>IFERROR(__xludf.DUMMYFUNCTION("""COMPUTED_VALUE"""),"")</f>
        <v/>
      </c>
      <c r="H129" s="53" t="str">
        <f>IFERROR(__xludf.DUMMYFUNCTION("""COMPUTED_VALUE"""),"")</f>
        <v/>
      </c>
      <c r="I129" s="53" t="str">
        <f>IFERROR(__xludf.DUMMYFUNCTION("""COMPUTED_VALUE"""),"")</f>
        <v/>
      </c>
      <c r="J129" s="53" t="str">
        <f>IFERROR(__xludf.DUMMYFUNCTION("""COMPUTED_VALUE"""),"")</f>
        <v/>
      </c>
      <c r="K129" s="54" t="str">
        <f>IFERROR(__xludf.DUMMYFUNCTION("""COMPUTED_VALUE"""),"")</f>
        <v/>
      </c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6"/>
      <c r="W129" s="56"/>
      <c r="X129" s="56"/>
      <c r="Y129" s="56"/>
      <c r="Z129" s="57"/>
      <c r="AA129" s="58"/>
      <c r="AB129" s="59"/>
    </row>
    <row r="130" ht="13.5" customHeight="1">
      <c r="A130" s="60" t="str">
        <f>IFERROR(__xludf.DUMMYFUNCTION("""COMPUTED_VALUE"""),"")</f>
        <v/>
      </c>
      <c r="B130" s="64" t="str">
        <f>IFERROR(__xludf.DUMMYFUNCTION("""COMPUTED_VALUE"""),"")</f>
        <v/>
      </c>
      <c r="C130" s="63" t="str">
        <f>IFERROR(__xludf.DUMMYFUNCTION("""COMPUTED_VALUE"""),"")</f>
        <v/>
      </c>
      <c r="D130" s="63" t="str">
        <f>IFERROR(__xludf.DUMMYFUNCTION("""COMPUTED_VALUE"""),"")</f>
        <v/>
      </c>
      <c r="E130" s="51" t="str">
        <f>IFERROR(__xludf.DUMMYFUNCTION("""COMPUTED_VALUE"""),"")</f>
        <v/>
      </c>
      <c r="F130" s="64" t="str">
        <f>IFERROR(__xludf.DUMMYFUNCTION("""COMPUTED_VALUE"""),"")</f>
        <v/>
      </c>
      <c r="G130" s="52" t="str">
        <f>IFERROR(__xludf.DUMMYFUNCTION("""COMPUTED_VALUE"""),"")</f>
        <v/>
      </c>
      <c r="H130" s="53" t="str">
        <f>IFERROR(__xludf.DUMMYFUNCTION("""COMPUTED_VALUE"""),"")</f>
        <v/>
      </c>
      <c r="I130" s="53" t="str">
        <f>IFERROR(__xludf.DUMMYFUNCTION("""COMPUTED_VALUE"""),"")</f>
        <v/>
      </c>
      <c r="J130" s="53" t="str">
        <f>IFERROR(__xludf.DUMMYFUNCTION("""COMPUTED_VALUE"""),"")</f>
        <v/>
      </c>
      <c r="K130" s="54" t="str">
        <f>IFERROR(__xludf.DUMMYFUNCTION("""COMPUTED_VALUE"""),"")</f>
        <v/>
      </c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6"/>
      <c r="W130" s="56"/>
      <c r="X130" s="56"/>
      <c r="Y130" s="56"/>
      <c r="Z130" s="57"/>
      <c r="AA130" s="58"/>
      <c r="AB130" s="59"/>
    </row>
    <row r="131" ht="13.5" customHeight="1">
      <c r="A131" s="60" t="str">
        <f>IFERROR(__xludf.DUMMYFUNCTION("""COMPUTED_VALUE"""),"")</f>
        <v/>
      </c>
      <c r="B131" s="64" t="str">
        <f>IFERROR(__xludf.DUMMYFUNCTION("""COMPUTED_VALUE"""),"")</f>
        <v/>
      </c>
      <c r="C131" s="63" t="str">
        <f>IFERROR(__xludf.DUMMYFUNCTION("""COMPUTED_VALUE"""),"")</f>
        <v/>
      </c>
      <c r="D131" s="63" t="str">
        <f>IFERROR(__xludf.DUMMYFUNCTION("""COMPUTED_VALUE"""),"")</f>
        <v/>
      </c>
      <c r="E131" s="51" t="str">
        <f>IFERROR(__xludf.DUMMYFUNCTION("""COMPUTED_VALUE"""),"")</f>
        <v/>
      </c>
      <c r="F131" s="64" t="str">
        <f>IFERROR(__xludf.DUMMYFUNCTION("""COMPUTED_VALUE"""),"")</f>
        <v/>
      </c>
      <c r="G131" s="52" t="str">
        <f>IFERROR(__xludf.DUMMYFUNCTION("""COMPUTED_VALUE"""),"")</f>
        <v/>
      </c>
      <c r="H131" s="53" t="str">
        <f>IFERROR(__xludf.DUMMYFUNCTION("""COMPUTED_VALUE"""),"")</f>
        <v/>
      </c>
      <c r="I131" s="53" t="str">
        <f>IFERROR(__xludf.DUMMYFUNCTION("""COMPUTED_VALUE"""),"")</f>
        <v/>
      </c>
      <c r="J131" s="53" t="str">
        <f>IFERROR(__xludf.DUMMYFUNCTION("""COMPUTED_VALUE"""),"")</f>
        <v/>
      </c>
      <c r="K131" s="54" t="str">
        <f>IFERROR(__xludf.DUMMYFUNCTION("""COMPUTED_VALUE"""),"")</f>
        <v/>
      </c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6"/>
      <c r="W131" s="56"/>
      <c r="X131" s="56"/>
      <c r="Y131" s="56"/>
      <c r="Z131" s="57"/>
      <c r="AA131" s="58"/>
      <c r="AB131" s="59"/>
    </row>
    <row r="132" ht="13.5" customHeight="1">
      <c r="A132" s="60" t="str">
        <f>IFERROR(__xludf.DUMMYFUNCTION("""COMPUTED_VALUE"""),"")</f>
        <v/>
      </c>
      <c r="B132" s="64" t="str">
        <f>IFERROR(__xludf.DUMMYFUNCTION("""COMPUTED_VALUE"""),"")</f>
        <v/>
      </c>
      <c r="C132" s="63" t="str">
        <f>IFERROR(__xludf.DUMMYFUNCTION("""COMPUTED_VALUE"""),"")</f>
        <v/>
      </c>
      <c r="D132" s="63" t="str">
        <f>IFERROR(__xludf.DUMMYFUNCTION("""COMPUTED_VALUE"""),"")</f>
        <v/>
      </c>
      <c r="E132" s="51" t="str">
        <f>IFERROR(__xludf.DUMMYFUNCTION("""COMPUTED_VALUE"""),"")</f>
        <v/>
      </c>
      <c r="F132" s="64" t="str">
        <f>IFERROR(__xludf.DUMMYFUNCTION("""COMPUTED_VALUE"""),"")</f>
        <v/>
      </c>
      <c r="G132" s="52" t="str">
        <f>IFERROR(__xludf.DUMMYFUNCTION("""COMPUTED_VALUE"""),"")</f>
        <v/>
      </c>
      <c r="H132" s="53" t="str">
        <f>IFERROR(__xludf.DUMMYFUNCTION("""COMPUTED_VALUE"""),"")</f>
        <v/>
      </c>
      <c r="I132" s="53" t="str">
        <f>IFERROR(__xludf.DUMMYFUNCTION("""COMPUTED_VALUE"""),"")</f>
        <v/>
      </c>
      <c r="J132" s="53" t="str">
        <f>IFERROR(__xludf.DUMMYFUNCTION("""COMPUTED_VALUE"""),"")</f>
        <v/>
      </c>
      <c r="K132" s="54" t="str">
        <f>IFERROR(__xludf.DUMMYFUNCTION("""COMPUTED_VALUE"""),"")</f>
        <v/>
      </c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6"/>
      <c r="W132" s="56"/>
      <c r="X132" s="56"/>
      <c r="Y132" s="56"/>
      <c r="Z132" s="57"/>
      <c r="AA132" s="58"/>
      <c r="AB132" s="59"/>
    </row>
    <row r="133" ht="13.5" customHeight="1">
      <c r="A133" s="60" t="str">
        <f>IFERROR(__xludf.DUMMYFUNCTION("""COMPUTED_VALUE"""),"")</f>
        <v/>
      </c>
      <c r="B133" s="64" t="str">
        <f>IFERROR(__xludf.DUMMYFUNCTION("""COMPUTED_VALUE"""),"")</f>
        <v/>
      </c>
      <c r="C133" s="63" t="str">
        <f>IFERROR(__xludf.DUMMYFUNCTION("""COMPUTED_VALUE"""),"")</f>
        <v/>
      </c>
      <c r="D133" s="63" t="str">
        <f>IFERROR(__xludf.DUMMYFUNCTION("""COMPUTED_VALUE"""),"")</f>
        <v/>
      </c>
      <c r="E133" s="51" t="str">
        <f>IFERROR(__xludf.DUMMYFUNCTION("""COMPUTED_VALUE"""),"")</f>
        <v/>
      </c>
      <c r="F133" s="64" t="str">
        <f>IFERROR(__xludf.DUMMYFUNCTION("""COMPUTED_VALUE"""),"")</f>
        <v/>
      </c>
      <c r="G133" s="52" t="str">
        <f>IFERROR(__xludf.DUMMYFUNCTION("""COMPUTED_VALUE"""),"")</f>
        <v/>
      </c>
      <c r="H133" s="53" t="str">
        <f>IFERROR(__xludf.DUMMYFUNCTION("""COMPUTED_VALUE"""),"")</f>
        <v/>
      </c>
      <c r="I133" s="53" t="str">
        <f>IFERROR(__xludf.DUMMYFUNCTION("""COMPUTED_VALUE"""),"")</f>
        <v/>
      </c>
      <c r="J133" s="53" t="str">
        <f>IFERROR(__xludf.DUMMYFUNCTION("""COMPUTED_VALUE"""),"")</f>
        <v/>
      </c>
      <c r="K133" s="54" t="str">
        <f>IFERROR(__xludf.DUMMYFUNCTION("""COMPUTED_VALUE"""),"")</f>
        <v/>
      </c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6"/>
      <c r="W133" s="56"/>
      <c r="X133" s="56"/>
      <c r="Y133" s="56"/>
      <c r="Z133" s="57"/>
      <c r="AA133" s="58"/>
      <c r="AB133" s="59"/>
    </row>
    <row r="134" ht="13.5" customHeight="1">
      <c r="A134" s="60" t="str">
        <f>IFERROR(__xludf.DUMMYFUNCTION("""COMPUTED_VALUE"""),"")</f>
        <v/>
      </c>
      <c r="B134" s="64" t="str">
        <f>IFERROR(__xludf.DUMMYFUNCTION("""COMPUTED_VALUE"""),"")</f>
        <v/>
      </c>
      <c r="C134" s="63" t="str">
        <f>IFERROR(__xludf.DUMMYFUNCTION("""COMPUTED_VALUE"""),"")</f>
        <v/>
      </c>
      <c r="D134" s="63" t="str">
        <f>IFERROR(__xludf.DUMMYFUNCTION("""COMPUTED_VALUE"""),"")</f>
        <v/>
      </c>
      <c r="E134" s="51" t="str">
        <f>IFERROR(__xludf.DUMMYFUNCTION("""COMPUTED_VALUE"""),"")</f>
        <v/>
      </c>
      <c r="F134" s="64" t="str">
        <f>IFERROR(__xludf.DUMMYFUNCTION("""COMPUTED_VALUE"""),"")</f>
        <v/>
      </c>
      <c r="G134" s="52" t="str">
        <f>IFERROR(__xludf.DUMMYFUNCTION("""COMPUTED_VALUE"""),"")</f>
        <v/>
      </c>
      <c r="H134" s="53" t="str">
        <f>IFERROR(__xludf.DUMMYFUNCTION("""COMPUTED_VALUE"""),"")</f>
        <v/>
      </c>
      <c r="I134" s="53" t="str">
        <f>IFERROR(__xludf.DUMMYFUNCTION("""COMPUTED_VALUE"""),"")</f>
        <v/>
      </c>
      <c r="J134" s="53" t="str">
        <f>IFERROR(__xludf.DUMMYFUNCTION("""COMPUTED_VALUE"""),"")</f>
        <v/>
      </c>
      <c r="K134" s="54" t="str">
        <f>IFERROR(__xludf.DUMMYFUNCTION("""COMPUTED_VALUE"""),"")</f>
        <v/>
      </c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6"/>
      <c r="W134" s="56"/>
      <c r="X134" s="56"/>
      <c r="Y134" s="56"/>
      <c r="Z134" s="57"/>
      <c r="AA134" s="58"/>
      <c r="AB134" s="59"/>
    </row>
    <row r="135" ht="13.5" customHeight="1">
      <c r="A135" s="60" t="str">
        <f>IFERROR(__xludf.DUMMYFUNCTION("""COMPUTED_VALUE"""),"")</f>
        <v/>
      </c>
      <c r="B135" s="64" t="str">
        <f>IFERROR(__xludf.DUMMYFUNCTION("""COMPUTED_VALUE"""),"")</f>
        <v/>
      </c>
      <c r="C135" s="63" t="str">
        <f>IFERROR(__xludf.DUMMYFUNCTION("""COMPUTED_VALUE"""),"")</f>
        <v/>
      </c>
      <c r="D135" s="63" t="str">
        <f>IFERROR(__xludf.DUMMYFUNCTION("""COMPUTED_VALUE"""),"")</f>
        <v/>
      </c>
      <c r="E135" s="51" t="str">
        <f>IFERROR(__xludf.DUMMYFUNCTION("""COMPUTED_VALUE"""),"")</f>
        <v/>
      </c>
      <c r="F135" s="64" t="str">
        <f>IFERROR(__xludf.DUMMYFUNCTION("""COMPUTED_VALUE"""),"")</f>
        <v/>
      </c>
      <c r="G135" s="52" t="str">
        <f>IFERROR(__xludf.DUMMYFUNCTION("""COMPUTED_VALUE"""),"")</f>
        <v/>
      </c>
      <c r="H135" s="53" t="str">
        <f>IFERROR(__xludf.DUMMYFUNCTION("""COMPUTED_VALUE"""),"")</f>
        <v/>
      </c>
      <c r="I135" s="53" t="str">
        <f>IFERROR(__xludf.DUMMYFUNCTION("""COMPUTED_VALUE"""),"")</f>
        <v/>
      </c>
      <c r="J135" s="53" t="str">
        <f>IFERROR(__xludf.DUMMYFUNCTION("""COMPUTED_VALUE"""),"")</f>
        <v/>
      </c>
      <c r="K135" s="54" t="str">
        <f>IFERROR(__xludf.DUMMYFUNCTION("""COMPUTED_VALUE"""),"")</f>
        <v/>
      </c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6"/>
      <c r="W135" s="56"/>
      <c r="X135" s="56"/>
      <c r="Y135" s="56"/>
      <c r="Z135" s="57"/>
      <c r="AA135" s="58"/>
      <c r="AB135" s="59"/>
    </row>
    <row r="136" ht="13.5" customHeight="1">
      <c r="A136" s="60" t="str">
        <f>IFERROR(__xludf.DUMMYFUNCTION("""COMPUTED_VALUE"""),"")</f>
        <v/>
      </c>
      <c r="B136" s="64" t="str">
        <f>IFERROR(__xludf.DUMMYFUNCTION("""COMPUTED_VALUE"""),"")</f>
        <v/>
      </c>
      <c r="C136" s="63" t="str">
        <f>IFERROR(__xludf.DUMMYFUNCTION("""COMPUTED_VALUE"""),"")</f>
        <v/>
      </c>
      <c r="D136" s="63" t="str">
        <f>IFERROR(__xludf.DUMMYFUNCTION("""COMPUTED_VALUE"""),"")</f>
        <v/>
      </c>
      <c r="E136" s="51" t="str">
        <f>IFERROR(__xludf.DUMMYFUNCTION("""COMPUTED_VALUE"""),"")</f>
        <v/>
      </c>
      <c r="F136" s="64" t="str">
        <f>IFERROR(__xludf.DUMMYFUNCTION("""COMPUTED_VALUE"""),"")</f>
        <v/>
      </c>
      <c r="G136" s="52" t="str">
        <f>IFERROR(__xludf.DUMMYFUNCTION("""COMPUTED_VALUE"""),"")</f>
        <v/>
      </c>
      <c r="H136" s="53" t="str">
        <f>IFERROR(__xludf.DUMMYFUNCTION("""COMPUTED_VALUE"""),"")</f>
        <v/>
      </c>
      <c r="I136" s="53" t="str">
        <f>IFERROR(__xludf.DUMMYFUNCTION("""COMPUTED_VALUE"""),"")</f>
        <v/>
      </c>
      <c r="J136" s="53" t="str">
        <f>IFERROR(__xludf.DUMMYFUNCTION("""COMPUTED_VALUE"""),"")</f>
        <v/>
      </c>
      <c r="K136" s="54" t="str">
        <f>IFERROR(__xludf.DUMMYFUNCTION("""COMPUTED_VALUE"""),"")</f>
        <v/>
      </c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6"/>
      <c r="W136" s="56"/>
      <c r="X136" s="56"/>
      <c r="Y136" s="56"/>
      <c r="Z136" s="57"/>
      <c r="AA136" s="58"/>
      <c r="AB136" s="59"/>
    </row>
    <row r="137" ht="13.5" customHeight="1">
      <c r="A137" s="60" t="str">
        <f>IFERROR(__xludf.DUMMYFUNCTION("""COMPUTED_VALUE"""),"")</f>
        <v/>
      </c>
      <c r="B137" s="64" t="str">
        <f>IFERROR(__xludf.DUMMYFUNCTION("""COMPUTED_VALUE"""),"")</f>
        <v/>
      </c>
      <c r="C137" s="63" t="str">
        <f>IFERROR(__xludf.DUMMYFUNCTION("""COMPUTED_VALUE"""),"")</f>
        <v/>
      </c>
      <c r="D137" s="63" t="str">
        <f>IFERROR(__xludf.DUMMYFUNCTION("""COMPUTED_VALUE"""),"")</f>
        <v/>
      </c>
      <c r="E137" s="51" t="str">
        <f>IFERROR(__xludf.DUMMYFUNCTION("""COMPUTED_VALUE"""),"")</f>
        <v/>
      </c>
      <c r="F137" s="64" t="str">
        <f>IFERROR(__xludf.DUMMYFUNCTION("""COMPUTED_VALUE"""),"")</f>
        <v/>
      </c>
      <c r="G137" s="52" t="str">
        <f>IFERROR(__xludf.DUMMYFUNCTION("""COMPUTED_VALUE"""),"")</f>
        <v/>
      </c>
      <c r="H137" s="53" t="str">
        <f>IFERROR(__xludf.DUMMYFUNCTION("""COMPUTED_VALUE"""),"")</f>
        <v/>
      </c>
      <c r="I137" s="53" t="str">
        <f>IFERROR(__xludf.DUMMYFUNCTION("""COMPUTED_VALUE"""),"")</f>
        <v/>
      </c>
      <c r="J137" s="53" t="str">
        <f>IFERROR(__xludf.DUMMYFUNCTION("""COMPUTED_VALUE"""),"")</f>
        <v/>
      </c>
      <c r="K137" s="54" t="str">
        <f>IFERROR(__xludf.DUMMYFUNCTION("""COMPUTED_VALUE"""),"")</f>
        <v/>
      </c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6"/>
      <c r="W137" s="56"/>
      <c r="X137" s="56"/>
      <c r="Y137" s="56"/>
      <c r="Z137" s="57"/>
      <c r="AA137" s="58"/>
      <c r="AB137" s="59"/>
    </row>
    <row r="138" ht="13.5" customHeight="1">
      <c r="A138" s="60" t="str">
        <f>IFERROR(__xludf.DUMMYFUNCTION("""COMPUTED_VALUE"""),"")</f>
        <v/>
      </c>
      <c r="B138" s="64" t="str">
        <f>IFERROR(__xludf.DUMMYFUNCTION("""COMPUTED_VALUE"""),"")</f>
        <v/>
      </c>
      <c r="C138" s="63" t="str">
        <f>IFERROR(__xludf.DUMMYFUNCTION("""COMPUTED_VALUE"""),"")</f>
        <v/>
      </c>
      <c r="D138" s="63" t="str">
        <f>IFERROR(__xludf.DUMMYFUNCTION("""COMPUTED_VALUE"""),"")</f>
        <v/>
      </c>
      <c r="E138" s="51" t="str">
        <f>IFERROR(__xludf.DUMMYFUNCTION("""COMPUTED_VALUE"""),"")</f>
        <v/>
      </c>
      <c r="F138" s="64" t="str">
        <f>IFERROR(__xludf.DUMMYFUNCTION("""COMPUTED_VALUE"""),"")</f>
        <v/>
      </c>
      <c r="G138" s="52" t="str">
        <f>IFERROR(__xludf.DUMMYFUNCTION("""COMPUTED_VALUE"""),"")</f>
        <v/>
      </c>
      <c r="H138" s="53" t="str">
        <f>IFERROR(__xludf.DUMMYFUNCTION("""COMPUTED_VALUE"""),"")</f>
        <v/>
      </c>
      <c r="I138" s="53" t="str">
        <f>IFERROR(__xludf.DUMMYFUNCTION("""COMPUTED_VALUE"""),"")</f>
        <v/>
      </c>
      <c r="J138" s="53" t="str">
        <f>IFERROR(__xludf.DUMMYFUNCTION("""COMPUTED_VALUE"""),"")</f>
        <v/>
      </c>
      <c r="K138" s="54" t="str">
        <f>IFERROR(__xludf.DUMMYFUNCTION("""COMPUTED_VALUE"""),"")</f>
        <v/>
      </c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6"/>
      <c r="W138" s="56"/>
      <c r="X138" s="56"/>
      <c r="Y138" s="56"/>
      <c r="Z138" s="57"/>
      <c r="AA138" s="58"/>
      <c r="AB138" s="59"/>
    </row>
    <row r="139" ht="13.5" customHeight="1">
      <c r="A139" s="60" t="str">
        <f>IFERROR(__xludf.DUMMYFUNCTION("""COMPUTED_VALUE"""),"")</f>
        <v/>
      </c>
      <c r="B139" s="64" t="str">
        <f>IFERROR(__xludf.DUMMYFUNCTION("""COMPUTED_VALUE"""),"")</f>
        <v/>
      </c>
      <c r="C139" s="63" t="str">
        <f>IFERROR(__xludf.DUMMYFUNCTION("""COMPUTED_VALUE"""),"")</f>
        <v/>
      </c>
      <c r="D139" s="63" t="str">
        <f>IFERROR(__xludf.DUMMYFUNCTION("""COMPUTED_VALUE"""),"")</f>
        <v/>
      </c>
      <c r="E139" s="51" t="str">
        <f>IFERROR(__xludf.DUMMYFUNCTION("""COMPUTED_VALUE"""),"")</f>
        <v/>
      </c>
      <c r="F139" s="64" t="str">
        <f>IFERROR(__xludf.DUMMYFUNCTION("""COMPUTED_VALUE"""),"")</f>
        <v/>
      </c>
      <c r="G139" s="52" t="str">
        <f>IFERROR(__xludf.DUMMYFUNCTION("""COMPUTED_VALUE"""),"")</f>
        <v/>
      </c>
      <c r="H139" s="53" t="str">
        <f>IFERROR(__xludf.DUMMYFUNCTION("""COMPUTED_VALUE"""),"")</f>
        <v/>
      </c>
      <c r="I139" s="53" t="str">
        <f>IFERROR(__xludf.DUMMYFUNCTION("""COMPUTED_VALUE"""),"")</f>
        <v/>
      </c>
      <c r="J139" s="53" t="str">
        <f>IFERROR(__xludf.DUMMYFUNCTION("""COMPUTED_VALUE"""),"")</f>
        <v/>
      </c>
      <c r="K139" s="54" t="str">
        <f>IFERROR(__xludf.DUMMYFUNCTION("""COMPUTED_VALUE"""),"")</f>
        <v/>
      </c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6"/>
      <c r="W139" s="56"/>
      <c r="X139" s="56"/>
      <c r="Y139" s="56"/>
      <c r="Z139" s="57"/>
      <c r="AA139" s="58"/>
      <c r="AB139" s="59"/>
    </row>
    <row r="140" ht="13.5" customHeight="1">
      <c r="A140" s="60" t="str">
        <f>IFERROR(__xludf.DUMMYFUNCTION("""COMPUTED_VALUE"""),"")</f>
        <v/>
      </c>
      <c r="B140" s="64" t="str">
        <f>IFERROR(__xludf.DUMMYFUNCTION("""COMPUTED_VALUE"""),"")</f>
        <v/>
      </c>
      <c r="C140" s="63" t="str">
        <f>IFERROR(__xludf.DUMMYFUNCTION("""COMPUTED_VALUE"""),"")</f>
        <v/>
      </c>
      <c r="D140" s="63" t="str">
        <f>IFERROR(__xludf.DUMMYFUNCTION("""COMPUTED_VALUE"""),"")</f>
        <v/>
      </c>
      <c r="E140" s="51" t="str">
        <f>IFERROR(__xludf.DUMMYFUNCTION("""COMPUTED_VALUE"""),"")</f>
        <v/>
      </c>
      <c r="F140" s="64" t="str">
        <f>IFERROR(__xludf.DUMMYFUNCTION("""COMPUTED_VALUE"""),"")</f>
        <v/>
      </c>
      <c r="G140" s="52" t="str">
        <f>IFERROR(__xludf.DUMMYFUNCTION("""COMPUTED_VALUE"""),"")</f>
        <v/>
      </c>
      <c r="H140" s="53" t="str">
        <f>IFERROR(__xludf.DUMMYFUNCTION("""COMPUTED_VALUE"""),"")</f>
        <v/>
      </c>
      <c r="I140" s="53" t="str">
        <f>IFERROR(__xludf.DUMMYFUNCTION("""COMPUTED_VALUE"""),"")</f>
        <v/>
      </c>
      <c r="J140" s="53" t="str">
        <f>IFERROR(__xludf.DUMMYFUNCTION("""COMPUTED_VALUE"""),"")</f>
        <v/>
      </c>
      <c r="K140" s="54" t="str">
        <f>IFERROR(__xludf.DUMMYFUNCTION("""COMPUTED_VALUE"""),"")</f>
        <v/>
      </c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6"/>
      <c r="W140" s="56"/>
      <c r="X140" s="56"/>
      <c r="Y140" s="56"/>
      <c r="Z140" s="57"/>
      <c r="AA140" s="58"/>
      <c r="AB140" s="59"/>
    </row>
    <row r="141" ht="13.5" customHeight="1">
      <c r="A141" s="60" t="str">
        <f>IFERROR(__xludf.DUMMYFUNCTION("""COMPUTED_VALUE"""),"")</f>
        <v/>
      </c>
      <c r="B141" s="64" t="str">
        <f>IFERROR(__xludf.DUMMYFUNCTION("""COMPUTED_VALUE"""),"")</f>
        <v/>
      </c>
      <c r="C141" s="63" t="str">
        <f>IFERROR(__xludf.DUMMYFUNCTION("""COMPUTED_VALUE"""),"")</f>
        <v/>
      </c>
      <c r="D141" s="63" t="str">
        <f>IFERROR(__xludf.DUMMYFUNCTION("""COMPUTED_VALUE"""),"")</f>
        <v/>
      </c>
      <c r="E141" s="51" t="str">
        <f>IFERROR(__xludf.DUMMYFUNCTION("""COMPUTED_VALUE"""),"")</f>
        <v/>
      </c>
      <c r="F141" s="64" t="str">
        <f>IFERROR(__xludf.DUMMYFUNCTION("""COMPUTED_VALUE"""),"")</f>
        <v/>
      </c>
      <c r="G141" s="52" t="str">
        <f>IFERROR(__xludf.DUMMYFUNCTION("""COMPUTED_VALUE"""),"")</f>
        <v/>
      </c>
      <c r="H141" s="53" t="str">
        <f>IFERROR(__xludf.DUMMYFUNCTION("""COMPUTED_VALUE"""),"")</f>
        <v/>
      </c>
      <c r="I141" s="53" t="str">
        <f>IFERROR(__xludf.DUMMYFUNCTION("""COMPUTED_VALUE"""),"")</f>
        <v/>
      </c>
      <c r="J141" s="53" t="str">
        <f>IFERROR(__xludf.DUMMYFUNCTION("""COMPUTED_VALUE"""),"")</f>
        <v/>
      </c>
      <c r="K141" s="54" t="str">
        <f>IFERROR(__xludf.DUMMYFUNCTION("""COMPUTED_VALUE"""),"")</f>
        <v/>
      </c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6"/>
      <c r="W141" s="56"/>
      <c r="X141" s="56"/>
      <c r="Y141" s="56"/>
      <c r="Z141" s="57"/>
      <c r="AA141" s="58"/>
      <c r="AB141" s="59"/>
    </row>
    <row r="142" ht="13.5" customHeight="1">
      <c r="A142" s="60" t="str">
        <f>IFERROR(__xludf.DUMMYFUNCTION("""COMPUTED_VALUE"""),"")</f>
        <v/>
      </c>
      <c r="B142" s="64" t="str">
        <f>IFERROR(__xludf.DUMMYFUNCTION("""COMPUTED_VALUE"""),"")</f>
        <v/>
      </c>
      <c r="C142" s="63" t="str">
        <f>IFERROR(__xludf.DUMMYFUNCTION("""COMPUTED_VALUE"""),"")</f>
        <v/>
      </c>
      <c r="D142" s="63" t="str">
        <f>IFERROR(__xludf.DUMMYFUNCTION("""COMPUTED_VALUE"""),"")</f>
        <v/>
      </c>
      <c r="E142" s="51" t="str">
        <f>IFERROR(__xludf.DUMMYFUNCTION("""COMPUTED_VALUE"""),"")</f>
        <v/>
      </c>
      <c r="F142" s="64" t="str">
        <f>IFERROR(__xludf.DUMMYFUNCTION("""COMPUTED_VALUE"""),"")</f>
        <v/>
      </c>
      <c r="G142" s="52" t="str">
        <f>IFERROR(__xludf.DUMMYFUNCTION("""COMPUTED_VALUE"""),"")</f>
        <v/>
      </c>
      <c r="H142" s="53" t="str">
        <f>IFERROR(__xludf.DUMMYFUNCTION("""COMPUTED_VALUE"""),"")</f>
        <v/>
      </c>
      <c r="I142" s="53" t="str">
        <f>IFERROR(__xludf.DUMMYFUNCTION("""COMPUTED_VALUE"""),"")</f>
        <v/>
      </c>
      <c r="J142" s="53" t="str">
        <f>IFERROR(__xludf.DUMMYFUNCTION("""COMPUTED_VALUE"""),"")</f>
        <v/>
      </c>
      <c r="K142" s="54" t="str">
        <f>IFERROR(__xludf.DUMMYFUNCTION("""COMPUTED_VALUE"""),"")</f>
        <v/>
      </c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6"/>
      <c r="W142" s="56"/>
      <c r="X142" s="56"/>
      <c r="Y142" s="56"/>
      <c r="Z142" s="57"/>
      <c r="AA142" s="58"/>
      <c r="AB142" s="59"/>
    </row>
    <row r="143" ht="13.5" customHeight="1">
      <c r="A143" s="60" t="str">
        <f>IFERROR(__xludf.DUMMYFUNCTION("""COMPUTED_VALUE"""),"")</f>
        <v/>
      </c>
      <c r="B143" s="64" t="str">
        <f>IFERROR(__xludf.DUMMYFUNCTION("""COMPUTED_VALUE"""),"")</f>
        <v/>
      </c>
      <c r="C143" s="63" t="str">
        <f>IFERROR(__xludf.DUMMYFUNCTION("""COMPUTED_VALUE"""),"")</f>
        <v/>
      </c>
      <c r="D143" s="63" t="str">
        <f>IFERROR(__xludf.DUMMYFUNCTION("""COMPUTED_VALUE"""),"")</f>
        <v/>
      </c>
      <c r="E143" s="51" t="str">
        <f>IFERROR(__xludf.DUMMYFUNCTION("""COMPUTED_VALUE"""),"")</f>
        <v/>
      </c>
      <c r="F143" s="64" t="str">
        <f>IFERROR(__xludf.DUMMYFUNCTION("""COMPUTED_VALUE"""),"")</f>
        <v/>
      </c>
      <c r="G143" s="52" t="str">
        <f>IFERROR(__xludf.DUMMYFUNCTION("""COMPUTED_VALUE"""),"")</f>
        <v/>
      </c>
      <c r="H143" s="53" t="str">
        <f>IFERROR(__xludf.DUMMYFUNCTION("""COMPUTED_VALUE"""),"")</f>
        <v/>
      </c>
      <c r="I143" s="53" t="str">
        <f>IFERROR(__xludf.DUMMYFUNCTION("""COMPUTED_VALUE"""),"")</f>
        <v/>
      </c>
      <c r="J143" s="53" t="str">
        <f>IFERROR(__xludf.DUMMYFUNCTION("""COMPUTED_VALUE"""),"")</f>
        <v/>
      </c>
      <c r="K143" s="54" t="str">
        <f>IFERROR(__xludf.DUMMYFUNCTION("""COMPUTED_VALUE"""),"")</f>
        <v/>
      </c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6"/>
      <c r="W143" s="56"/>
      <c r="X143" s="56"/>
      <c r="Y143" s="56"/>
      <c r="Z143" s="57"/>
      <c r="AA143" s="58"/>
      <c r="AB143" s="59"/>
    </row>
    <row r="144" ht="13.5" customHeight="1">
      <c r="A144" s="60" t="str">
        <f>IFERROR(__xludf.DUMMYFUNCTION("""COMPUTED_VALUE"""),"")</f>
        <v/>
      </c>
      <c r="B144" s="64" t="str">
        <f>IFERROR(__xludf.DUMMYFUNCTION("""COMPUTED_VALUE"""),"")</f>
        <v/>
      </c>
      <c r="C144" s="63" t="str">
        <f>IFERROR(__xludf.DUMMYFUNCTION("""COMPUTED_VALUE"""),"")</f>
        <v/>
      </c>
      <c r="D144" s="63" t="str">
        <f>IFERROR(__xludf.DUMMYFUNCTION("""COMPUTED_VALUE"""),"")</f>
        <v/>
      </c>
      <c r="E144" s="51" t="str">
        <f>IFERROR(__xludf.DUMMYFUNCTION("""COMPUTED_VALUE"""),"")</f>
        <v/>
      </c>
      <c r="F144" s="64" t="str">
        <f>IFERROR(__xludf.DUMMYFUNCTION("""COMPUTED_VALUE"""),"")</f>
        <v/>
      </c>
      <c r="G144" s="52" t="str">
        <f>IFERROR(__xludf.DUMMYFUNCTION("""COMPUTED_VALUE"""),"")</f>
        <v/>
      </c>
      <c r="H144" s="53" t="str">
        <f>IFERROR(__xludf.DUMMYFUNCTION("""COMPUTED_VALUE"""),"")</f>
        <v/>
      </c>
      <c r="I144" s="53" t="str">
        <f>IFERROR(__xludf.DUMMYFUNCTION("""COMPUTED_VALUE"""),"")</f>
        <v/>
      </c>
      <c r="J144" s="53" t="str">
        <f>IFERROR(__xludf.DUMMYFUNCTION("""COMPUTED_VALUE"""),"")</f>
        <v/>
      </c>
      <c r="K144" s="54" t="str">
        <f>IFERROR(__xludf.DUMMYFUNCTION("""COMPUTED_VALUE"""),"")</f>
        <v/>
      </c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6"/>
      <c r="W144" s="56"/>
      <c r="X144" s="56"/>
      <c r="Y144" s="56"/>
      <c r="Z144" s="57"/>
      <c r="AA144" s="58"/>
      <c r="AB144" s="59"/>
    </row>
    <row r="145" ht="13.5" customHeight="1">
      <c r="A145" s="60" t="str">
        <f>IFERROR(__xludf.DUMMYFUNCTION("""COMPUTED_VALUE"""),"")</f>
        <v/>
      </c>
      <c r="B145" s="64" t="str">
        <f>IFERROR(__xludf.DUMMYFUNCTION("""COMPUTED_VALUE"""),"")</f>
        <v/>
      </c>
      <c r="C145" s="63" t="str">
        <f>IFERROR(__xludf.DUMMYFUNCTION("""COMPUTED_VALUE"""),"")</f>
        <v/>
      </c>
      <c r="D145" s="63" t="str">
        <f>IFERROR(__xludf.DUMMYFUNCTION("""COMPUTED_VALUE"""),"")</f>
        <v/>
      </c>
      <c r="E145" s="51" t="str">
        <f>IFERROR(__xludf.DUMMYFUNCTION("""COMPUTED_VALUE"""),"")</f>
        <v/>
      </c>
      <c r="F145" s="64" t="str">
        <f>IFERROR(__xludf.DUMMYFUNCTION("""COMPUTED_VALUE"""),"")</f>
        <v/>
      </c>
      <c r="G145" s="52" t="str">
        <f>IFERROR(__xludf.DUMMYFUNCTION("""COMPUTED_VALUE"""),"")</f>
        <v/>
      </c>
      <c r="H145" s="53" t="str">
        <f>IFERROR(__xludf.DUMMYFUNCTION("""COMPUTED_VALUE"""),"")</f>
        <v/>
      </c>
      <c r="I145" s="53" t="str">
        <f>IFERROR(__xludf.DUMMYFUNCTION("""COMPUTED_VALUE"""),"")</f>
        <v/>
      </c>
      <c r="J145" s="53" t="str">
        <f>IFERROR(__xludf.DUMMYFUNCTION("""COMPUTED_VALUE"""),"")</f>
        <v/>
      </c>
      <c r="K145" s="54" t="str">
        <f>IFERROR(__xludf.DUMMYFUNCTION("""COMPUTED_VALUE"""),"")</f>
        <v/>
      </c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6"/>
      <c r="W145" s="56"/>
      <c r="X145" s="56"/>
      <c r="Y145" s="56"/>
      <c r="Z145" s="57"/>
      <c r="AA145" s="58"/>
      <c r="AB145" s="59"/>
    </row>
    <row r="146" ht="13.5" customHeight="1">
      <c r="A146" s="60" t="str">
        <f>IFERROR(__xludf.DUMMYFUNCTION("""COMPUTED_VALUE"""),"")</f>
        <v/>
      </c>
      <c r="B146" s="64" t="str">
        <f>IFERROR(__xludf.DUMMYFUNCTION("""COMPUTED_VALUE"""),"")</f>
        <v/>
      </c>
      <c r="C146" s="63" t="str">
        <f>IFERROR(__xludf.DUMMYFUNCTION("""COMPUTED_VALUE"""),"")</f>
        <v/>
      </c>
      <c r="D146" s="63" t="str">
        <f>IFERROR(__xludf.DUMMYFUNCTION("""COMPUTED_VALUE"""),"")</f>
        <v/>
      </c>
      <c r="E146" s="51" t="str">
        <f>IFERROR(__xludf.DUMMYFUNCTION("""COMPUTED_VALUE"""),"")</f>
        <v/>
      </c>
      <c r="F146" s="64" t="str">
        <f>IFERROR(__xludf.DUMMYFUNCTION("""COMPUTED_VALUE"""),"")</f>
        <v/>
      </c>
      <c r="G146" s="52" t="str">
        <f>IFERROR(__xludf.DUMMYFUNCTION("""COMPUTED_VALUE"""),"")</f>
        <v/>
      </c>
      <c r="H146" s="53" t="str">
        <f>IFERROR(__xludf.DUMMYFUNCTION("""COMPUTED_VALUE"""),"")</f>
        <v/>
      </c>
      <c r="I146" s="53" t="str">
        <f>IFERROR(__xludf.DUMMYFUNCTION("""COMPUTED_VALUE"""),"")</f>
        <v/>
      </c>
      <c r="J146" s="53" t="str">
        <f>IFERROR(__xludf.DUMMYFUNCTION("""COMPUTED_VALUE"""),"")</f>
        <v/>
      </c>
      <c r="K146" s="54" t="str">
        <f>IFERROR(__xludf.DUMMYFUNCTION("""COMPUTED_VALUE"""),"")</f>
        <v/>
      </c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6"/>
      <c r="W146" s="56"/>
      <c r="X146" s="56"/>
      <c r="Y146" s="56"/>
      <c r="Z146" s="57"/>
      <c r="AA146" s="58"/>
      <c r="AB146" s="59"/>
    </row>
    <row r="147" ht="13.5" customHeight="1">
      <c r="A147" s="60" t="str">
        <f>IFERROR(__xludf.DUMMYFUNCTION("""COMPUTED_VALUE"""),"")</f>
        <v/>
      </c>
      <c r="B147" s="64" t="str">
        <f>IFERROR(__xludf.DUMMYFUNCTION("""COMPUTED_VALUE"""),"")</f>
        <v/>
      </c>
      <c r="C147" s="63" t="str">
        <f>IFERROR(__xludf.DUMMYFUNCTION("""COMPUTED_VALUE"""),"")</f>
        <v/>
      </c>
      <c r="D147" s="63" t="str">
        <f>IFERROR(__xludf.DUMMYFUNCTION("""COMPUTED_VALUE"""),"")</f>
        <v/>
      </c>
      <c r="E147" s="51" t="str">
        <f>IFERROR(__xludf.DUMMYFUNCTION("""COMPUTED_VALUE"""),"")</f>
        <v/>
      </c>
      <c r="F147" s="64" t="str">
        <f>IFERROR(__xludf.DUMMYFUNCTION("""COMPUTED_VALUE"""),"")</f>
        <v/>
      </c>
      <c r="G147" s="52" t="str">
        <f>IFERROR(__xludf.DUMMYFUNCTION("""COMPUTED_VALUE"""),"")</f>
        <v/>
      </c>
      <c r="H147" s="53" t="str">
        <f>IFERROR(__xludf.DUMMYFUNCTION("""COMPUTED_VALUE"""),"")</f>
        <v/>
      </c>
      <c r="I147" s="53" t="str">
        <f>IFERROR(__xludf.DUMMYFUNCTION("""COMPUTED_VALUE"""),"")</f>
        <v/>
      </c>
      <c r="J147" s="53" t="str">
        <f>IFERROR(__xludf.DUMMYFUNCTION("""COMPUTED_VALUE"""),"")</f>
        <v/>
      </c>
      <c r="K147" s="54" t="str">
        <f>IFERROR(__xludf.DUMMYFUNCTION("""COMPUTED_VALUE"""),"")</f>
        <v/>
      </c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6"/>
      <c r="W147" s="56"/>
      <c r="X147" s="56"/>
      <c r="Y147" s="56"/>
      <c r="Z147" s="57"/>
      <c r="AA147" s="58"/>
      <c r="AB147" s="59"/>
    </row>
    <row r="148" ht="13.5" customHeight="1">
      <c r="A148" s="60" t="str">
        <f>IFERROR(__xludf.DUMMYFUNCTION("""COMPUTED_VALUE"""),"")</f>
        <v/>
      </c>
      <c r="B148" s="64" t="str">
        <f>IFERROR(__xludf.DUMMYFUNCTION("""COMPUTED_VALUE"""),"")</f>
        <v/>
      </c>
      <c r="C148" s="63" t="str">
        <f>IFERROR(__xludf.DUMMYFUNCTION("""COMPUTED_VALUE"""),"")</f>
        <v/>
      </c>
      <c r="D148" s="63" t="str">
        <f>IFERROR(__xludf.DUMMYFUNCTION("""COMPUTED_VALUE"""),"")</f>
        <v/>
      </c>
      <c r="E148" s="51" t="str">
        <f>IFERROR(__xludf.DUMMYFUNCTION("""COMPUTED_VALUE"""),"")</f>
        <v/>
      </c>
      <c r="F148" s="64" t="str">
        <f>IFERROR(__xludf.DUMMYFUNCTION("""COMPUTED_VALUE"""),"")</f>
        <v/>
      </c>
      <c r="G148" s="52" t="str">
        <f>IFERROR(__xludf.DUMMYFUNCTION("""COMPUTED_VALUE"""),"")</f>
        <v/>
      </c>
      <c r="H148" s="53" t="str">
        <f>IFERROR(__xludf.DUMMYFUNCTION("""COMPUTED_VALUE"""),"")</f>
        <v/>
      </c>
      <c r="I148" s="53" t="str">
        <f>IFERROR(__xludf.DUMMYFUNCTION("""COMPUTED_VALUE"""),"")</f>
        <v/>
      </c>
      <c r="J148" s="53" t="str">
        <f>IFERROR(__xludf.DUMMYFUNCTION("""COMPUTED_VALUE"""),"")</f>
        <v/>
      </c>
      <c r="K148" s="54" t="str">
        <f>IFERROR(__xludf.DUMMYFUNCTION("""COMPUTED_VALUE"""),"")</f>
        <v/>
      </c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6"/>
      <c r="W148" s="56"/>
      <c r="X148" s="56"/>
      <c r="Y148" s="56"/>
      <c r="Z148" s="57"/>
      <c r="AA148" s="58"/>
      <c r="AB148" s="59"/>
    </row>
    <row r="149" ht="13.5" customHeight="1">
      <c r="A149" s="60" t="str">
        <f>IFERROR(__xludf.DUMMYFUNCTION("""COMPUTED_VALUE"""),"")</f>
        <v/>
      </c>
      <c r="B149" s="64" t="str">
        <f>IFERROR(__xludf.DUMMYFUNCTION("""COMPUTED_VALUE"""),"")</f>
        <v/>
      </c>
      <c r="C149" s="63" t="str">
        <f>IFERROR(__xludf.DUMMYFUNCTION("""COMPUTED_VALUE"""),"")</f>
        <v/>
      </c>
      <c r="D149" s="63" t="str">
        <f>IFERROR(__xludf.DUMMYFUNCTION("""COMPUTED_VALUE"""),"")</f>
        <v/>
      </c>
      <c r="E149" s="51" t="str">
        <f>IFERROR(__xludf.DUMMYFUNCTION("""COMPUTED_VALUE"""),"")</f>
        <v/>
      </c>
      <c r="F149" s="64" t="str">
        <f>IFERROR(__xludf.DUMMYFUNCTION("""COMPUTED_VALUE"""),"")</f>
        <v/>
      </c>
      <c r="G149" s="52" t="str">
        <f>IFERROR(__xludf.DUMMYFUNCTION("""COMPUTED_VALUE"""),"")</f>
        <v/>
      </c>
      <c r="H149" s="53" t="str">
        <f>IFERROR(__xludf.DUMMYFUNCTION("""COMPUTED_VALUE"""),"")</f>
        <v/>
      </c>
      <c r="I149" s="53" t="str">
        <f>IFERROR(__xludf.DUMMYFUNCTION("""COMPUTED_VALUE"""),"")</f>
        <v/>
      </c>
      <c r="J149" s="53" t="str">
        <f>IFERROR(__xludf.DUMMYFUNCTION("""COMPUTED_VALUE"""),"")</f>
        <v/>
      </c>
      <c r="K149" s="54" t="str">
        <f>IFERROR(__xludf.DUMMYFUNCTION("""COMPUTED_VALUE"""),"")</f>
        <v/>
      </c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6"/>
      <c r="W149" s="56"/>
      <c r="X149" s="56"/>
      <c r="Y149" s="56"/>
      <c r="Z149" s="57"/>
      <c r="AA149" s="58"/>
      <c r="AB149" s="59"/>
    </row>
    <row r="150" ht="13.5" customHeight="1">
      <c r="A150" s="60" t="str">
        <f>IFERROR(__xludf.DUMMYFUNCTION("""COMPUTED_VALUE"""),"")</f>
        <v/>
      </c>
      <c r="B150" s="64" t="str">
        <f>IFERROR(__xludf.DUMMYFUNCTION("""COMPUTED_VALUE"""),"")</f>
        <v/>
      </c>
      <c r="C150" s="63" t="str">
        <f>IFERROR(__xludf.DUMMYFUNCTION("""COMPUTED_VALUE"""),"")</f>
        <v/>
      </c>
      <c r="D150" s="63" t="str">
        <f>IFERROR(__xludf.DUMMYFUNCTION("""COMPUTED_VALUE"""),"")</f>
        <v/>
      </c>
      <c r="E150" s="51" t="str">
        <f>IFERROR(__xludf.DUMMYFUNCTION("""COMPUTED_VALUE"""),"")</f>
        <v/>
      </c>
      <c r="F150" s="64" t="str">
        <f>IFERROR(__xludf.DUMMYFUNCTION("""COMPUTED_VALUE"""),"")</f>
        <v/>
      </c>
      <c r="G150" s="52" t="str">
        <f>IFERROR(__xludf.DUMMYFUNCTION("""COMPUTED_VALUE"""),"")</f>
        <v/>
      </c>
      <c r="H150" s="53" t="str">
        <f>IFERROR(__xludf.DUMMYFUNCTION("""COMPUTED_VALUE"""),"")</f>
        <v/>
      </c>
      <c r="I150" s="53" t="str">
        <f>IFERROR(__xludf.DUMMYFUNCTION("""COMPUTED_VALUE"""),"")</f>
        <v/>
      </c>
      <c r="J150" s="53" t="str">
        <f>IFERROR(__xludf.DUMMYFUNCTION("""COMPUTED_VALUE"""),"")</f>
        <v/>
      </c>
      <c r="K150" s="54" t="str">
        <f>IFERROR(__xludf.DUMMYFUNCTION("""COMPUTED_VALUE"""),"")</f>
        <v/>
      </c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6"/>
      <c r="W150" s="56"/>
      <c r="X150" s="56"/>
      <c r="Y150" s="56"/>
      <c r="Z150" s="57"/>
      <c r="AA150" s="58"/>
      <c r="AB150" s="59"/>
    </row>
    <row r="151" ht="13.5" customHeight="1">
      <c r="A151" s="60" t="str">
        <f>IFERROR(__xludf.DUMMYFUNCTION("""COMPUTED_VALUE"""),"")</f>
        <v/>
      </c>
      <c r="B151" s="64" t="str">
        <f>IFERROR(__xludf.DUMMYFUNCTION("""COMPUTED_VALUE"""),"")</f>
        <v/>
      </c>
      <c r="C151" s="63" t="str">
        <f>IFERROR(__xludf.DUMMYFUNCTION("""COMPUTED_VALUE"""),"")</f>
        <v/>
      </c>
      <c r="D151" s="63" t="str">
        <f>IFERROR(__xludf.DUMMYFUNCTION("""COMPUTED_VALUE"""),"")</f>
        <v/>
      </c>
      <c r="E151" s="51" t="str">
        <f>IFERROR(__xludf.DUMMYFUNCTION("""COMPUTED_VALUE"""),"")</f>
        <v/>
      </c>
      <c r="F151" s="64" t="str">
        <f>IFERROR(__xludf.DUMMYFUNCTION("""COMPUTED_VALUE"""),"")</f>
        <v/>
      </c>
      <c r="G151" s="52" t="str">
        <f>IFERROR(__xludf.DUMMYFUNCTION("""COMPUTED_VALUE"""),"")</f>
        <v/>
      </c>
      <c r="H151" s="53" t="str">
        <f>IFERROR(__xludf.DUMMYFUNCTION("""COMPUTED_VALUE"""),"")</f>
        <v/>
      </c>
      <c r="I151" s="53" t="str">
        <f>IFERROR(__xludf.DUMMYFUNCTION("""COMPUTED_VALUE"""),"")</f>
        <v/>
      </c>
      <c r="J151" s="53" t="str">
        <f>IFERROR(__xludf.DUMMYFUNCTION("""COMPUTED_VALUE"""),"")</f>
        <v/>
      </c>
      <c r="K151" s="54" t="str">
        <f>IFERROR(__xludf.DUMMYFUNCTION("""COMPUTED_VALUE"""),"")</f>
        <v/>
      </c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6"/>
      <c r="W151" s="56"/>
      <c r="X151" s="56"/>
      <c r="Y151" s="56"/>
      <c r="Z151" s="57"/>
      <c r="AA151" s="58"/>
      <c r="AB151" s="59"/>
    </row>
    <row r="152" ht="13.5" customHeight="1">
      <c r="A152" s="60" t="str">
        <f>IFERROR(__xludf.DUMMYFUNCTION("""COMPUTED_VALUE"""),"")</f>
        <v/>
      </c>
      <c r="B152" s="64" t="str">
        <f>IFERROR(__xludf.DUMMYFUNCTION("""COMPUTED_VALUE"""),"")</f>
        <v/>
      </c>
      <c r="C152" s="63" t="str">
        <f>IFERROR(__xludf.DUMMYFUNCTION("""COMPUTED_VALUE"""),"")</f>
        <v/>
      </c>
      <c r="D152" s="63" t="str">
        <f>IFERROR(__xludf.DUMMYFUNCTION("""COMPUTED_VALUE"""),"")</f>
        <v/>
      </c>
      <c r="E152" s="51" t="str">
        <f>IFERROR(__xludf.DUMMYFUNCTION("""COMPUTED_VALUE"""),"")</f>
        <v/>
      </c>
      <c r="F152" s="64" t="str">
        <f>IFERROR(__xludf.DUMMYFUNCTION("""COMPUTED_VALUE"""),"")</f>
        <v/>
      </c>
      <c r="G152" s="52" t="str">
        <f>IFERROR(__xludf.DUMMYFUNCTION("""COMPUTED_VALUE"""),"")</f>
        <v/>
      </c>
      <c r="H152" s="53" t="str">
        <f>IFERROR(__xludf.DUMMYFUNCTION("""COMPUTED_VALUE"""),"")</f>
        <v/>
      </c>
      <c r="I152" s="53" t="str">
        <f>IFERROR(__xludf.DUMMYFUNCTION("""COMPUTED_VALUE"""),"")</f>
        <v/>
      </c>
      <c r="J152" s="53" t="str">
        <f>IFERROR(__xludf.DUMMYFUNCTION("""COMPUTED_VALUE"""),"")</f>
        <v/>
      </c>
      <c r="K152" s="54" t="str">
        <f>IFERROR(__xludf.DUMMYFUNCTION("""COMPUTED_VALUE"""),"")</f>
        <v/>
      </c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6"/>
      <c r="W152" s="56"/>
      <c r="X152" s="56"/>
      <c r="Y152" s="56"/>
      <c r="Z152" s="57"/>
      <c r="AA152" s="58"/>
      <c r="AB152" s="59"/>
    </row>
    <row r="153" ht="13.5" customHeight="1">
      <c r="A153" s="60" t="str">
        <f>IFERROR(__xludf.DUMMYFUNCTION("""COMPUTED_VALUE"""),"")</f>
        <v/>
      </c>
      <c r="B153" s="64" t="str">
        <f>IFERROR(__xludf.DUMMYFUNCTION("""COMPUTED_VALUE"""),"")</f>
        <v/>
      </c>
      <c r="C153" s="63" t="str">
        <f>IFERROR(__xludf.DUMMYFUNCTION("""COMPUTED_VALUE"""),"")</f>
        <v/>
      </c>
      <c r="D153" s="63" t="str">
        <f>IFERROR(__xludf.DUMMYFUNCTION("""COMPUTED_VALUE"""),"")</f>
        <v/>
      </c>
      <c r="E153" s="51" t="str">
        <f>IFERROR(__xludf.DUMMYFUNCTION("""COMPUTED_VALUE"""),"")</f>
        <v/>
      </c>
      <c r="F153" s="64" t="str">
        <f>IFERROR(__xludf.DUMMYFUNCTION("""COMPUTED_VALUE"""),"")</f>
        <v/>
      </c>
      <c r="G153" s="52" t="str">
        <f>IFERROR(__xludf.DUMMYFUNCTION("""COMPUTED_VALUE"""),"")</f>
        <v/>
      </c>
      <c r="H153" s="53" t="str">
        <f>IFERROR(__xludf.DUMMYFUNCTION("""COMPUTED_VALUE"""),"")</f>
        <v/>
      </c>
      <c r="I153" s="53" t="str">
        <f>IFERROR(__xludf.DUMMYFUNCTION("""COMPUTED_VALUE"""),"")</f>
        <v/>
      </c>
      <c r="J153" s="53" t="str">
        <f>IFERROR(__xludf.DUMMYFUNCTION("""COMPUTED_VALUE"""),"")</f>
        <v/>
      </c>
      <c r="K153" s="54" t="str">
        <f>IFERROR(__xludf.DUMMYFUNCTION("""COMPUTED_VALUE"""),"")</f>
        <v/>
      </c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6"/>
      <c r="W153" s="56"/>
      <c r="X153" s="56"/>
      <c r="Y153" s="56"/>
      <c r="Z153" s="57"/>
      <c r="AA153" s="58"/>
      <c r="AB153" s="59"/>
    </row>
    <row r="154" ht="13.5" customHeight="1">
      <c r="A154" s="60" t="str">
        <f>IFERROR(__xludf.DUMMYFUNCTION("""COMPUTED_VALUE"""),"")</f>
        <v/>
      </c>
      <c r="B154" s="64" t="str">
        <f>IFERROR(__xludf.DUMMYFUNCTION("""COMPUTED_VALUE"""),"")</f>
        <v/>
      </c>
      <c r="C154" s="63" t="str">
        <f>IFERROR(__xludf.DUMMYFUNCTION("""COMPUTED_VALUE"""),"")</f>
        <v/>
      </c>
      <c r="D154" s="63" t="str">
        <f>IFERROR(__xludf.DUMMYFUNCTION("""COMPUTED_VALUE"""),"")</f>
        <v/>
      </c>
      <c r="E154" s="51" t="str">
        <f>IFERROR(__xludf.DUMMYFUNCTION("""COMPUTED_VALUE"""),"")</f>
        <v/>
      </c>
      <c r="F154" s="64" t="str">
        <f>IFERROR(__xludf.DUMMYFUNCTION("""COMPUTED_VALUE"""),"")</f>
        <v/>
      </c>
      <c r="G154" s="52" t="str">
        <f>IFERROR(__xludf.DUMMYFUNCTION("""COMPUTED_VALUE"""),"")</f>
        <v/>
      </c>
      <c r="H154" s="53" t="str">
        <f>IFERROR(__xludf.DUMMYFUNCTION("""COMPUTED_VALUE"""),"")</f>
        <v/>
      </c>
      <c r="I154" s="53" t="str">
        <f>IFERROR(__xludf.DUMMYFUNCTION("""COMPUTED_VALUE"""),"")</f>
        <v/>
      </c>
      <c r="J154" s="53" t="str">
        <f>IFERROR(__xludf.DUMMYFUNCTION("""COMPUTED_VALUE"""),"")</f>
        <v/>
      </c>
      <c r="K154" s="54" t="str">
        <f>IFERROR(__xludf.DUMMYFUNCTION("""COMPUTED_VALUE"""),"")</f>
        <v/>
      </c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6"/>
      <c r="W154" s="56"/>
      <c r="X154" s="56"/>
      <c r="Y154" s="56"/>
      <c r="Z154" s="57"/>
      <c r="AA154" s="58"/>
      <c r="AB154" s="59"/>
    </row>
    <row r="155" ht="13.5" customHeight="1">
      <c r="A155" s="60" t="str">
        <f>IFERROR(__xludf.DUMMYFUNCTION("""COMPUTED_VALUE"""),"")</f>
        <v/>
      </c>
      <c r="B155" s="64" t="str">
        <f>IFERROR(__xludf.DUMMYFUNCTION("""COMPUTED_VALUE"""),"")</f>
        <v/>
      </c>
      <c r="C155" s="63" t="str">
        <f>IFERROR(__xludf.DUMMYFUNCTION("""COMPUTED_VALUE"""),"")</f>
        <v/>
      </c>
      <c r="D155" s="63" t="str">
        <f>IFERROR(__xludf.DUMMYFUNCTION("""COMPUTED_VALUE"""),"")</f>
        <v/>
      </c>
      <c r="E155" s="51" t="str">
        <f>IFERROR(__xludf.DUMMYFUNCTION("""COMPUTED_VALUE"""),"")</f>
        <v/>
      </c>
      <c r="F155" s="64" t="str">
        <f>IFERROR(__xludf.DUMMYFUNCTION("""COMPUTED_VALUE"""),"")</f>
        <v/>
      </c>
      <c r="G155" s="52" t="str">
        <f>IFERROR(__xludf.DUMMYFUNCTION("""COMPUTED_VALUE"""),"")</f>
        <v/>
      </c>
      <c r="H155" s="53" t="str">
        <f>IFERROR(__xludf.DUMMYFUNCTION("""COMPUTED_VALUE"""),"")</f>
        <v/>
      </c>
      <c r="I155" s="53" t="str">
        <f>IFERROR(__xludf.DUMMYFUNCTION("""COMPUTED_VALUE"""),"")</f>
        <v/>
      </c>
      <c r="J155" s="53" t="str">
        <f>IFERROR(__xludf.DUMMYFUNCTION("""COMPUTED_VALUE"""),"")</f>
        <v/>
      </c>
      <c r="K155" s="54" t="str">
        <f>IFERROR(__xludf.DUMMYFUNCTION("""COMPUTED_VALUE"""),"")</f>
        <v/>
      </c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6"/>
      <c r="W155" s="56"/>
      <c r="X155" s="56"/>
      <c r="Y155" s="56"/>
      <c r="Z155" s="57"/>
      <c r="AA155" s="58"/>
      <c r="AB155" s="59"/>
    </row>
    <row r="156" ht="13.5" customHeight="1">
      <c r="A156" s="60" t="str">
        <f>IFERROR(__xludf.DUMMYFUNCTION("""COMPUTED_VALUE"""),"")</f>
        <v/>
      </c>
      <c r="B156" s="64" t="str">
        <f>IFERROR(__xludf.DUMMYFUNCTION("""COMPUTED_VALUE"""),"")</f>
        <v/>
      </c>
      <c r="C156" s="63" t="str">
        <f>IFERROR(__xludf.DUMMYFUNCTION("""COMPUTED_VALUE"""),"")</f>
        <v/>
      </c>
      <c r="D156" s="63" t="str">
        <f>IFERROR(__xludf.DUMMYFUNCTION("""COMPUTED_VALUE"""),"")</f>
        <v/>
      </c>
      <c r="E156" s="51" t="str">
        <f>IFERROR(__xludf.DUMMYFUNCTION("""COMPUTED_VALUE"""),"")</f>
        <v/>
      </c>
      <c r="F156" s="64" t="str">
        <f>IFERROR(__xludf.DUMMYFUNCTION("""COMPUTED_VALUE"""),"")</f>
        <v/>
      </c>
      <c r="G156" s="52" t="str">
        <f>IFERROR(__xludf.DUMMYFUNCTION("""COMPUTED_VALUE"""),"")</f>
        <v/>
      </c>
      <c r="H156" s="53" t="str">
        <f>IFERROR(__xludf.DUMMYFUNCTION("""COMPUTED_VALUE"""),"")</f>
        <v/>
      </c>
      <c r="I156" s="53" t="str">
        <f>IFERROR(__xludf.DUMMYFUNCTION("""COMPUTED_VALUE"""),"")</f>
        <v/>
      </c>
      <c r="J156" s="53" t="str">
        <f>IFERROR(__xludf.DUMMYFUNCTION("""COMPUTED_VALUE"""),"")</f>
        <v/>
      </c>
      <c r="K156" s="54" t="str">
        <f>IFERROR(__xludf.DUMMYFUNCTION("""COMPUTED_VALUE"""),"")</f>
        <v/>
      </c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6"/>
      <c r="W156" s="56"/>
      <c r="X156" s="56"/>
      <c r="Y156" s="56"/>
      <c r="Z156" s="57"/>
      <c r="AA156" s="58"/>
      <c r="AB156" s="59"/>
    </row>
    <row r="157" ht="13.5" customHeight="1">
      <c r="A157" s="60" t="str">
        <f>IFERROR(__xludf.DUMMYFUNCTION("""COMPUTED_VALUE"""),"")</f>
        <v/>
      </c>
      <c r="B157" s="64" t="str">
        <f>IFERROR(__xludf.DUMMYFUNCTION("""COMPUTED_VALUE"""),"")</f>
        <v/>
      </c>
      <c r="C157" s="63" t="str">
        <f>IFERROR(__xludf.DUMMYFUNCTION("""COMPUTED_VALUE"""),"")</f>
        <v/>
      </c>
      <c r="D157" s="63" t="str">
        <f>IFERROR(__xludf.DUMMYFUNCTION("""COMPUTED_VALUE"""),"")</f>
        <v/>
      </c>
      <c r="E157" s="51" t="str">
        <f>IFERROR(__xludf.DUMMYFUNCTION("""COMPUTED_VALUE"""),"")</f>
        <v/>
      </c>
      <c r="F157" s="64" t="str">
        <f>IFERROR(__xludf.DUMMYFUNCTION("""COMPUTED_VALUE"""),"")</f>
        <v/>
      </c>
      <c r="G157" s="52" t="str">
        <f>IFERROR(__xludf.DUMMYFUNCTION("""COMPUTED_VALUE"""),"")</f>
        <v/>
      </c>
      <c r="H157" s="53" t="str">
        <f>IFERROR(__xludf.DUMMYFUNCTION("""COMPUTED_VALUE"""),"")</f>
        <v/>
      </c>
      <c r="I157" s="53" t="str">
        <f>IFERROR(__xludf.DUMMYFUNCTION("""COMPUTED_VALUE"""),"")</f>
        <v/>
      </c>
      <c r="J157" s="53" t="str">
        <f>IFERROR(__xludf.DUMMYFUNCTION("""COMPUTED_VALUE"""),"")</f>
        <v/>
      </c>
      <c r="K157" s="54" t="str">
        <f>IFERROR(__xludf.DUMMYFUNCTION("""COMPUTED_VALUE"""),"")</f>
        <v/>
      </c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6"/>
      <c r="W157" s="56"/>
      <c r="X157" s="56"/>
      <c r="Y157" s="56"/>
      <c r="Z157" s="57"/>
      <c r="AA157" s="58"/>
      <c r="AB157" s="59"/>
    </row>
    <row r="158" ht="13.5" customHeight="1">
      <c r="A158" s="60" t="str">
        <f>IFERROR(__xludf.DUMMYFUNCTION("""COMPUTED_VALUE"""),"")</f>
        <v/>
      </c>
      <c r="B158" s="64" t="str">
        <f>IFERROR(__xludf.DUMMYFUNCTION("""COMPUTED_VALUE"""),"")</f>
        <v/>
      </c>
      <c r="C158" s="63" t="str">
        <f>IFERROR(__xludf.DUMMYFUNCTION("""COMPUTED_VALUE"""),"")</f>
        <v/>
      </c>
      <c r="D158" s="63" t="str">
        <f>IFERROR(__xludf.DUMMYFUNCTION("""COMPUTED_VALUE"""),"")</f>
        <v/>
      </c>
      <c r="E158" s="51" t="str">
        <f>IFERROR(__xludf.DUMMYFUNCTION("""COMPUTED_VALUE"""),"")</f>
        <v/>
      </c>
      <c r="F158" s="64" t="str">
        <f>IFERROR(__xludf.DUMMYFUNCTION("""COMPUTED_VALUE"""),"")</f>
        <v/>
      </c>
      <c r="G158" s="52" t="str">
        <f>IFERROR(__xludf.DUMMYFUNCTION("""COMPUTED_VALUE"""),"")</f>
        <v/>
      </c>
      <c r="H158" s="53" t="str">
        <f>IFERROR(__xludf.DUMMYFUNCTION("""COMPUTED_VALUE"""),"")</f>
        <v/>
      </c>
      <c r="I158" s="53" t="str">
        <f>IFERROR(__xludf.DUMMYFUNCTION("""COMPUTED_VALUE"""),"")</f>
        <v/>
      </c>
      <c r="J158" s="53" t="str">
        <f>IFERROR(__xludf.DUMMYFUNCTION("""COMPUTED_VALUE"""),"")</f>
        <v/>
      </c>
      <c r="K158" s="54" t="str">
        <f>IFERROR(__xludf.DUMMYFUNCTION("""COMPUTED_VALUE"""),"")</f>
        <v/>
      </c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6"/>
      <c r="W158" s="56"/>
      <c r="X158" s="56"/>
      <c r="Y158" s="56"/>
      <c r="Z158" s="57"/>
      <c r="AA158" s="58"/>
      <c r="AB158" s="59"/>
    </row>
    <row r="159" ht="13.5" customHeight="1">
      <c r="A159" s="60" t="str">
        <f>IFERROR(__xludf.DUMMYFUNCTION("""COMPUTED_VALUE"""),"")</f>
        <v/>
      </c>
      <c r="B159" s="64" t="str">
        <f>IFERROR(__xludf.DUMMYFUNCTION("""COMPUTED_VALUE"""),"")</f>
        <v/>
      </c>
      <c r="C159" s="63" t="str">
        <f>IFERROR(__xludf.DUMMYFUNCTION("""COMPUTED_VALUE"""),"")</f>
        <v/>
      </c>
      <c r="D159" s="63" t="str">
        <f>IFERROR(__xludf.DUMMYFUNCTION("""COMPUTED_VALUE"""),"")</f>
        <v/>
      </c>
      <c r="E159" s="51" t="str">
        <f>IFERROR(__xludf.DUMMYFUNCTION("""COMPUTED_VALUE"""),"")</f>
        <v/>
      </c>
      <c r="F159" s="64" t="str">
        <f>IFERROR(__xludf.DUMMYFUNCTION("""COMPUTED_VALUE"""),"")</f>
        <v/>
      </c>
      <c r="G159" s="52" t="str">
        <f>IFERROR(__xludf.DUMMYFUNCTION("""COMPUTED_VALUE"""),"")</f>
        <v/>
      </c>
      <c r="H159" s="53" t="str">
        <f>IFERROR(__xludf.DUMMYFUNCTION("""COMPUTED_VALUE"""),"")</f>
        <v/>
      </c>
      <c r="I159" s="53" t="str">
        <f>IFERROR(__xludf.DUMMYFUNCTION("""COMPUTED_VALUE"""),"")</f>
        <v/>
      </c>
      <c r="J159" s="53" t="str">
        <f>IFERROR(__xludf.DUMMYFUNCTION("""COMPUTED_VALUE"""),"")</f>
        <v/>
      </c>
      <c r="K159" s="54" t="str">
        <f>IFERROR(__xludf.DUMMYFUNCTION("""COMPUTED_VALUE"""),"")</f>
        <v/>
      </c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6"/>
      <c r="W159" s="56"/>
      <c r="X159" s="56"/>
      <c r="Y159" s="56"/>
      <c r="Z159" s="57"/>
      <c r="AA159" s="58"/>
      <c r="AB159" s="59"/>
    </row>
    <row r="160" ht="13.5" customHeight="1">
      <c r="A160" s="60" t="str">
        <f>IFERROR(__xludf.DUMMYFUNCTION("""COMPUTED_VALUE"""),"")</f>
        <v/>
      </c>
      <c r="B160" s="64" t="str">
        <f>IFERROR(__xludf.DUMMYFUNCTION("""COMPUTED_VALUE"""),"")</f>
        <v/>
      </c>
      <c r="C160" s="63" t="str">
        <f>IFERROR(__xludf.DUMMYFUNCTION("""COMPUTED_VALUE"""),"")</f>
        <v/>
      </c>
      <c r="D160" s="63" t="str">
        <f>IFERROR(__xludf.DUMMYFUNCTION("""COMPUTED_VALUE"""),"")</f>
        <v/>
      </c>
      <c r="E160" s="51" t="str">
        <f>IFERROR(__xludf.DUMMYFUNCTION("""COMPUTED_VALUE"""),"")</f>
        <v/>
      </c>
      <c r="F160" s="64" t="str">
        <f>IFERROR(__xludf.DUMMYFUNCTION("""COMPUTED_VALUE"""),"")</f>
        <v/>
      </c>
      <c r="G160" s="52" t="str">
        <f>IFERROR(__xludf.DUMMYFUNCTION("""COMPUTED_VALUE"""),"")</f>
        <v/>
      </c>
      <c r="H160" s="53" t="str">
        <f>IFERROR(__xludf.DUMMYFUNCTION("""COMPUTED_VALUE"""),"")</f>
        <v/>
      </c>
      <c r="I160" s="53" t="str">
        <f>IFERROR(__xludf.DUMMYFUNCTION("""COMPUTED_VALUE"""),"")</f>
        <v/>
      </c>
      <c r="J160" s="53" t="str">
        <f>IFERROR(__xludf.DUMMYFUNCTION("""COMPUTED_VALUE"""),"")</f>
        <v/>
      </c>
      <c r="K160" s="54" t="str">
        <f>IFERROR(__xludf.DUMMYFUNCTION("""COMPUTED_VALUE"""),"")</f>
        <v/>
      </c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6"/>
      <c r="W160" s="56"/>
      <c r="X160" s="56"/>
      <c r="Y160" s="56"/>
      <c r="Z160" s="57"/>
      <c r="AA160" s="58"/>
      <c r="AB160" s="59"/>
    </row>
    <row r="161" ht="13.5" customHeight="1">
      <c r="A161" s="60" t="str">
        <f>IFERROR(__xludf.DUMMYFUNCTION("""COMPUTED_VALUE"""),"")</f>
        <v/>
      </c>
      <c r="B161" s="64" t="str">
        <f>IFERROR(__xludf.DUMMYFUNCTION("""COMPUTED_VALUE"""),"")</f>
        <v/>
      </c>
      <c r="C161" s="63" t="str">
        <f>IFERROR(__xludf.DUMMYFUNCTION("""COMPUTED_VALUE"""),"")</f>
        <v/>
      </c>
      <c r="D161" s="63" t="str">
        <f>IFERROR(__xludf.DUMMYFUNCTION("""COMPUTED_VALUE"""),"")</f>
        <v/>
      </c>
      <c r="E161" s="51" t="str">
        <f>IFERROR(__xludf.DUMMYFUNCTION("""COMPUTED_VALUE"""),"")</f>
        <v/>
      </c>
      <c r="F161" s="64" t="str">
        <f>IFERROR(__xludf.DUMMYFUNCTION("""COMPUTED_VALUE"""),"")</f>
        <v/>
      </c>
      <c r="G161" s="52" t="str">
        <f>IFERROR(__xludf.DUMMYFUNCTION("""COMPUTED_VALUE"""),"")</f>
        <v/>
      </c>
      <c r="H161" s="53" t="str">
        <f>IFERROR(__xludf.DUMMYFUNCTION("""COMPUTED_VALUE"""),"")</f>
        <v/>
      </c>
      <c r="I161" s="53" t="str">
        <f>IFERROR(__xludf.DUMMYFUNCTION("""COMPUTED_VALUE"""),"")</f>
        <v/>
      </c>
      <c r="J161" s="53" t="str">
        <f>IFERROR(__xludf.DUMMYFUNCTION("""COMPUTED_VALUE"""),"")</f>
        <v/>
      </c>
      <c r="K161" s="54" t="str">
        <f>IFERROR(__xludf.DUMMYFUNCTION("""COMPUTED_VALUE"""),"")</f>
        <v/>
      </c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6"/>
      <c r="W161" s="56"/>
      <c r="X161" s="56"/>
      <c r="Y161" s="56"/>
      <c r="Z161" s="57"/>
      <c r="AA161" s="58"/>
      <c r="AB161" s="59"/>
    </row>
    <row r="162" ht="13.5" customHeight="1">
      <c r="A162" s="60" t="str">
        <f>IFERROR(__xludf.DUMMYFUNCTION("""COMPUTED_VALUE"""),"")</f>
        <v/>
      </c>
      <c r="B162" s="64" t="str">
        <f>IFERROR(__xludf.DUMMYFUNCTION("""COMPUTED_VALUE"""),"")</f>
        <v/>
      </c>
      <c r="C162" s="63" t="str">
        <f>IFERROR(__xludf.DUMMYFUNCTION("""COMPUTED_VALUE"""),"")</f>
        <v/>
      </c>
      <c r="D162" s="63" t="str">
        <f>IFERROR(__xludf.DUMMYFUNCTION("""COMPUTED_VALUE"""),"")</f>
        <v/>
      </c>
      <c r="E162" s="51" t="str">
        <f>IFERROR(__xludf.DUMMYFUNCTION("""COMPUTED_VALUE"""),"")</f>
        <v/>
      </c>
      <c r="F162" s="64" t="str">
        <f>IFERROR(__xludf.DUMMYFUNCTION("""COMPUTED_VALUE"""),"")</f>
        <v/>
      </c>
      <c r="G162" s="52" t="str">
        <f>IFERROR(__xludf.DUMMYFUNCTION("""COMPUTED_VALUE"""),"")</f>
        <v/>
      </c>
      <c r="H162" s="53" t="str">
        <f>IFERROR(__xludf.DUMMYFUNCTION("""COMPUTED_VALUE"""),"")</f>
        <v/>
      </c>
      <c r="I162" s="53" t="str">
        <f>IFERROR(__xludf.DUMMYFUNCTION("""COMPUTED_VALUE"""),"")</f>
        <v/>
      </c>
      <c r="J162" s="53" t="str">
        <f>IFERROR(__xludf.DUMMYFUNCTION("""COMPUTED_VALUE"""),"")</f>
        <v/>
      </c>
      <c r="K162" s="54" t="str">
        <f>IFERROR(__xludf.DUMMYFUNCTION("""COMPUTED_VALUE"""),"")</f>
        <v/>
      </c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6"/>
      <c r="W162" s="56"/>
      <c r="X162" s="56"/>
      <c r="Y162" s="56"/>
      <c r="Z162" s="57"/>
      <c r="AA162" s="58"/>
      <c r="AB162" s="59"/>
    </row>
    <row r="163" ht="13.5" customHeight="1">
      <c r="A163" s="60" t="str">
        <f>IFERROR(__xludf.DUMMYFUNCTION("""COMPUTED_VALUE"""),"")</f>
        <v/>
      </c>
      <c r="B163" s="64" t="str">
        <f>IFERROR(__xludf.DUMMYFUNCTION("""COMPUTED_VALUE"""),"")</f>
        <v/>
      </c>
      <c r="C163" s="63" t="str">
        <f>IFERROR(__xludf.DUMMYFUNCTION("""COMPUTED_VALUE"""),"")</f>
        <v/>
      </c>
      <c r="D163" s="63" t="str">
        <f>IFERROR(__xludf.DUMMYFUNCTION("""COMPUTED_VALUE"""),"")</f>
        <v/>
      </c>
      <c r="E163" s="51" t="str">
        <f>IFERROR(__xludf.DUMMYFUNCTION("""COMPUTED_VALUE"""),"")</f>
        <v/>
      </c>
      <c r="F163" s="64" t="str">
        <f>IFERROR(__xludf.DUMMYFUNCTION("""COMPUTED_VALUE"""),"")</f>
        <v/>
      </c>
      <c r="G163" s="52" t="str">
        <f>IFERROR(__xludf.DUMMYFUNCTION("""COMPUTED_VALUE"""),"")</f>
        <v/>
      </c>
      <c r="H163" s="53" t="str">
        <f>IFERROR(__xludf.DUMMYFUNCTION("""COMPUTED_VALUE"""),"")</f>
        <v/>
      </c>
      <c r="I163" s="53" t="str">
        <f>IFERROR(__xludf.DUMMYFUNCTION("""COMPUTED_VALUE"""),"")</f>
        <v/>
      </c>
      <c r="J163" s="53" t="str">
        <f>IFERROR(__xludf.DUMMYFUNCTION("""COMPUTED_VALUE"""),"")</f>
        <v/>
      </c>
      <c r="K163" s="54" t="str">
        <f>IFERROR(__xludf.DUMMYFUNCTION("""COMPUTED_VALUE"""),"")</f>
        <v/>
      </c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6"/>
      <c r="W163" s="56"/>
      <c r="X163" s="56"/>
      <c r="Y163" s="56"/>
      <c r="Z163" s="57"/>
      <c r="AA163" s="58"/>
      <c r="AB163" s="59"/>
    </row>
    <row r="164" ht="13.5" customHeight="1">
      <c r="A164" s="60" t="str">
        <f>IFERROR(__xludf.DUMMYFUNCTION("""COMPUTED_VALUE"""),"")</f>
        <v/>
      </c>
      <c r="B164" s="64" t="str">
        <f>IFERROR(__xludf.DUMMYFUNCTION("""COMPUTED_VALUE"""),"")</f>
        <v/>
      </c>
      <c r="C164" s="63" t="str">
        <f>IFERROR(__xludf.DUMMYFUNCTION("""COMPUTED_VALUE"""),"")</f>
        <v/>
      </c>
      <c r="D164" s="63" t="str">
        <f>IFERROR(__xludf.DUMMYFUNCTION("""COMPUTED_VALUE"""),"")</f>
        <v/>
      </c>
      <c r="E164" s="51" t="str">
        <f>IFERROR(__xludf.DUMMYFUNCTION("""COMPUTED_VALUE"""),"")</f>
        <v/>
      </c>
      <c r="F164" s="64" t="str">
        <f>IFERROR(__xludf.DUMMYFUNCTION("""COMPUTED_VALUE"""),"")</f>
        <v/>
      </c>
      <c r="G164" s="52" t="str">
        <f>IFERROR(__xludf.DUMMYFUNCTION("""COMPUTED_VALUE"""),"")</f>
        <v/>
      </c>
      <c r="H164" s="53" t="str">
        <f>IFERROR(__xludf.DUMMYFUNCTION("""COMPUTED_VALUE"""),"")</f>
        <v/>
      </c>
      <c r="I164" s="53" t="str">
        <f>IFERROR(__xludf.DUMMYFUNCTION("""COMPUTED_VALUE"""),"")</f>
        <v/>
      </c>
      <c r="J164" s="53" t="str">
        <f>IFERROR(__xludf.DUMMYFUNCTION("""COMPUTED_VALUE"""),"")</f>
        <v/>
      </c>
      <c r="K164" s="54" t="str">
        <f>IFERROR(__xludf.DUMMYFUNCTION("""COMPUTED_VALUE"""),"")</f>
        <v/>
      </c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6"/>
      <c r="W164" s="56"/>
      <c r="X164" s="56"/>
      <c r="Y164" s="56"/>
      <c r="Z164" s="57"/>
      <c r="AA164" s="58"/>
      <c r="AB164" s="59"/>
    </row>
    <row r="165" ht="13.5" customHeight="1">
      <c r="A165" s="60" t="str">
        <f>IFERROR(__xludf.DUMMYFUNCTION("""COMPUTED_VALUE"""),"")</f>
        <v/>
      </c>
      <c r="B165" s="64" t="str">
        <f>IFERROR(__xludf.DUMMYFUNCTION("""COMPUTED_VALUE"""),"")</f>
        <v/>
      </c>
      <c r="C165" s="63" t="str">
        <f>IFERROR(__xludf.DUMMYFUNCTION("""COMPUTED_VALUE"""),"")</f>
        <v/>
      </c>
      <c r="D165" s="63" t="str">
        <f>IFERROR(__xludf.DUMMYFUNCTION("""COMPUTED_VALUE"""),"")</f>
        <v/>
      </c>
      <c r="E165" s="51" t="str">
        <f>IFERROR(__xludf.DUMMYFUNCTION("""COMPUTED_VALUE"""),"")</f>
        <v/>
      </c>
      <c r="F165" s="64" t="str">
        <f>IFERROR(__xludf.DUMMYFUNCTION("""COMPUTED_VALUE"""),"")</f>
        <v/>
      </c>
      <c r="G165" s="52" t="str">
        <f>IFERROR(__xludf.DUMMYFUNCTION("""COMPUTED_VALUE"""),"")</f>
        <v/>
      </c>
      <c r="H165" s="53" t="str">
        <f>IFERROR(__xludf.DUMMYFUNCTION("""COMPUTED_VALUE"""),"")</f>
        <v/>
      </c>
      <c r="I165" s="53" t="str">
        <f>IFERROR(__xludf.DUMMYFUNCTION("""COMPUTED_VALUE"""),"")</f>
        <v/>
      </c>
      <c r="J165" s="53" t="str">
        <f>IFERROR(__xludf.DUMMYFUNCTION("""COMPUTED_VALUE"""),"")</f>
        <v/>
      </c>
      <c r="K165" s="54" t="str">
        <f>IFERROR(__xludf.DUMMYFUNCTION("""COMPUTED_VALUE"""),"")</f>
        <v/>
      </c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6"/>
      <c r="W165" s="56"/>
      <c r="X165" s="56"/>
      <c r="Y165" s="56"/>
      <c r="Z165" s="57"/>
      <c r="AA165" s="58"/>
      <c r="AB165" s="59"/>
    </row>
    <row r="166" ht="13.5" customHeight="1">
      <c r="A166" s="60" t="str">
        <f>IFERROR(__xludf.DUMMYFUNCTION("""COMPUTED_VALUE"""),"")</f>
        <v/>
      </c>
      <c r="B166" s="64" t="str">
        <f>IFERROR(__xludf.DUMMYFUNCTION("""COMPUTED_VALUE"""),"")</f>
        <v/>
      </c>
      <c r="C166" s="63" t="str">
        <f>IFERROR(__xludf.DUMMYFUNCTION("""COMPUTED_VALUE"""),"")</f>
        <v/>
      </c>
      <c r="D166" s="63" t="str">
        <f>IFERROR(__xludf.DUMMYFUNCTION("""COMPUTED_VALUE"""),"")</f>
        <v/>
      </c>
      <c r="E166" s="51" t="str">
        <f>IFERROR(__xludf.DUMMYFUNCTION("""COMPUTED_VALUE"""),"")</f>
        <v/>
      </c>
      <c r="F166" s="64" t="str">
        <f>IFERROR(__xludf.DUMMYFUNCTION("""COMPUTED_VALUE"""),"")</f>
        <v/>
      </c>
      <c r="G166" s="52" t="str">
        <f>IFERROR(__xludf.DUMMYFUNCTION("""COMPUTED_VALUE"""),"")</f>
        <v/>
      </c>
      <c r="H166" s="53" t="str">
        <f>IFERROR(__xludf.DUMMYFUNCTION("""COMPUTED_VALUE"""),"")</f>
        <v/>
      </c>
      <c r="I166" s="53" t="str">
        <f>IFERROR(__xludf.DUMMYFUNCTION("""COMPUTED_VALUE"""),"")</f>
        <v/>
      </c>
      <c r="J166" s="53" t="str">
        <f>IFERROR(__xludf.DUMMYFUNCTION("""COMPUTED_VALUE"""),"")</f>
        <v/>
      </c>
      <c r="K166" s="54" t="str">
        <f>IFERROR(__xludf.DUMMYFUNCTION("""COMPUTED_VALUE"""),"")</f>
        <v/>
      </c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6"/>
      <c r="W166" s="56"/>
      <c r="X166" s="56"/>
      <c r="Y166" s="56"/>
      <c r="Z166" s="57"/>
      <c r="AA166" s="58"/>
      <c r="AB166" s="59"/>
    </row>
    <row r="167" ht="13.5" customHeight="1">
      <c r="A167" s="60" t="str">
        <f>IFERROR(__xludf.DUMMYFUNCTION("""COMPUTED_VALUE"""),"")</f>
        <v/>
      </c>
      <c r="B167" s="64" t="str">
        <f>IFERROR(__xludf.DUMMYFUNCTION("""COMPUTED_VALUE"""),"")</f>
        <v/>
      </c>
      <c r="C167" s="63" t="str">
        <f>IFERROR(__xludf.DUMMYFUNCTION("""COMPUTED_VALUE"""),"")</f>
        <v/>
      </c>
      <c r="D167" s="63" t="str">
        <f>IFERROR(__xludf.DUMMYFUNCTION("""COMPUTED_VALUE"""),"")</f>
        <v/>
      </c>
      <c r="E167" s="51" t="str">
        <f>IFERROR(__xludf.DUMMYFUNCTION("""COMPUTED_VALUE"""),"")</f>
        <v/>
      </c>
      <c r="F167" s="64" t="str">
        <f>IFERROR(__xludf.DUMMYFUNCTION("""COMPUTED_VALUE"""),"")</f>
        <v/>
      </c>
      <c r="G167" s="52" t="str">
        <f>IFERROR(__xludf.DUMMYFUNCTION("""COMPUTED_VALUE"""),"")</f>
        <v/>
      </c>
      <c r="H167" s="53" t="str">
        <f>IFERROR(__xludf.DUMMYFUNCTION("""COMPUTED_VALUE"""),"")</f>
        <v/>
      </c>
      <c r="I167" s="53" t="str">
        <f>IFERROR(__xludf.DUMMYFUNCTION("""COMPUTED_VALUE"""),"")</f>
        <v/>
      </c>
      <c r="J167" s="53" t="str">
        <f>IFERROR(__xludf.DUMMYFUNCTION("""COMPUTED_VALUE"""),"")</f>
        <v/>
      </c>
      <c r="K167" s="54" t="str">
        <f>IFERROR(__xludf.DUMMYFUNCTION("""COMPUTED_VALUE"""),"")</f>
        <v/>
      </c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6"/>
      <c r="W167" s="56"/>
      <c r="X167" s="56"/>
      <c r="Y167" s="56"/>
      <c r="Z167" s="57"/>
      <c r="AA167" s="58"/>
      <c r="AB167" s="59"/>
    </row>
    <row r="168" ht="13.5" customHeight="1">
      <c r="A168" s="60" t="str">
        <f>IFERROR(__xludf.DUMMYFUNCTION("""COMPUTED_VALUE"""),"")</f>
        <v/>
      </c>
      <c r="B168" s="64" t="str">
        <f>IFERROR(__xludf.DUMMYFUNCTION("""COMPUTED_VALUE"""),"")</f>
        <v/>
      </c>
      <c r="C168" s="63" t="str">
        <f>IFERROR(__xludf.DUMMYFUNCTION("""COMPUTED_VALUE"""),"")</f>
        <v/>
      </c>
      <c r="D168" s="63" t="str">
        <f>IFERROR(__xludf.DUMMYFUNCTION("""COMPUTED_VALUE"""),"")</f>
        <v/>
      </c>
      <c r="E168" s="51" t="str">
        <f>IFERROR(__xludf.DUMMYFUNCTION("""COMPUTED_VALUE"""),"")</f>
        <v/>
      </c>
      <c r="F168" s="64" t="str">
        <f>IFERROR(__xludf.DUMMYFUNCTION("""COMPUTED_VALUE"""),"")</f>
        <v/>
      </c>
      <c r="G168" s="52" t="str">
        <f>IFERROR(__xludf.DUMMYFUNCTION("""COMPUTED_VALUE"""),"")</f>
        <v/>
      </c>
      <c r="H168" s="53" t="str">
        <f>IFERROR(__xludf.DUMMYFUNCTION("""COMPUTED_VALUE"""),"")</f>
        <v/>
      </c>
      <c r="I168" s="53" t="str">
        <f>IFERROR(__xludf.DUMMYFUNCTION("""COMPUTED_VALUE"""),"")</f>
        <v/>
      </c>
      <c r="J168" s="53" t="str">
        <f>IFERROR(__xludf.DUMMYFUNCTION("""COMPUTED_VALUE"""),"")</f>
        <v/>
      </c>
      <c r="K168" s="54" t="str">
        <f>IFERROR(__xludf.DUMMYFUNCTION("""COMPUTED_VALUE"""),"")</f>
        <v/>
      </c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6"/>
      <c r="W168" s="56"/>
      <c r="X168" s="56"/>
      <c r="Y168" s="56"/>
      <c r="Z168" s="57"/>
      <c r="AA168" s="58"/>
      <c r="AB168" s="59"/>
    </row>
    <row r="169" ht="13.5" customHeight="1">
      <c r="A169" s="60" t="str">
        <f>IFERROR(__xludf.DUMMYFUNCTION("""COMPUTED_VALUE"""),"")</f>
        <v/>
      </c>
      <c r="B169" s="64" t="str">
        <f>IFERROR(__xludf.DUMMYFUNCTION("""COMPUTED_VALUE"""),"")</f>
        <v/>
      </c>
      <c r="C169" s="63" t="str">
        <f>IFERROR(__xludf.DUMMYFUNCTION("""COMPUTED_VALUE"""),"")</f>
        <v/>
      </c>
      <c r="D169" s="63" t="str">
        <f>IFERROR(__xludf.DUMMYFUNCTION("""COMPUTED_VALUE"""),"")</f>
        <v/>
      </c>
      <c r="E169" s="51" t="str">
        <f>IFERROR(__xludf.DUMMYFUNCTION("""COMPUTED_VALUE"""),"")</f>
        <v/>
      </c>
      <c r="F169" s="64" t="str">
        <f>IFERROR(__xludf.DUMMYFUNCTION("""COMPUTED_VALUE"""),"")</f>
        <v/>
      </c>
      <c r="G169" s="52" t="str">
        <f>IFERROR(__xludf.DUMMYFUNCTION("""COMPUTED_VALUE"""),"")</f>
        <v/>
      </c>
      <c r="H169" s="53" t="str">
        <f>IFERROR(__xludf.DUMMYFUNCTION("""COMPUTED_VALUE"""),"")</f>
        <v/>
      </c>
      <c r="I169" s="53" t="str">
        <f>IFERROR(__xludf.DUMMYFUNCTION("""COMPUTED_VALUE"""),"")</f>
        <v/>
      </c>
      <c r="J169" s="53" t="str">
        <f>IFERROR(__xludf.DUMMYFUNCTION("""COMPUTED_VALUE"""),"")</f>
        <v/>
      </c>
      <c r="K169" s="54" t="str">
        <f>IFERROR(__xludf.DUMMYFUNCTION("""COMPUTED_VALUE"""),"")</f>
        <v/>
      </c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6"/>
      <c r="W169" s="56"/>
      <c r="X169" s="56"/>
      <c r="Y169" s="56"/>
      <c r="Z169" s="57"/>
      <c r="AA169" s="58"/>
      <c r="AB169" s="59"/>
    </row>
    <row r="170" ht="13.5" customHeight="1">
      <c r="A170" s="60" t="str">
        <f>IFERROR(__xludf.DUMMYFUNCTION("""COMPUTED_VALUE"""),"")</f>
        <v/>
      </c>
      <c r="B170" s="64" t="str">
        <f>IFERROR(__xludf.DUMMYFUNCTION("""COMPUTED_VALUE"""),"")</f>
        <v/>
      </c>
      <c r="C170" s="63" t="str">
        <f>IFERROR(__xludf.DUMMYFUNCTION("""COMPUTED_VALUE"""),"")</f>
        <v/>
      </c>
      <c r="D170" s="63" t="str">
        <f>IFERROR(__xludf.DUMMYFUNCTION("""COMPUTED_VALUE"""),"")</f>
        <v/>
      </c>
      <c r="E170" s="51" t="str">
        <f>IFERROR(__xludf.DUMMYFUNCTION("""COMPUTED_VALUE"""),"")</f>
        <v/>
      </c>
      <c r="F170" s="64" t="str">
        <f>IFERROR(__xludf.DUMMYFUNCTION("""COMPUTED_VALUE"""),"")</f>
        <v/>
      </c>
      <c r="G170" s="52" t="str">
        <f>IFERROR(__xludf.DUMMYFUNCTION("""COMPUTED_VALUE"""),"")</f>
        <v/>
      </c>
      <c r="H170" s="53" t="str">
        <f>IFERROR(__xludf.DUMMYFUNCTION("""COMPUTED_VALUE"""),"")</f>
        <v/>
      </c>
      <c r="I170" s="53" t="str">
        <f>IFERROR(__xludf.DUMMYFUNCTION("""COMPUTED_VALUE"""),"")</f>
        <v/>
      </c>
      <c r="J170" s="53" t="str">
        <f>IFERROR(__xludf.DUMMYFUNCTION("""COMPUTED_VALUE"""),"")</f>
        <v/>
      </c>
      <c r="K170" s="54" t="str">
        <f>IFERROR(__xludf.DUMMYFUNCTION("""COMPUTED_VALUE"""),"")</f>
        <v/>
      </c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6"/>
      <c r="W170" s="56"/>
      <c r="X170" s="56"/>
      <c r="Y170" s="56"/>
      <c r="Z170" s="57"/>
      <c r="AA170" s="58"/>
      <c r="AB170" s="58"/>
    </row>
    <row r="171" ht="13.5" customHeight="1">
      <c r="A171" s="60" t="str">
        <f>IFERROR(__xludf.DUMMYFUNCTION("""COMPUTED_VALUE"""),"")</f>
        <v/>
      </c>
      <c r="B171" s="64" t="str">
        <f>IFERROR(__xludf.DUMMYFUNCTION("""COMPUTED_VALUE"""),"")</f>
        <v/>
      </c>
      <c r="C171" s="63" t="str">
        <f>IFERROR(__xludf.DUMMYFUNCTION("""COMPUTED_VALUE"""),"")</f>
        <v/>
      </c>
      <c r="D171" s="63" t="str">
        <f>IFERROR(__xludf.DUMMYFUNCTION("""COMPUTED_VALUE"""),"")</f>
        <v/>
      </c>
      <c r="E171" s="51" t="str">
        <f>IFERROR(__xludf.DUMMYFUNCTION("""COMPUTED_VALUE"""),"")</f>
        <v/>
      </c>
      <c r="F171" s="64" t="str">
        <f>IFERROR(__xludf.DUMMYFUNCTION("""COMPUTED_VALUE"""),"")</f>
        <v/>
      </c>
      <c r="G171" s="52" t="str">
        <f>IFERROR(__xludf.DUMMYFUNCTION("""COMPUTED_VALUE"""),"")</f>
        <v/>
      </c>
      <c r="H171" s="53" t="str">
        <f>IFERROR(__xludf.DUMMYFUNCTION("""COMPUTED_VALUE"""),"")</f>
        <v/>
      </c>
      <c r="I171" s="53" t="str">
        <f>IFERROR(__xludf.DUMMYFUNCTION("""COMPUTED_VALUE"""),"")</f>
        <v/>
      </c>
      <c r="J171" s="53" t="str">
        <f>IFERROR(__xludf.DUMMYFUNCTION("""COMPUTED_VALUE"""),"")</f>
        <v/>
      </c>
      <c r="K171" s="54" t="str">
        <f>IFERROR(__xludf.DUMMYFUNCTION("""COMPUTED_VALUE"""),"")</f>
        <v/>
      </c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6"/>
      <c r="W171" s="56"/>
      <c r="X171" s="56"/>
      <c r="Y171" s="56"/>
      <c r="Z171" s="57"/>
      <c r="AA171" s="58"/>
      <c r="AB171" s="58"/>
    </row>
    <row r="172" ht="13.5" customHeight="1">
      <c r="A172" s="60" t="str">
        <f>IFERROR(__xludf.DUMMYFUNCTION("""COMPUTED_VALUE"""),"")</f>
        <v/>
      </c>
      <c r="B172" s="64" t="str">
        <f>IFERROR(__xludf.DUMMYFUNCTION("""COMPUTED_VALUE"""),"")</f>
        <v/>
      </c>
      <c r="C172" s="63" t="str">
        <f>IFERROR(__xludf.DUMMYFUNCTION("""COMPUTED_VALUE"""),"")</f>
        <v/>
      </c>
      <c r="D172" s="63" t="str">
        <f>IFERROR(__xludf.DUMMYFUNCTION("""COMPUTED_VALUE"""),"")</f>
        <v/>
      </c>
      <c r="E172" s="51" t="str">
        <f>IFERROR(__xludf.DUMMYFUNCTION("""COMPUTED_VALUE"""),"")</f>
        <v/>
      </c>
      <c r="F172" s="64" t="str">
        <f>IFERROR(__xludf.DUMMYFUNCTION("""COMPUTED_VALUE"""),"")</f>
        <v/>
      </c>
      <c r="G172" s="52" t="str">
        <f>IFERROR(__xludf.DUMMYFUNCTION("""COMPUTED_VALUE"""),"")</f>
        <v/>
      </c>
      <c r="H172" s="53" t="str">
        <f>IFERROR(__xludf.DUMMYFUNCTION("""COMPUTED_VALUE"""),"")</f>
        <v/>
      </c>
      <c r="I172" s="53" t="str">
        <f>IFERROR(__xludf.DUMMYFUNCTION("""COMPUTED_VALUE"""),"")</f>
        <v/>
      </c>
      <c r="J172" s="53" t="str">
        <f>IFERROR(__xludf.DUMMYFUNCTION("""COMPUTED_VALUE"""),"")</f>
        <v/>
      </c>
      <c r="K172" s="54" t="str">
        <f>IFERROR(__xludf.DUMMYFUNCTION("""COMPUTED_VALUE"""),"")</f>
        <v/>
      </c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6"/>
      <c r="W172" s="56"/>
      <c r="X172" s="56"/>
      <c r="Y172" s="56"/>
      <c r="Z172" s="57"/>
      <c r="AA172" s="58"/>
      <c r="AB172" s="58"/>
    </row>
    <row r="173" ht="13.5" customHeight="1">
      <c r="A173" s="60" t="str">
        <f>IFERROR(__xludf.DUMMYFUNCTION("""COMPUTED_VALUE"""),"")</f>
        <v/>
      </c>
      <c r="B173" s="64" t="str">
        <f>IFERROR(__xludf.DUMMYFUNCTION("""COMPUTED_VALUE"""),"")</f>
        <v/>
      </c>
      <c r="C173" s="63" t="str">
        <f>IFERROR(__xludf.DUMMYFUNCTION("""COMPUTED_VALUE"""),"")</f>
        <v/>
      </c>
      <c r="D173" s="63" t="str">
        <f>IFERROR(__xludf.DUMMYFUNCTION("""COMPUTED_VALUE"""),"")</f>
        <v/>
      </c>
      <c r="E173" s="51" t="str">
        <f>IFERROR(__xludf.DUMMYFUNCTION("""COMPUTED_VALUE"""),"")</f>
        <v/>
      </c>
      <c r="F173" s="64" t="str">
        <f>IFERROR(__xludf.DUMMYFUNCTION("""COMPUTED_VALUE"""),"")</f>
        <v/>
      </c>
      <c r="G173" s="52" t="str">
        <f>IFERROR(__xludf.DUMMYFUNCTION("""COMPUTED_VALUE"""),"")</f>
        <v/>
      </c>
      <c r="H173" s="53" t="str">
        <f>IFERROR(__xludf.DUMMYFUNCTION("""COMPUTED_VALUE"""),"")</f>
        <v/>
      </c>
      <c r="I173" s="53" t="str">
        <f>IFERROR(__xludf.DUMMYFUNCTION("""COMPUTED_VALUE"""),"")</f>
        <v/>
      </c>
      <c r="J173" s="53" t="str">
        <f>IFERROR(__xludf.DUMMYFUNCTION("""COMPUTED_VALUE"""),"")</f>
        <v/>
      </c>
      <c r="K173" s="54" t="str">
        <f>IFERROR(__xludf.DUMMYFUNCTION("""COMPUTED_VALUE"""),"")</f>
        <v/>
      </c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6"/>
      <c r="W173" s="56"/>
      <c r="X173" s="56"/>
      <c r="Y173" s="56"/>
      <c r="Z173" s="57"/>
      <c r="AA173" s="58"/>
      <c r="AB173" s="58"/>
    </row>
    <row r="174" ht="13.5" customHeight="1">
      <c r="A174" s="60" t="str">
        <f>IFERROR(__xludf.DUMMYFUNCTION("""COMPUTED_VALUE"""),"")</f>
        <v/>
      </c>
      <c r="B174" s="64" t="str">
        <f>IFERROR(__xludf.DUMMYFUNCTION("""COMPUTED_VALUE"""),"")</f>
        <v/>
      </c>
      <c r="C174" s="63" t="str">
        <f>IFERROR(__xludf.DUMMYFUNCTION("""COMPUTED_VALUE"""),"")</f>
        <v/>
      </c>
      <c r="D174" s="63" t="str">
        <f>IFERROR(__xludf.DUMMYFUNCTION("""COMPUTED_VALUE"""),"")</f>
        <v/>
      </c>
      <c r="E174" s="51" t="str">
        <f>IFERROR(__xludf.DUMMYFUNCTION("""COMPUTED_VALUE"""),"")</f>
        <v/>
      </c>
      <c r="F174" s="64" t="str">
        <f>IFERROR(__xludf.DUMMYFUNCTION("""COMPUTED_VALUE"""),"")</f>
        <v/>
      </c>
      <c r="G174" s="52" t="str">
        <f>IFERROR(__xludf.DUMMYFUNCTION("""COMPUTED_VALUE"""),"")</f>
        <v/>
      </c>
      <c r="H174" s="53" t="str">
        <f>IFERROR(__xludf.DUMMYFUNCTION("""COMPUTED_VALUE"""),"")</f>
        <v/>
      </c>
      <c r="I174" s="53" t="str">
        <f>IFERROR(__xludf.DUMMYFUNCTION("""COMPUTED_VALUE"""),"")</f>
        <v/>
      </c>
      <c r="J174" s="53" t="str">
        <f>IFERROR(__xludf.DUMMYFUNCTION("""COMPUTED_VALUE"""),"")</f>
        <v/>
      </c>
      <c r="K174" s="54" t="str">
        <f>IFERROR(__xludf.DUMMYFUNCTION("""COMPUTED_VALUE"""),"")</f>
        <v/>
      </c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6"/>
      <c r="W174" s="56"/>
      <c r="X174" s="56"/>
      <c r="Y174" s="56"/>
      <c r="Z174" s="57"/>
      <c r="AA174" s="58"/>
      <c r="AB174" s="58"/>
    </row>
    <row r="175" ht="13.5" customHeight="1">
      <c r="A175" s="60" t="str">
        <f>IFERROR(__xludf.DUMMYFUNCTION("""COMPUTED_VALUE"""),"")</f>
        <v/>
      </c>
      <c r="B175" s="64" t="str">
        <f>IFERROR(__xludf.DUMMYFUNCTION("""COMPUTED_VALUE"""),"")</f>
        <v/>
      </c>
      <c r="C175" s="63" t="str">
        <f>IFERROR(__xludf.DUMMYFUNCTION("""COMPUTED_VALUE"""),"")</f>
        <v/>
      </c>
      <c r="D175" s="63" t="str">
        <f>IFERROR(__xludf.DUMMYFUNCTION("""COMPUTED_VALUE"""),"")</f>
        <v/>
      </c>
      <c r="E175" s="51" t="str">
        <f>IFERROR(__xludf.DUMMYFUNCTION("""COMPUTED_VALUE"""),"")</f>
        <v/>
      </c>
      <c r="F175" s="64" t="str">
        <f>IFERROR(__xludf.DUMMYFUNCTION("""COMPUTED_VALUE"""),"")</f>
        <v/>
      </c>
      <c r="G175" s="52" t="str">
        <f>IFERROR(__xludf.DUMMYFUNCTION("""COMPUTED_VALUE"""),"")</f>
        <v/>
      </c>
      <c r="H175" s="53" t="str">
        <f>IFERROR(__xludf.DUMMYFUNCTION("""COMPUTED_VALUE"""),"")</f>
        <v/>
      </c>
      <c r="I175" s="53" t="str">
        <f>IFERROR(__xludf.DUMMYFUNCTION("""COMPUTED_VALUE"""),"")</f>
        <v/>
      </c>
      <c r="J175" s="53" t="str">
        <f>IFERROR(__xludf.DUMMYFUNCTION("""COMPUTED_VALUE"""),"")</f>
        <v/>
      </c>
      <c r="K175" s="54" t="str">
        <f>IFERROR(__xludf.DUMMYFUNCTION("""COMPUTED_VALUE"""),"")</f>
        <v/>
      </c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6"/>
      <c r="W175" s="56"/>
      <c r="X175" s="56"/>
      <c r="Y175" s="56"/>
      <c r="Z175" s="57"/>
      <c r="AA175" s="58"/>
      <c r="AB175" s="58"/>
    </row>
    <row r="176" ht="13.5" customHeight="1">
      <c r="A176" s="60" t="str">
        <f>IFERROR(__xludf.DUMMYFUNCTION("""COMPUTED_VALUE"""),"")</f>
        <v/>
      </c>
      <c r="B176" s="64" t="str">
        <f>IFERROR(__xludf.DUMMYFUNCTION("""COMPUTED_VALUE"""),"")</f>
        <v/>
      </c>
      <c r="C176" s="63" t="str">
        <f>IFERROR(__xludf.DUMMYFUNCTION("""COMPUTED_VALUE"""),"")</f>
        <v/>
      </c>
      <c r="D176" s="63" t="str">
        <f>IFERROR(__xludf.DUMMYFUNCTION("""COMPUTED_VALUE"""),"")</f>
        <v/>
      </c>
      <c r="E176" s="51" t="str">
        <f>IFERROR(__xludf.DUMMYFUNCTION("""COMPUTED_VALUE"""),"")</f>
        <v/>
      </c>
      <c r="F176" s="64" t="str">
        <f>IFERROR(__xludf.DUMMYFUNCTION("""COMPUTED_VALUE"""),"")</f>
        <v/>
      </c>
      <c r="G176" s="52" t="str">
        <f>IFERROR(__xludf.DUMMYFUNCTION("""COMPUTED_VALUE"""),"")</f>
        <v/>
      </c>
      <c r="H176" s="53" t="str">
        <f>IFERROR(__xludf.DUMMYFUNCTION("""COMPUTED_VALUE"""),"")</f>
        <v/>
      </c>
      <c r="I176" s="53" t="str">
        <f>IFERROR(__xludf.DUMMYFUNCTION("""COMPUTED_VALUE"""),"")</f>
        <v/>
      </c>
      <c r="J176" s="53" t="str">
        <f>IFERROR(__xludf.DUMMYFUNCTION("""COMPUTED_VALUE"""),"")</f>
        <v/>
      </c>
      <c r="K176" s="54" t="str">
        <f>IFERROR(__xludf.DUMMYFUNCTION("""COMPUTED_VALUE"""),"")</f>
        <v/>
      </c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6"/>
      <c r="W176" s="56"/>
      <c r="X176" s="56"/>
      <c r="Y176" s="56"/>
      <c r="Z176" s="57"/>
      <c r="AA176" s="58"/>
      <c r="AB176" s="58"/>
    </row>
    <row r="177" ht="13.5" customHeight="1">
      <c r="A177" s="60" t="str">
        <f>IFERROR(__xludf.DUMMYFUNCTION("""COMPUTED_VALUE"""),"")</f>
        <v/>
      </c>
      <c r="B177" s="64" t="str">
        <f>IFERROR(__xludf.DUMMYFUNCTION("""COMPUTED_VALUE"""),"")</f>
        <v/>
      </c>
      <c r="C177" s="63" t="str">
        <f>IFERROR(__xludf.DUMMYFUNCTION("""COMPUTED_VALUE"""),"")</f>
        <v/>
      </c>
      <c r="D177" s="63" t="str">
        <f>IFERROR(__xludf.DUMMYFUNCTION("""COMPUTED_VALUE"""),"")</f>
        <v/>
      </c>
      <c r="E177" s="51" t="str">
        <f>IFERROR(__xludf.DUMMYFUNCTION("""COMPUTED_VALUE"""),"")</f>
        <v/>
      </c>
      <c r="F177" s="64" t="str">
        <f>IFERROR(__xludf.DUMMYFUNCTION("""COMPUTED_VALUE"""),"")</f>
        <v/>
      </c>
      <c r="G177" s="52" t="str">
        <f>IFERROR(__xludf.DUMMYFUNCTION("""COMPUTED_VALUE"""),"")</f>
        <v/>
      </c>
      <c r="H177" s="53" t="str">
        <f>IFERROR(__xludf.DUMMYFUNCTION("""COMPUTED_VALUE"""),"")</f>
        <v/>
      </c>
      <c r="I177" s="53" t="str">
        <f>IFERROR(__xludf.DUMMYFUNCTION("""COMPUTED_VALUE"""),"")</f>
        <v/>
      </c>
      <c r="J177" s="53" t="str">
        <f>IFERROR(__xludf.DUMMYFUNCTION("""COMPUTED_VALUE"""),"")</f>
        <v/>
      </c>
      <c r="K177" s="54" t="str">
        <f>IFERROR(__xludf.DUMMYFUNCTION("""COMPUTED_VALUE"""),"")</f>
        <v/>
      </c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6"/>
      <c r="W177" s="56"/>
      <c r="X177" s="56"/>
      <c r="Y177" s="56"/>
      <c r="Z177" s="57"/>
      <c r="AA177" s="58"/>
      <c r="AB177" s="58"/>
    </row>
    <row r="178" ht="13.5" customHeight="1">
      <c r="A178" s="60" t="str">
        <f>IFERROR(__xludf.DUMMYFUNCTION("""COMPUTED_VALUE"""),"")</f>
        <v/>
      </c>
      <c r="B178" s="64" t="str">
        <f>IFERROR(__xludf.DUMMYFUNCTION("""COMPUTED_VALUE"""),"")</f>
        <v/>
      </c>
      <c r="C178" s="63" t="str">
        <f>IFERROR(__xludf.DUMMYFUNCTION("""COMPUTED_VALUE"""),"")</f>
        <v/>
      </c>
      <c r="D178" s="63" t="str">
        <f>IFERROR(__xludf.DUMMYFUNCTION("""COMPUTED_VALUE"""),"")</f>
        <v/>
      </c>
      <c r="E178" s="51" t="str">
        <f>IFERROR(__xludf.DUMMYFUNCTION("""COMPUTED_VALUE"""),"")</f>
        <v/>
      </c>
      <c r="F178" s="64" t="str">
        <f>IFERROR(__xludf.DUMMYFUNCTION("""COMPUTED_VALUE"""),"")</f>
        <v/>
      </c>
      <c r="G178" s="52" t="str">
        <f>IFERROR(__xludf.DUMMYFUNCTION("""COMPUTED_VALUE"""),"")</f>
        <v/>
      </c>
      <c r="H178" s="53" t="str">
        <f>IFERROR(__xludf.DUMMYFUNCTION("""COMPUTED_VALUE"""),"")</f>
        <v/>
      </c>
      <c r="I178" s="53" t="str">
        <f>IFERROR(__xludf.DUMMYFUNCTION("""COMPUTED_VALUE"""),"")</f>
        <v/>
      </c>
      <c r="J178" s="53" t="str">
        <f>IFERROR(__xludf.DUMMYFUNCTION("""COMPUTED_VALUE"""),"")</f>
        <v/>
      </c>
      <c r="K178" s="54" t="str">
        <f>IFERROR(__xludf.DUMMYFUNCTION("""COMPUTED_VALUE"""),"")</f>
        <v/>
      </c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6"/>
      <c r="W178" s="56"/>
      <c r="X178" s="56"/>
      <c r="Y178" s="56"/>
      <c r="Z178" s="57"/>
      <c r="AA178" s="58"/>
      <c r="AB178" s="58"/>
    </row>
    <row r="179" ht="13.5" customHeight="1">
      <c r="A179" s="60" t="str">
        <f>IFERROR(__xludf.DUMMYFUNCTION("""COMPUTED_VALUE"""),"")</f>
        <v/>
      </c>
      <c r="B179" s="64" t="str">
        <f>IFERROR(__xludf.DUMMYFUNCTION("""COMPUTED_VALUE"""),"")</f>
        <v/>
      </c>
      <c r="C179" s="63" t="str">
        <f>IFERROR(__xludf.DUMMYFUNCTION("""COMPUTED_VALUE"""),"")</f>
        <v/>
      </c>
      <c r="D179" s="63" t="str">
        <f>IFERROR(__xludf.DUMMYFUNCTION("""COMPUTED_VALUE"""),"")</f>
        <v/>
      </c>
      <c r="E179" s="51" t="str">
        <f>IFERROR(__xludf.DUMMYFUNCTION("""COMPUTED_VALUE"""),"")</f>
        <v/>
      </c>
      <c r="F179" s="64" t="str">
        <f>IFERROR(__xludf.DUMMYFUNCTION("""COMPUTED_VALUE"""),"")</f>
        <v/>
      </c>
      <c r="G179" s="52" t="str">
        <f>IFERROR(__xludf.DUMMYFUNCTION("""COMPUTED_VALUE"""),"")</f>
        <v/>
      </c>
      <c r="H179" s="53" t="str">
        <f>IFERROR(__xludf.DUMMYFUNCTION("""COMPUTED_VALUE"""),"")</f>
        <v/>
      </c>
      <c r="I179" s="53" t="str">
        <f>IFERROR(__xludf.DUMMYFUNCTION("""COMPUTED_VALUE"""),"")</f>
        <v/>
      </c>
      <c r="J179" s="53" t="str">
        <f>IFERROR(__xludf.DUMMYFUNCTION("""COMPUTED_VALUE"""),"")</f>
        <v/>
      </c>
      <c r="K179" s="54" t="str">
        <f>IFERROR(__xludf.DUMMYFUNCTION("""COMPUTED_VALUE"""),"")</f>
        <v/>
      </c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6"/>
      <c r="W179" s="56"/>
      <c r="X179" s="56"/>
      <c r="Y179" s="56"/>
      <c r="Z179" s="57"/>
      <c r="AA179" s="58"/>
      <c r="AB179" s="58"/>
    </row>
    <row r="180" ht="13.5" customHeight="1">
      <c r="A180" s="60" t="str">
        <f>IFERROR(__xludf.DUMMYFUNCTION("""COMPUTED_VALUE"""),"")</f>
        <v/>
      </c>
      <c r="B180" s="64" t="str">
        <f>IFERROR(__xludf.DUMMYFUNCTION("""COMPUTED_VALUE"""),"")</f>
        <v/>
      </c>
      <c r="C180" s="63" t="str">
        <f>IFERROR(__xludf.DUMMYFUNCTION("""COMPUTED_VALUE"""),"")</f>
        <v/>
      </c>
      <c r="D180" s="63" t="str">
        <f>IFERROR(__xludf.DUMMYFUNCTION("""COMPUTED_VALUE"""),"")</f>
        <v/>
      </c>
      <c r="E180" s="51" t="str">
        <f>IFERROR(__xludf.DUMMYFUNCTION("""COMPUTED_VALUE"""),"")</f>
        <v/>
      </c>
      <c r="F180" s="64" t="str">
        <f>IFERROR(__xludf.DUMMYFUNCTION("""COMPUTED_VALUE"""),"")</f>
        <v/>
      </c>
      <c r="G180" s="52" t="str">
        <f>IFERROR(__xludf.DUMMYFUNCTION("""COMPUTED_VALUE"""),"")</f>
        <v/>
      </c>
      <c r="H180" s="53" t="str">
        <f>IFERROR(__xludf.DUMMYFUNCTION("""COMPUTED_VALUE"""),"")</f>
        <v/>
      </c>
      <c r="I180" s="53" t="str">
        <f>IFERROR(__xludf.DUMMYFUNCTION("""COMPUTED_VALUE"""),"")</f>
        <v/>
      </c>
      <c r="J180" s="53" t="str">
        <f>IFERROR(__xludf.DUMMYFUNCTION("""COMPUTED_VALUE"""),"")</f>
        <v/>
      </c>
      <c r="K180" s="54" t="str">
        <f>IFERROR(__xludf.DUMMYFUNCTION("""COMPUTED_VALUE"""),"")</f>
        <v/>
      </c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6"/>
      <c r="W180" s="56"/>
      <c r="X180" s="56"/>
      <c r="Y180" s="56"/>
      <c r="Z180" s="57"/>
      <c r="AA180" s="58"/>
      <c r="AB180" s="58"/>
    </row>
    <row r="181" ht="13.5" customHeight="1">
      <c r="A181" s="65"/>
      <c r="B181" s="66"/>
      <c r="C181" s="67"/>
      <c r="D181" s="67"/>
      <c r="E181" s="66"/>
      <c r="F181" s="68"/>
      <c r="G181" s="66"/>
      <c r="H181" s="66"/>
      <c r="I181" s="66"/>
      <c r="J181" s="66"/>
      <c r="K181" s="69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6"/>
      <c r="W181" s="56"/>
      <c r="X181" s="56"/>
      <c r="Y181" s="56"/>
      <c r="Z181" s="57"/>
      <c r="AA181" s="58"/>
      <c r="AB181" s="58"/>
    </row>
    <row r="182" ht="13.5" customHeight="1">
      <c r="A182" s="65"/>
      <c r="B182" s="66"/>
      <c r="C182" s="67"/>
      <c r="D182" s="67"/>
      <c r="E182" s="66"/>
      <c r="F182" s="68"/>
      <c r="G182" s="66"/>
      <c r="H182" s="66"/>
      <c r="I182" s="66"/>
      <c r="J182" s="66"/>
      <c r="K182" s="69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6"/>
      <c r="W182" s="56"/>
      <c r="X182" s="56"/>
      <c r="Y182" s="56"/>
      <c r="Z182" s="57"/>
      <c r="AA182" s="58"/>
      <c r="AB182" s="58"/>
    </row>
    <row r="183" ht="15.75" customHeight="1">
      <c r="A183" s="65"/>
      <c r="B183" s="66"/>
      <c r="C183" s="67"/>
      <c r="D183" s="67"/>
      <c r="E183" s="66"/>
      <c r="F183" s="68"/>
      <c r="G183" s="66"/>
      <c r="H183" s="66"/>
      <c r="I183" s="66"/>
      <c r="J183" s="66"/>
      <c r="K183" s="69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7"/>
      <c r="AA183" s="58"/>
      <c r="AB183" s="58"/>
    </row>
    <row r="184" ht="15.75" customHeight="1">
      <c r="A184" s="65"/>
      <c r="B184" s="66"/>
      <c r="C184" s="67"/>
      <c r="D184" s="67"/>
      <c r="E184" s="66"/>
      <c r="F184" s="68"/>
      <c r="G184" s="66"/>
      <c r="H184" s="66"/>
      <c r="I184" s="66"/>
      <c r="J184" s="66"/>
      <c r="K184" s="69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7"/>
      <c r="AA184" s="58"/>
      <c r="AB184" s="58"/>
    </row>
    <row r="185" ht="15.75" customHeight="1">
      <c r="A185" s="65"/>
      <c r="B185" s="66"/>
      <c r="C185" s="67"/>
      <c r="D185" s="67"/>
      <c r="E185" s="66"/>
      <c r="F185" s="68"/>
      <c r="G185" s="66"/>
      <c r="H185" s="66"/>
      <c r="I185" s="66"/>
      <c r="J185" s="66"/>
      <c r="K185" s="69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7"/>
      <c r="AA185" s="58"/>
      <c r="AB185" s="58"/>
    </row>
    <row r="186" ht="15.75" customHeight="1">
      <c r="A186" s="65"/>
      <c r="B186" s="66"/>
      <c r="C186" s="67"/>
      <c r="D186" s="67"/>
      <c r="E186" s="66"/>
      <c r="F186" s="68"/>
      <c r="G186" s="66"/>
      <c r="H186" s="66"/>
      <c r="I186" s="66"/>
      <c r="J186" s="66"/>
      <c r="K186" s="69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7"/>
      <c r="AA186" s="58"/>
      <c r="AB186" s="58"/>
    </row>
    <row r="187" ht="15.75" customHeight="1">
      <c r="A187" s="65"/>
      <c r="B187" s="66"/>
      <c r="C187" s="67"/>
      <c r="D187" s="67"/>
      <c r="E187" s="66"/>
      <c r="F187" s="68"/>
      <c r="G187" s="66"/>
      <c r="H187" s="66"/>
      <c r="I187" s="66"/>
      <c r="J187" s="66"/>
      <c r="K187" s="69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7"/>
      <c r="AA187" s="58"/>
      <c r="AB187" s="58"/>
    </row>
    <row r="188" ht="15.75" customHeight="1">
      <c r="A188" s="65"/>
      <c r="B188" s="66"/>
      <c r="C188" s="67"/>
      <c r="D188" s="67"/>
      <c r="E188" s="66"/>
      <c r="F188" s="68"/>
      <c r="G188" s="66"/>
      <c r="H188" s="66"/>
      <c r="I188" s="66"/>
      <c r="J188" s="66"/>
      <c r="K188" s="69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7"/>
      <c r="AA188" s="58"/>
      <c r="AB188" s="58"/>
    </row>
    <row r="189" ht="15.75" customHeight="1">
      <c r="A189" s="65"/>
      <c r="B189" s="66"/>
      <c r="C189" s="67"/>
      <c r="D189" s="67"/>
      <c r="E189" s="66"/>
      <c r="F189" s="68"/>
      <c r="G189" s="66"/>
      <c r="H189" s="66"/>
      <c r="I189" s="66"/>
      <c r="J189" s="66"/>
      <c r="K189" s="69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7"/>
      <c r="AA189" s="58"/>
      <c r="AB189" s="58"/>
    </row>
    <row r="190" ht="15.75" customHeight="1">
      <c r="A190" s="65"/>
      <c r="B190" s="66"/>
      <c r="C190" s="67"/>
      <c r="D190" s="67"/>
      <c r="E190" s="66"/>
      <c r="F190" s="68"/>
      <c r="G190" s="66"/>
      <c r="H190" s="66"/>
      <c r="I190" s="66"/>
      <c r="J190" s="66"/>
      <c r="K190" s="69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7"/>
      <c r="AA190" s="58"/>
      <c r="AB190" s="58"/>
    </row>
    <row r="191" ht="15.75" customHeight="1">
      <c r="A191" s="65"/>
      <c r="B191" s="66"/>
      <c r="C191" s="67"/>
      <c r="D191" s="67"/>
      <c r="E191" s="66"/>
      <c r="F191" s="68"/>
      <c r="G191" s="66"/>
      <c r="H191" s="66"/>
      <c r="I191" s="66"/>
      <c r="J191" s="66"/>
      <c r="K191" s="69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7"/>
      <c r="AA191" s="58"/>
      <c r="AB191" s="58"/>
    </row>
    <row r="192" ht="15.75" customHeight="1">
      <c r="A192" s="65"/>
      <c r="B192" s="66"/>
      <c r="C192" s="67"/>
      <c r="D192" s="67"/>
      <c r="E192" s="66"/>
      <c r="F192" s="70"/>
      <c r="G192" s="66"/>
      <c r="H192" s="66"/>
      <c r="I192" s="66"/>
      <c r="J192" s="66"/>
      <c r="K192" s="69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7"/>
      <c r="AA192" s="58"/>
      <c r="AB192" s="58"/>
    </row>
    <row r="193" ht="15.75" customHeight="1">
      <c r="A193" s="65"/>
      <c r="B193" s="66"/>
      <c r="C193" s="67"/>
      <c r="D193" s="67"/>
      <c r="E193" s="66"/>
      <c r="F193" s="70"/>
      <c r="G193" s="66"/>
      <c r="H193" s="66"/>
      <c r="I193" s="66"/>
      <c r="J193" s="66"/>
      <c r="K193" s="69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7"/>
      <c r="AA193" s="58"/>
      <c r="AB193" s="58"/>
    </row>
    <row r="194" ht="15.75" customHeight="1">
      <c r="A194" s="65"/>
      <c r="B194" s="66"/>
      <c r="C194" s="67"/>
      <c r="D194" s="67"/>
      <c r="E194" s="66"/>
      <c r="F194" s="70"/>
      <c r="G194" s="66"/>
      <c r="H194" s="66"/>
      <c r="I194" s="66"/>
      <c r="J194" s="66"/>
      <c r="K194" s="69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7"/>
      <c r="AA194" s="58"/>
      <c r="AB194" s="58"/>
    </row>
    <row r="195" ht="15.75" customHeight="1">
      <c r="A195" s="65"/>
      <c r="B195" s="66"/>
      <c r="C195" s="67"/>
      <c r="D195" s="67"/>
      <c r="E195" s="66"/>
      <c r="F195" s="70"/>
      <c r="G195" s="66"/>
      <c r="H195" s="66"/>
      <c r="I195" s="66"/>
      <c r="J195" s="66"/>
      <c r="K195" s="69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7"/>
      <c r="AA195" s="58"/>
      <c r="AB195" s="58"/>
    </row>
    <row r="196" ht="15.75" customHeight="1">
      <c r="A196" s="65"/>
      <c r="B196" s="66"/>
      <c r="C196" s="67"/>
      <c r="D196" s="67"/>
      <c r="E196" s="66"/>
      <c r="F196" s="70"/>
      <c r="G196" s="66"/>
      <c r="H196" s="66"/>
      <c r="I196" s="66"/>
      <c r="J196" s="66"/>
      <c r="K196" s="69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7"/>
      <c r="AA196" s="58"/>
      <c r="AB196" s="58"/>
    </row>
    <row r="197" ht="15.75" customHeight="1">
      <c r="A197" s="65"/>
      <c r="B197" s="66"/>
      <c r="C197" s="67"/>
      <c r="D197" s="67"/>
      <c r="E197" s="66"/>
      <c r="F197" s="70"/>
      <c r="G197" s="66"/>
      <c r="H197" s="66"/>
      <c r="I197" s="66"/>
      <c r="J197" s="66"/>
      <c r="K197" s="69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7"/>
      <c r="AA197" s="58"/>
      <c r="AB197" s="58"/>
    </row>
    <row r="198" ht="15.75" customHeight="1">
      <c r="A198" s="65"/>
      <c r="B198" s="66"/>
      <c r="C198" s="67"/>
      <c r="D198" s="67"/>
      <c r="E198" s="66"/>
      <c r="F198" s="70"/>
      <c r="G198" s="66"/>
      <c r="H198" s="66"/>
      <c r="I198" s="66"/>
      <c r="J198" s="66"/>
      <c r="K198" s="69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7"/>
      <c r="AA198" s="58"/>
      <c r="AB198" s="58"/>
    </row>
    <row r="199" ht="15.75" customHeight="1">
      <c r="A199" s="65"/>
      <c r="B199" s="66"/>
      <c r="C199" s="67"/>
      <c r="D199" s="67"/>
      <c r="E199" s="66"/>
      <c r="F199" s="70"/>
      <c r="G199" s="66"/>
      <c r="H199" s="66"/>
      <c r="I199" s="66"/>
      <c r="J199" s="66"/>
      <c r="K199" s="69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7"/>
      <c r="AA199" s="58"/>
      <c r="AB199" s="58"/>
    </row>
    <row r="200" ht="15.75" customHeight="1">
      <c r="A200" s="65"/>
      <c r="B200" s="66"/>
      <c r="C200" s="67"/>
      <c r="D200" s="67"/>
      <c r="E200" s="66"/>
      <c r="F200" s="70"/>
      <c r="G200" s="66"/>
      <c r="H200" s="66"/>
      <c r="I200" s="66"/>
      <c r="J200" s="66"/>
      <c r="K200" s="69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7"/>
      <c r="AA200" s="58"/>
      <c r="AB200" s="58"/>
    </row>
    <row r="201" ht="15.75" customHeight="1">
      <c r="A201" s="65"/>
      <c r="B201" s="66"/>
      <c r="C201" s="67"/>
      <c r="D201" s="67"/>
      <c r="E201" s="66"/>
      <c r="F201" s="70"/>
      <c r="G201" s="66"/>
      <c r="H201" s="66"/>
      <c r="I201" s="66"/>
      <c r="J201" s="66"/>
      <c r="K201" s="69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7"/>
      <c r="AA201" s="58"/>
      <c r="AB201" s="58"/>
    </row>
    <row r="202" ht="15.75" customHeight="1">
      <c r="A202" s="65"/>
      <c r="B202" s="66"/>
      <c r="C202" s="67"/>
      <c r="D202" s="67"/>
      <c r="E202" s="66"/>
      <c r="F202" s="70"/>
      <c r="G202" s="66"/>
      <c r="H202" s="66"/>
      <c r="I202" s="66"/>
      <c r="J202" s="66"/>
      <c r="K202" s="69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7"/>
      <c r="AA202" s="58"/>
      <c r="AB202" s="58"/>
    </row>
    <row r="203" ht="15.75" customHeight="1">
      <c r="A203" s="65"/>
      <c r="B203" s="66"/>
      <c r="C203" s="67"/>
      <c r="D203" s="67"/>
      <c r="E203" s="66"/>
      <c r="F203" s="70"/>
      <c r="G203" s="66"/>
      <c r="H203" s="66"/>
      <c r="I203" s="66"/>
      <c r="J203" s="66"/>
      <c r="K203" s="69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7"/>
      <c r="AA203" s="58"/>
      <c r="AB203" s="58"/>
    </row>
    <row r="204" ht="15.75" customHeight="1">
      <c r="A204" s="65"/>
      <c r="B204" s="66"/>
      <c r="C204" s="67"/>
      <c r="D204" s="67"/>
      <c r="E204" s="66"/>
      <c r="F204" s="70"/>
      <c r="G204" s="66"/>
      <c r="H204" s="66"/>
      <c r="I204" s="66"/>
      <c r="J204" s="66"/>
      <c r="K204" s="69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7"/>
      <c r="AA204" s="58"/>
      <c r="AB204" s="58"/>
    </row>
    <row r="205" ht="15.75" customHeight="1">
      <c r="A205" s="65"/>
      <c r="B205" s="66"/>
      <c r="C205" s="67"/>
      <c r="D205" s="67"/>
      <c r="E205" s="66"/>
      <c r="F205" s="70"/>
      <c r="G205" s="66"/>
      <c r="H205" s="66"/>
      <c r="I205" s="66"/>
      <c r="J205" s="66"/>
      <c r="K205" s="69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7"/>
      <c r="AA205" s="58"/>
      <c r="AB205" s="58"/>
    </row>
    <row r="206" ht="15.75" customHeight="1">
      <c r="A206" s="65"/>
      <c r="B206" s="66"/>
      <c r="C206" s="67"/>
      <c r="D206" s="67"/>
      <c r="E206" s="66"/>
      <c r="F206" s="70"/>
      <c r="G206" s="66"/>
      <c r="H206" s="66"/>
      <c r="I206" s="66"/>
      <c r="J206" s="66"/>
      <c r="K206" s="69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7"/>
      <c r="AA206" s="58"/>
      <c r="AB206" s="58"/>
    </row>
    <row r="207" ht="15.75" customHeight="1">
      <c r="A207" s="65"/>
      <c r="B207" s="66"/>
      <c r="C207" s="67"/>
      <c r="D207" s="67"/>
      <c r="E207" s="66"/>
      <c r="F207" s="70"/>
      <c r="G207" s="66"/>
      <c r="H207" s="66"/>
      <c r="I207" s="66"/>
      <c r="J207" s="66"/>
      <c r="K207" s="69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7"/>
      <c r="AA207" s="58"/>
      <c r="AB207" s="58"/>
    </row>
    <row r="208" ht="15.75" customHeight="1">
      <c r="A208" s="65"/>
      <c r="B208" s="66"/>
      <c r="C208" s="67"/>
      <c r="D208" s="67"/>
      <c r="E208" s="66"/>
      <c r="F208" s="70"/>
      <c r="G208" s="66"/>
      <c r="H208" s="66"/>
      <c r="I208" s="66"/>
      <c r="J208" s="66"/>
      <c r="K208" s="69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7"/>
      <c r="AA208" s="58"/>
      <c r="AB208" s="58"/>
    </row>
    <row r="209" ht="15.75" customHeight="1">
      <c r="A209" s="65"/>
      <c r="B209" s="66"/>
      <c r="C209" s="67"/>
      <c r="D209" s="67"/>
      <c r="E209" s="66"/>
      <c r="F209" s="70"/>
      <c r="G209" s="66"/>
      <c r="H209" s="66"/>
      <c r="I209" s="66"/>
      <c r="J209" s="66"/>
      <c r="K209" s="69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7"/>
      <c r="AA209" s="58"/>
      <c r="AB209" s="58"/>
    </row>
    <row r="210" ht="15.75" customHeight="1">
      <c r="A210" s="65"/>
      <c r="B210" s="66"/>
      <c r="C210" s="67"/>
      <c r="D210" s="67"/>
      <c r="E210" s="66"/>
      <c r="F210" s="70"/>
      <c r="G210" s="66"/>
      <c r="H210" s="66"/>
      <c r="I210" s="66"/>
      <c r="J210" s="66"/>
      <c r="K210" s="69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7"/>
      <c r="AA210" s="58"/>
      <c r="AB210" s="58"/>
    </row>
    <row r="211" ht="15.75" customHeight="1">
      <c r="A211" s="65"/>
      <c r="B211" s="66"/>
      <c r="C211" s="67"/>
      <c r="D211" s="67"/>
      <c r="E211" s="66"/>
      <c r="F211" s="70"/>
      <c r="G211" s="66"/>
      <c r="H211" s="66"/>
      <c r="I211" s="66"/>
      <c r="J211" s="66"/>
      <c r="K211" s="69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7"/>
      <c r="AA211" s="58"/>
      <c r="AB211" s="58"/>
    </row>
    <row r="212" ht="15.75" customHeight="1">
      <c r="A212" s="65"/>
      <c r="B212" s="66"/>
      <c r="C212" s="67"/>
      <c r="D212" s="67"/>
      <c r="E212" s="66"/>
      <c r="F212" s="70"/>
      <c r="G212" s="66"/>
      <c r="H212" s="66"/>
      <c r="I212" s="66"/>
      <c r="J212" s="66"/>
      <c r="K212" s="69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7"/>
      <c r="AA212" s="58"/>
      <c r="AB212" s="58"/>
    </row>
    <row r="213" ht="15.75" customHeight="1">
      <c r="A213" s="65"/>
      <c r="B213" s="66"/>
      <c r="C213" s="67"/>
      <c r="D213" s="67"/>
      <c r="E213" s="66"/>
      <c r="F213" s="70"/>
      <c r="G213" s="66"/>
      <c r="H213" s="66"/>
      <c r="I213" s="66"/>
      <c r="J213" s="66"/>
      <c r="K213" s="69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7"/>
      <c r="AA213" s="58"/>
      <c r="AB213" s="58"/>
    </row>
    <row r="214" ht="15.75" customHeight="1">
      <c r="A214" s="65"/>
      <c r="B214" s="66"/>
      <c r="C214" s="67"/>
      <c r="D214" s="67"/>
      <c r="E214" s="66"/>
      <c r="F214" s="70"/>
      <c r="G214" s="66"/>
      <c r="H214" s="66"/>
      <c r="I214" s="66"/>
      <c r="J214" s="66"/>
      <c r="K214" s="69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7"/>
      <c r="AA214" s="58"/>
      <c r="AB214" s="58"/>
    </row>
    <row r="215" ht="15.75" customHeight="1">
      <c r="A215" s="65"/>
      <c r="B215" s="66"/>
      <c r="C215" s="67"/>
      <c r="D215" s="67"/>
      <c r="E215" s="66"/>
      <c r="F215" s="70"/>
      <c r="G215" s="66"/>
      <c r="H215" s="66"/>
      <c r="I215" s="66"/>
      <c r="J215" s="66"/>
      <c r="K215" s="69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7"/>
      <c r="AA215" s="58"/>
      <c r="AB215" s="58"/>
    </row>
    <row r="216" ht="15.75" customHeight="1">
      <c r="A216" s="65"/>
      <c r="B216" s="66"/>
      <c r="C216" s="67"/>
      <c r="D216" s="67"/>
      <c r="E216" s="66"/>
      <c r="F216" s="70"/>
      <c r="G216" s="66"/>
      <c r="H216" s="66"/>
      <c r="I216" s="66"/>
      <c r="J216" s="66"/>
      <c r="K216" s="69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7"/>
      <c r="AA216" s="58"/>
      <c r="AB216" s="58"/>
    </row>
    <row r="217" ht="15.75" customHeight="1">
      <c r="A217" s="65"/>
      <c r="B217" s="66"/>
      <c r="C217" s="67"/>
      <c r="D217" s="67"/>
      <c r="E217" s="66"/>
      <c r="F217" s="70"/>
      <c r="G217" s="66"/>
      <c r="H217" s="66"/>
      <c r="I217" s="66"/>
      <c r="J217" s="66"/>
      <c r="K217" s="69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7"/>
      <c r="AA217" s="58"/>
      <c r="AB217" s="58"/>
    </row>
    <row r="218" ht="15.75" customHeight="1">
      <c r="A218" s="65"/>
      <c r="B218" s="66"/>
      <c r="C218" s="67"/>
      <c r="D218" s="67"/>
      <c r="E218" s="66"/>
      <c r="F218" s="70"/>
      <c r="G218" s="66"/>
      <c r="H218" s="66"/>
      <c r="I218" s="66"/>
      <c r="J218" s="66"/>
      <c r="K218" s="69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7"/>
      <c r="AA218" s="58"/>
      <c r="AB218" s="58"/>
    </row>
    <row r="219" ht="15.75" customHeight="1">
      <c r="A219" s="65"/>
      <c r="B219" s="66"/>
      <c r="C219" s="67"/>
      <c r="D219" s="67"/>
      <c r="E219" s="66"/>
      <c r="F219" s="70"/>
      <c r="G219" s="66"/>
      <c r="H219" s="66"/>
      <c r="I219" s="66"/>
      <c r="J219" s="66"/>
      <c r="K219" s="69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7"/>
      <c r="AA219" s="58"/>
      <c r="AB219" s="58"/>
    </row>
    <row r="220" ht="15.75" customHeight="1">
      <c r="A220" s="65"/>
      <c r="B220" s="66"/>
      <c r="C220" s="67"/>
      <c r="D220" s="67"/>
      <c r="E220" s="66"/>
      <c r="F220" s="70"/>
      <c r="G220" s="66"/>
      <c r="H220" s="66"/>
      <c r="I220" s="66"/>
      <c r="J220" s="66"/>
      <c r="K220" s="69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7"/>
      <c r="AA220" s="58"/>
      <c r="AB220" s="58"/>
    </row>
    <row r="221" ht="15.75" customHeight="1">
      <c r="A221" s="65"/>
      <c r="B221" s="66"/>
      <c r="C221" s="67"/>
      <c r="D221" s="67"/>
      <c r="E221" s="66"/>
      <c r="F221" s="70"/>
      <c r="G221" s="66"/>
      <c r="H221" s="66"/>
      <c r="I221" s="66"/>
      <c r="J221" s="66"/>
      <c r="K221" s="69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7"/>
      <c r="AA221" s="58"/>
      <c r="AB221" s="58"/>
    </row>
    <row r="222" ht="15.75" customHeight="1">
      <c r="A222" s="65"/>
      <c r="B222" s="66"/>
      <c r="C222" s="67"/>
      <c r="D222" s="67"/>
      <c r="E222" s="66"/>
      <c r="F222" s="70"/>
      <c r="G222" s="66"/>
      <c r="H222" s="66"/>
      <c r="I222" s="66"/>
      <c r="J222" s="66"/>
      <c r="K222" s="69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7"/>
      <c r="AA222" s="58"/>
      <c r="AB222" s="58"/>
    </row>
    <row r="223" ht="15.75" customHeight="1">
      <c r="A223" s="65"/>
      <c r="B223" s="66"/>
      <c r="C223" s="67"/>
      <c r="D223" s="67"/>
      <c r="E223" s="66"/>
      <c r="F223" s="70"/>
      <c r="G223" s="66"/>
      <c r="H223" s="66"/>
      <c r="I223" s="66"/>
      <c r="J223" s="66"/>
      <c r="K223" s="69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7"/>
      <c r="AA223" s="58"/>
      <c r="AB223" s="58"/>
    </row>
    <row r="224" ht="15.75" customHeight="1">
      <c r="A224" s="65"/>
      <c r="B224" s="66"/>
      <c r="C224" s="67"/>
      <c r="D224" s="67"/>
      <c r="E224" s="66"/>
      <c r="F224" s="70"/>
      <c r="G224" s="66"/>
      <c r="H224" s="66"/>
      <c r="I224" s="66"/>
      <c r="J224" s="66"/>
      <c r="K224" s="69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7"/>
      <c r="AA224" s="58"/>
      <c r="AB224" s="58"/>
    </row>
    <row r="225" ht="15.75" customHeight="1">
      <c r="A225" s="65"/>
      <c r="B225" s="66"/>
      <c r="C225" s="67"/>
      <c r="D225" s="67"/>
      <c r="E225" s="66"/>
      <c r="F225" s="70"/>
      <c r="G225" s="66"/>
      <c r="H225" s="66"/>
      <c r="I225" s="66"/>
      <c r="J225" s="66"/>
      <c r="K225" s="69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7"/>
      <c r="AA225" s="58"/>
      <c r="AB225" s="58"/>
    </row>
    <row r="226" ht="15.75" customHeight="1">
      <c r="A226" s="65"/>
      <c r="B226" s="66"/>
      <c r="C226" s="67"/>
      <c r="D226" s="67"/>
      <c r="E226" s="66"/>
      <c r="F226" s="70"/>
      <c r="G226" s="66"/>
      <c r="H226" s="66"/>
      <c r="I226" s="66"/>
      <c r="J226" s="66"/>
      <c r="K226" s="69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7"/>
      <c r="AA226" s="58"/>
      <c r="AB226" s="58"/>
    </row>
    <row r="227" ht="15.75" customHeight="1">
      <c r="A227" s="65"/>
      <c r="B227" s="66"/>
      <c r="C227" s="67"/>
      <c r="D227" s="67"/>
      <c r="E227" s="66"/>
      <c r="F227" s="70"/>
      <c r="G227" s="66"/>
      <c r="H227" s="66"/>
      <c r="I227" s="66"/>
      <c r="J227" s="66"/>
      <c r="K227" s="69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7"/>
      <c r="AA227" s="58"/>
      <c r="AB227" s="58"/>
    </row>
    <row r="228" ht="15.75" customHeight="1">
      <c r="A228" s="65"/>
      <c r="B228" s="66"/>
      <c r="C228" s="67"/>
      <c r="D228" s="67"/>
      <c r="E228" s="66"/>
      <c r="F228" s="70"/>
      <c r="G228" s="66"/>
      <c r="H228" s="66"/>
      <c r="I228" s="66"/>
      <c r="J228" s="66"/>
      <c r="K228" s="69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7"/>
      <c r="AA228" s="58"/>
      <c r="AB228" s="58"/>
    </row>
    <row r="229" ht="15.75" customHeight="1">
      <c r="A229" s="65"/>
      <c r="B229" s="66"/>
      <c r="C229" s="67"/>
      <c r="D229" s="67"/>
      <c r="E229" s="66"/>
      <c r="F229" s="70"/>
      <c r="G229" s="66"/>
      <c r="H229" s="66"/>
      <c r="I229" s="66"/>
      <c r="J229" s="66"/>
      <c r="K229" s="69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7"/>
      <c r="AA229" s="58"/>
      <c r="AB229" s="58"/>
    </row>
    <row r="230" ht="15.75" customHeight="1">
      <c r="A230" s="65"/>
      <c r="B230" s="66"/>
      <c r="C230" s="67"/>
      <c r="D230" s="67"/>
      <c r="E230" s="66"/>
      <c r="F230" s="70"/>
      <c r="G230" s="66"/>
      <c r="H230" s="66"/>
      <c r="I230" s="66"/>
      <c r="J230" s="66"/>
      <c r="K230" s="69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7"/>
      <c r="AA230" s="58"/>
      <c r="AB230" s="58"/>
    </row>
    <row r="231" ht="15.75" customHeight="1">
      <c r="A231" s="65"/>
      <c r="B231" s="66"/>
      <c r="C231" s="67"/>
      <c r="D231" s="67"/>
      <c r="E231" s="66"/>
      <c r="F231" s="70"/>
      <c r="G231" s="66"/>
      <c r="H231" s="66"/>
      <c r="I231" s="66"/>
      <c r="J231" s="66"/>
      <c r="K231" s="69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7"/>
      <c r="AA231" s="58"/>
      <c r="AB231" s="58"/>
    </row>
    <row r="232" ht="15.75" customHeight="1">
      <c r="A232" s="65"/>
      <c r="B232" s="66"/>
      <c r="C232" s="67"/>
      <c r="D232" s="67"/>
      <c r="E232" s="66"/>
      <c r="F232" s="70"/>
      <c r="G232" s="66"/>
      <c r="H232" s="66"/>
      <c r="I232" s="66"/>
      <c r="J232" s="66"/>
      <c r="K232" s="69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7"/>
      <c r="AA232" s="58"/>
      <c r="AB232" s="58"/>
    </row>
    <row r="233" ht="15.75" customHeight="1">
      <c r="A233" s="65"/>
      <c r="B233" s="66"/>
      <c r="C233" s="67"/>
      <c r="D233" s="67"/>
      <c r="E233" s="66"/>
      <c r="F233" s="70"/>
      <c r="G233" s="66"/>
      <c r="H233" s="66"/>
      <c r="I233" s="66"/>
      <c r="J233" s="66"/>
      <c r="K233" s="69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7"/>
      <c r="AA233" s="58"/>
      <c r="AB233" s="58"/>
    </row>
    <row r="234" ht="15.75" customHeight="1">
      <c r="A234" s="65"/>
      <c r="B234" s="66"/>
      <c r="C234" s="67"/>
      <c r="D234" s="67"/>
      <c r="E234" s="66"/>
      <c r="F234" s="70"/>
      <c r="G234" s="66"/>
      <c r="H234" s="66"/>
      <c r="I234" s="66"/>
      <c r="J234" s="66"/>
      <c r="K234" s="69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7"/>
      <c r="AA234" s="58"/>
      <c r="AB234" s="58"/>
    </row>
    <row r="235" ht="15.75" customHeight="1">
      <c r="A235" s="65"/>
      <c r="B235" s="66"/>
      <c r="C235" s="67"/>
      <c r="D235" s="67"/>
      <c r="E235" s="66"/>
      <c r="F235" s="70"/>
      <c r="G235" s="66"/>
      <c r="H235" s="66"/>
      <c r="I235" s="66"/>
      <c r="J235" s="66"/>
      <c r="K235" s="69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7"/>
      <c r="AA235" s="58"/>
      <c r="AB235" s="58"/>
    </row>
    <row r="236" ht="15.75" customHeight="1">
      <c r="A236" s="65"/>
      <c r="B236" s="66"/>
      <c r="C236" s="67"/>
      <c r="D236" s="67"/>
      <c r="E236" s="66"/>
      <c r="F236" s="70"/>
      <c r="G236" s="66"/>
      <c r="H236" s="66"/>
      <c r="I236" s="66"/>
      <c r="J236" s="66"/>
      <c r="K236" s="69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7"/>
      <c r="AA236" s="58"/>
      <c r="AB236" s="58"/>
    </row>
    <row r="237" ht="15.75" customHeight="1">
      <c r="A237" s="65"/>
      <c r="B237" s="66"/>
      <c r="C237" s="67"/>
      <c r="D237" s="67"/>
      <c r="E237" s="66"/>
      <c r="F237" s="70"/>
      <c r="G237" s="66"/>
      <c r="H237" s="66"/>
      <c r="I237" s="66"/>
      <c r="J237" s="66"/>
      <c r="K237" s="69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7"/>
      <c r="AA237" s="58"/>
      <c r="AB237" s="58"/>
    </row>
    <row r="238" ht="15.75" customHeight="1">
      <c r="A238" s="65"/>
      <c r="B238" s="66"/>
      <c r="C238" s="67"/>
      <c r="D238" s="67"/>
      <c r="E238" s="66"/>
      <c r="F238" s="70"/>
      <c r="G238" s="66"/>
      <c r="H238" s="66"/>
      <c r="I238" s="66"/>
      <c r="J238" s="66"/>
      <c r="K238" s="69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7"/>
      <c r="AA238" s="58"/>
      <c r="AB238" s="58"/>
    </row>
    <row r="239" ht="15.75" customHeight="1">
      <c r="A239" s="65"/>
      <c r="B239" s="66"/>
      <c r="C239" s="67"/>
      <c r="D239" s="67"/>
      <c r="E239" s="66"/>
      <c r="F239" s="70"/>
      <c r="G239" s="66"/>
      <c r="H239" s="66"/>
      <c r="I239" s="66"/>
      <c r="J239" s="66"/>
      <c r="K239" s="69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7"/>
      <c r="AA239" s="58"/>
      <c r="AB239" s="58"/>
    </row>
    <row r="240" ht="15.75" customHeight="1">
      <c r="A240" s="65"/>
      <c r="B240" s="66"/>
      <c r="C240" s="67"/>
      <c r="D240" s="67"/>
      <c r="E240" s="66"/>
      <c r="F240" s="70"/>
      <c r="G240" s="66"/>
      <c r="H240" s="66"/>
      <c r="I240" s="66"/>
      <c r="J240" s="66"/>
      <c r="K240" s="69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7"/>
      <c r="AA240" s="58"/>
      <c r="AB240" s="58"/>
    </row>
    <row r="241" ht="15.75" customHeight="1">
      <c r="A241" s="65"/>
      <c r="B241" s="66"/>
      <c r="C241" s="67"/>
      <c r="D241" s="67"/>
      <c r="E241" s="66"/>
      <c r="F241" s="70"/>
      <c r="G241" s="66"/>
      <c r="H241" s="66"/>
      <c r="I241" s="66"/>
      <c r="J241" s="66"/>
      <c r="K241" s="69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7"/>
      <c r="AA241" s="58"/>
      <c r="AB241" s="58"/>
    </row>
    <row r="242" ht="15.75" customHeight="1">
      <c r="A242" s="65"/>
      <c r="B242" s="66"/>
      <c r="C242" s="67"/>
      <c r="D242" s="67"/>
      <c r="E242" s="66"/>
      <c r="F242" s="70"/>
      <c r="G242" s="66"/>
      <c r="H242" s="66"/>
      <c r="I242" s="66"/>
      <c r="J242" s="66"/>
      <c r="K242" s="69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7"/>
      <c r="AA242" s="58"/>
      <c r="AB242" s="58"/>
    </row>
    <row r="243" ht="15.75" customHeight="1">
      <c r="A243" s="65"/>
      <c r="B243" s="66"/>
      <c r="C243" s="67"/>
      <c r="D243" s="67"/>
      <c r="E243" s="66"/>
      <c r="F243" s="70"/>
      <c r="G243" s="66"/>
      <c r="H243" s="66"/>
      <c r="I243" s="66"/>
      <c r="J243" s="66"/>
      <c r="K243" s="69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7"/>
      <c r="AA243" s="58"/>
      <c r="AB243" s="58"/>
    </row>
    <row r="244" ht="15.75" customHeight="1">
      <c r="A244" s="65"/>
      <c r="B244" s="66"/>
      <c r="C244" s="67"/>
      <c r="D244" s="67"/>
      <c r="E244" s="66"/>
      <c r="F244" s="70"/>
      <c r="G244" s="66"/>
      <c r="H244" s="66"/>
      <c r="I244" s="66"/>
      <c r="J244" s="66"/>
      <c r="K244" s="69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7"/>
      <c r="AA244" s="58"/>
      <c r="AB244" s="58"/>
    </row>
    <row r="245" ht="15.75" customHeight="1">
      <c r="A245" s="65"/>
      <c r="B245" s="66"/>
      <c r="C245" s="67"/>
      <c r="D245" s="67"/>
      <c r="E245" s="66"/>
      <c r="F245" s="70"/>
      <c r="G245" s="66"/>
      <c r="H245" s="66"/>
      <c r="I245" s="66"/>
      <c r="J245" s="66"/>
      <c r="K245" s="69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7"/>
      <c r="AA245" s="58"/>
      <c r="AB245" s="58"/>
    </row>
    <row r="246" ht="15.75" customHeight="1">
      <c r="A246" s="65"/>
      <c r="B246" s="66"/>
      <c r="C246" s="67"/>
      <c r="D246" s="67"/>
      <c r="E246" s="66"/>
      <c r="F246" s="70"/>
      <c r="G246" s="66"/>
      <c r="H246" s="66"/>
      <c r="I246" s="66"/>
      <c r="J246" s="66"/>
      <c r="K246" s="69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7"/>
      <c r="AA246" s="58"/>
      <c r="AB246" s="58"/>
    </row>
    <row r="247" ht="15.75" customHeight="1">
      <c r="A247" s="65"/>
      <c r="B247" s="66"/>
      <c r="C247" s="67"/>
      <c r="D247" s="67"/>
      <c r="E247" s="66"/>
      <c r="F247" s="70"/>
      <c r="G247" s="66"/>
      <c r="H247" s="66"/>
      <c r="I247" s="66"/>
      <c r="J247" s="66"/>
      <c r="K247" s="69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7"/>
      <c r="AA247" s="58"/>
      <c r="AB247" s="58"/>
    </row>
    <row r="248" ht="15.75" customHeight="1">
      <c r="A248" s="65"/>
      <c r="B248" s="66"/>
      <c r="C248" s="67"/>
      <c r="D248" s="67"/>
      <c r="E248" s="66"/>
      <c r="F248" s="70"/>
      <c r="G248" s="66"/>
      <c r="H248" s="66"/>
      <c r="I248" s="66"/>
      <c r="J248" s="66"/>
      <c r="K248" s="69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7"/>
      <c r="AA248" s="58"/>
      <c r="AB248" s="58"/>
    </row>
    <row r="249" ht="15.75" customHeight="1">
      <c r="A249" s="65"/>
      <c r="B249" s="66"/>
      <c r="C249" s="67"/>
      <c r="D249" s="67"/>
      <c r="E249" s="66"/>
      <c r="F249" s="70"/>
      <c r="G249" s="66"/>
      <c r="H249" s="66"/>
      <c r="I249" s="66"/>
      <c r="J249" s="66"/>
      <c r="K249" s="69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7"/>
      <c r="AA249" s="58"/>
      <c r="AB249" s="58"/>
    </row>
    <row r="250" ht="15.75" customHeight="1">
      <c r="A250" s="65"/>
      <c r="B250" s="66"/>
      <c r="C250" s="67"/>
      <c r="D250" s="67"/>
      <c r="E250" s="66"/>
      <c r="F250" s="70"/>
      <c r="G250" s="66"/>
      <c r="H250" s="66"/>
      <c r="I250" s="66"/>
      <c r="J250" s="66"/>
      <c r="K250" s="69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7"/>
      <c r="AA250" s="58"/>
      <c r="AB250" s="58"/>
    </row>
    <row r="251" ht="15.75" customHeight="1">
      <c r="A251" s="65"/>
      <c r="B251" s="66"/>
      <c r="C251" s="67"/>
      <c r="D251" s="67"/>
      <c r="E251" s="66"/>
      <c r="F251" s="70"/>
      <c r="G251" s="66"/>
      <c r="H251" s="66"/>
      <c r="I251" s="66"/>
      <c r="J251" s="66"/>
      <c r="K251" s="69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7"/>
      <c r="AA251" s="58"/>
      <c r="AB251" s="58"/>
    </row>
    <row r="252" ht="15.75" customHeight="1">
      <c r="A252" s="65"/>
      <c r="B252" s="66"/>
      <c r="C252" s="67"/>
      <c r="D252" s="67"/>
      <c r="E252" s="66"/>
      <c r="F252" s="70"/>
      <c r="G252" s="66"/>
      <c r="H252" s="66"/>
      <c r="I252" s="66"/>
      <c r="J252" s="66"/>
      <c r="K252" s="69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7"/>
      <c r="AA252" s="58"/>
      <c r="AB252" s="58"/>
    </row>
    <row r="253" ht="15.75" customHeight="1">
      <c r="A253" s="65"/>
      <c r="B253" s="66"/>
      <c r="C253" s="67"/>
      <c r="D253" s="67"/>
      <c r="E253" s="66"/>
      <c r="F253" s="70"/>
      <c r="G253" s="66"/>
      <c r="H253" s="66"/>
      <c r="I253" s="66"/>
      <c r="J253" s="66"/>
      <c r="K253" s="69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7"/>
      <c r="AA253" s="58"/>
      <c r="AB253" s="58"/>
    </row>
    <row r="254" ht="15.75" customHeight="1">
      <c r="A254" s="65"/>
      <c r="B254" s="66"/>
      <c r="C254" s="67"/>
      <c r="D254" s="67"/>
      <c r="E254" s="66"/>
      <c r="F254" s="70"/>
      <c r="G254" s="66"/>
      <c r="H254" s="66"/>
      <c r="I254" s="66"/>
      <c r="J254" s="66"/>
      <c r="K254" s="69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7"/>
      <c r="AA254" s="58"/>
      <c r="AB254" s="58"/>
    </row>
    <row r="255" ht="15.75" customHeight="1">
      <c r="A255" s="65"/>
      <c r="B255" s="66"/>
      <c r="C255" s="67"/>
      <c r="D255" s="67"/>
      <c r="E255" s="66"/>
      <c r="F255" s="70"/>
      <c r="G255" s="66"/>
      <c r="H255" s="66"/>
      <c r="I255" s="66"/>
      <c r="J255" s="66"/>
      <c r="K255" s="69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7"/>
      <c r="AA255" s="58"/>
      <c r="AB255" s="58"/>
    </row>
    <row r="256" ht="15.75" customHeight="1">
      <c r="A256" s="65"/>
      <c r="B256" s="66"/>
      <c r="C256" s="67"/>
      <c r="D256" s="67"/>
      <c r="E256" s="66"/>
      <c r="F256" s="70"/>
      <c r="G256" s="66"/>
      <c r="H256" s="66"/>
      <c r="I256" s="66"/>
      <c r="J256" s="66"/>
      <c r="K256" s="69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7"/>
      <c r="AA256" s="58"/>
      <c r="AB256" s="58"/>
    </row>
    <row r="257" ht="15.75" customHeight="1">
      <c r="A257" s="65"/>
      <c r="B257" s="66"/>
      <c r="C257" s="67"/>
      <c r="D257" s="67"/>
      <c r="E257" s="66"/>
      <c r="F257" s="70"/>
      <c r="G257" s="66"/>
      <c r="H257" s="66"/>
      <c r="I257" s="66"/>
      <c r="J257" s="66"/>
      <c r="K257" s="69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7"/>
      <c r="AA257" s="58"/>
      <c r="AB257" s="58"/>
    </row>
    <row r="258" ht="15.75" customHeight="1">
      <c r="A258" s="65"/>
      <c r="B258" s="66"/>
      <c r="C258" s="67"/>
      <c r="D258" s="67"/>
      <c r="E258" s="66"/>
      <c r="F258" s="70"/>
      <c r="G258" s="66"/>
      <c r="H258" s="66"/>
      <c r="I258" s="66"/>
      <c r="J258" s="66"/>
      <c r="K258" s="69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7"/>
      <c r="AA258" s="58"/>
      <c r="AB258" s="58"/>
    </row>
    <row r="259" ht="15.75" customHeight="1">
      <c r="A259" s="65"/>
      <c r="B259" s="66"/>
      <c r="C259" s="67"/>
      <c r="D259" s="67"/>
      <c r="E259" s="66"/>
      <c r="F259" s="70"/>
      <c r="G259" s="66"/>
      <c r="H259" s="66"/>
      <c r="I259" s="66"/>
      <c r="J259" s="66"/>
      <c r="K259" s="69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7"/>
      <c r="AA259" s="58"/>
      <c r="AB259" s="58"/>
    </row>
    <row r="260" ht="15.75" customHeight="1">
      <c r="A260" s="65"/>
      <c r="B260" s="66"/>
      <c r="C260" s="67"/>
      <c r="D260" s="67"/>
      <c r="E260" s="66"/>
      <c r="F260" s="70"/>
      <c r="G260" s="66"/>
      <c r="H260" s="66"/>
      <c r="I260" s="66"/>
      <c r="J260" s="66"/>
      <c r="K260" s="69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7"/>
      <c r="AA260" s="58"/>
      <c r="AB260" s="58"/>
    </row>
    <row r="261" ht="15.75" customHeight="1">
      <c r="A261" s="65"/>
      <c r="B261" s="66"/>
      <c r="C261" s="67"/>
      <c r="D261" s="67"/>
      <c r="E261" s="66"/>
      <c r="F261" s="70"/>
      <c r="G261" s="66"/>
      <c r="H261" s="66"/>
      <c r="I261" s="66"/>
      <c r="J261" s="66"/>
      <c r="K261" s="69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7"/>
      <c r="AA261" s="58"/>
      <c r="AB261" s="58"/>
    </row>
    <row r="262" ht="15.75" customHeight="1">
      <c r="A262" s="65"/>
      <c r="B262" s="66"/>
      <c r="C262" s="67"/>
      <c r="D262" s="67"/>
      <c r="E262" s="66"/>
      <c r="F262" s="70"/>
      <c r="G262" s="66"/>
      <c r="H262" s="66"/>
      <c r="I262" s="66"/>
      <c r="J262" s="66"/>
      <c r="K262" s="69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7"/>
      <c r="AA262" s="58"/>
      <c r="AB262" s="58"/>
    </row>
    <row r="263" ht="15.75" customHeight="1">
      <c r="A263" s="65"/>
      <c r="B263" s="66"/>
      <c r="C263" s="67"/>
      <c r="D263" s="67"/>
      <c r="E263" s="66"/>
      <c r="F263" s="70"/>
      <c r="G263" s="66"/>
      <c r="H263" s="66"/>
      <c r="I263" s="66"/>
      <c r="J263" s="66"/>
      <c r="K263" s="69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7"/>
      <c r="AA263" s="58"/>
      <c r="AB263" s="58"/>
    </row>
    <row r="264" ht="15.75" customHeight="1">
      <c r="A264" s="65"/>
      <c r="B264" s="66"/>
      <c r="C264" s="67"/>
      <c r="D264" s="67"/>
      <c r="E264" s="66"/>
      <c r="F264" s="70"/>
      <c r="G264" s="66"/>
      <c r="H264" s="66"/>
      <c r="I264" s="66"/>
      <c r="J264" s="66"/>
      <c r="K264" s="69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7"/>
      <c r="AA264" s="58"/>
      <c r="AB264" s="58"/>
    </row>
    <row r="265" ht="15.75" customHeight="1">
      <c r="A265" s="65"/>
      <c r="B265" s="66"/>
      <c r="C265" s="67"/>
      <c r="D265" s="67"/>
      <c r="E265" s="66"/>
      <c r="F265" s="70"/>
      <c r="G265" s="66"/>
      <c r="H265" s="66"/>
      <c r="I265" s="66"/>
      <c r="J265" s="66"/>
      <c r="K265" s="69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7"/>
      <c r="AA265" s="58"/>
      <c r="AB265" s="58"/>
    </row>
    <row r="266" ht="15.75" customHeight="1">
      <c r="A266" s="65"/>
      <c r="B266" s="66"/>
      <c r="C266" s="67"/>
      <c r="D266" s="67"/>
      <c r="E266" s="66"/>
      <c r="F266" s="70"/>
      <c r="G266" s="66"/>
      <c r="H266" s="66"/>
      <c r="I266" s="66"/>
      <c r="J266" s="66"/>
      <c r="K266" s="69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7"/>
      <c r="AA266" s="58"/>
      <c r="AB266" s="58"/>
    </row>
    <row r="267" ht="15.75" customHeight="1">
      <c r="A267" s="65"/>
      <c r="B267" s="66"/>
      <c r="C267" s="67"/>
      <c r="D267" s="67"/>
      <c r="E267" s="66"/>
      <c r="F267" s="70"/>
      <c r="G267" s="66"/>
      <c r="H267" s="66"/>
      <c r="I267" s="66"/>
      <c r="J267" s="66"/>
      <c r="K267" s="69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7"/>
      <c r="AA267" s="58"/>
      <c r="AB267" s="58"/>
    </row>
    <row r="268" ht="15.75" customHeight="1">
      <c r="A268" s="65"/>
      <c r="B268" s="66"/>
      <c r="C268" s="67"/>
      <c r="D268" s="67"/>
      <c r="E268" s="66"/>
      <c r="F268" s="70"/>
      <c r="G268" s="66"/>
      <c r="H268" s="66"/>
      <c r="I268" s="66"/>
      <c r="J268" s="66"/>
      <c r="K268" s="69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7"/>
      <c r="AA268" s="58"/>
      <c r="AB268" s="58"/>
    </row>
    <row r="269" ht="15.75" customHeight="1">
      <c r="A269" s="65"/>
      <c r="B269" s="66"/>
      <c r="C269" s="67"/>
      <c r="D269" s="67"/>
      <c r="E269" s="66"/>
      <c r="F269" s="70"/>
      <c r="G269" s="66"/>
      <c r="H269" s="66"/>
      <c r="I269" s="66"/>
      <c r="J269" s="66"/>
      <c r="K269" s="69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7"/>
      <c r="AA269" s="58"/>
      <c r="AB269" s="58"/>
    </row>
    <row r="270" ht="15.75" customHeight="1">
      <c r="A270" s="65"/>
      <c r="B270" s="66"/>
      <c r="C270" s="67"/>
      <c r="D270" s="67"/>
      <c r="E270" s="66"/>
      <c r="F270" s="70"/>
      <c r="G270" s="66"/>
      <c r="H270" s="66"/>
      <c r="I270" s="66"/>
      <c r="J270" s="66"/>
      <c r="K270" s="69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7"/>
      <c r="AA270" s="58"/>
      <c r="AB270" s="58"/>
    </row>
    <row r="271" ht="15.75" customHeight="1">
      <c r="A271" s="71"/>
      <c r="B271" s="72"/>
      <c r="C271" s="73"/>
      <c r="D271" s="73"/>
      <c r="E271" s="72"/>
      <c r="F271" s="74"/>
      <c r="G271" s="72"/>
      <c r="H271" s="72"/>
      <c r="I271" s="72"/>
      <c r="J271" s="72"/>
      <c r="K271" s="75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7"/>
      <c r="AA271" s="58"/>
      <c r="AB271" s="58"/>
    </row>
    <row r="272" ht="15.75" customHeight="1">
      <c r="A272" s="76"/>
      <c r="B272" s="76"/>
      <c r="C272" s="77"/>
      <c r="D272" s="77"/>
      <c r="E272" s="76"/>
      <c r="F272" s="76"/>
      <c r="G272" s="76"/>
      <c r="H272" s="76"/>
      <c r="I272" s="76"/>
      <c r="J272" s="76"/>
      <c r="K272" s="7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7"/>
      <c r="AA272" s="58"/>
      <c r="AB272" s="58"/>
    </row>
    <row r="273" ht="15.75" customHeight="1">
      <c r="A273" s="76"/>
      <c r="B273" s="76"/>
      <c r="C273" s="77"/>
      <c r="D273" s="77"/>
      <c r="E273" s="76"/>
      <c r="F273" s="76"/>
      <c r="G273" s="76"/>
      <c r="H273" s="76"/>
      <c r="I273" s="76"/>
      <c r="J273" s="76"/>
      <c r="K273" s="7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7"/>
      <c r="AA273" s="58"/>
      <c r="AB273" s="58"/>
    </row>
    <row r="274" ht="15.75" customHeight="1">
      <c r="A274" s="76"/>
      <c r="B274" s="76"/>
      <c r="C274" s="77"/>
      <c r="D274" s="77"/>
      <c r="E274" s="76"/>
      <c r="F274" s="76"/>
      <c r="G274" s="76"/>
      <c r="H274" s="76"/>
      <c r="I274" s="76"/>
      <c r="J274" s="76"/>
      <c r="K274" s="7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7"/>
      <c r="AA274" s="58"/>
      <c r="AB274" s="58"/>
    </row>
    <row r="275" ht="15.75" customHeight="1">
      <c r="A275" s="76"/>
      <c r="B275" s="76"/>
      <c r="C275" s="77"/>
      <c r="D275" s="77"/>
      <c r="E275" s="76"/>
      <c r="F275" s="76"/>
      <c r="G275" s="76"/>
      <c r="H275" s="76"/>
      <c r="I275" s="76"/>
      <c r="J275" s="76"/>
      <c r="K275" s="7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7"/>
      <c r="AA275" s="58"/>
      <c r="AB275" s="58"/>
    </row>
    <row r="276" ht="15.75" customHeight="1">
      <c r="A276" s="76"/>
      <c r="B276" s="76"/>
      <c r="C276" s="77"/>
      <c r="D276" s="77"/>
      <c r="E276" s="76"/>
      <c r="F276" s="76"/>
      <c r="G276" s="76"/>
      <c r="H276" s="76"/>
      <c r="I276" s="76"/>
      <c r="J276" s="76"/>
      <c r="K276" s="7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7"/>
      <c r="AA276" s="58"/>
      <c r="AB276" s="58"/>
    </row>
    <row r="277" ht="15.75" customHeight="1">
      <c r="A277" s="76"/>
      <c r="B277" s="76"/>
      <c r="C277" s="77"/>
      <c r="D277" s="77"/>
      <c r="E277" s="76"/>
      <c r="F277" s="76"/>
      <c r="G277" s="76"/>
      <c r="H277" s="76"/>
      <c r="I277" s="76"/>
      <c r="J277" s="76"/>
      <c r="K277" s="7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7"/>
      <c r="AA277" s="58"/>
      <c r="AB277" s="58"/>
    </row>
    <row r="278" ht="15.75" customHeight="1">
      <c r="A278" s="76"/>
      <c r="B278" s="76"/>
      <c r="C278" s="77"/>
      <c r="D278" s="77"/>
      <c r="E278" s="76"/>
      <c r="F278" s="76"/>
      <c r="G278" s="76"/>
      <c r="H278" s="76"/>
      <c r="I278" s="76"/>
      <c r="J278" s="76"/>
      <c r="K278" s="7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7"/>
      <c r="AA278" s="58"/>
      <c r="AB278" s="58"/>
    </row>
    <row r="279" ht="15.75" customHeight="1">
      <c r="A279" s="76"/>
      <c r="B279" s="76"/>
      <c r="C279" s="77"/>
      <c r="D279" s="77"/>
      <c r="E279" s="76"/>
      <c r="F279" s="76"/>
      <c r="G279" s="76"/>
      <c r="H279" s="76"/>
      <c r="I279" s="76"/>
      <c r="J279" s="76"/>
      <c r="K279" s="7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7"/>
      <c r="AA279" s="58"/>
      <c r="AB279" s="58"/>
    </row>
    <row r="280" ht="15.75" customHeight="1">
      <c r="A280" s="76"/>
      <c r="B280" s="76"/>
      <c r="C280" s="77"/>
      <c r="D280" s="77"/>
      <c r="E280" s="76"/>
      <c r="F280" s="76"/>
      <c r="G280" s="76"/>
      <c r="H280" s="76"/>
      <c r="I280" s="76"/>
      <c r="J280" s="76"/>
      <c r="K280" s="7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7"/>
      <c r="AA280" s="58"/>
      <c r="AB280" s="58"/>
    </row>
    <row r="281" ht="15.75" customHeight="1">
      <c r="A281" s="76"/>
      <c r="B281" s="76"/>
      <c r="C281" s="77"/>
      <c r="D281" s="77"/>
      <c r="E281" s="76"/>
      <c r="F281" s="76"/>
      <c r="G281" s="76"/>
      <c r="H281" s="76"/>
      <c r="I281" s="76"/>
      <c r="J281" s="76"/>
      <c r="K281" s="7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7"/>
      <c r="AA281" s="58"/>
      <c r="AB281" s="58"/>
    </row>
    <row r="282" ht="15.75" customHeight="1">
      <c r="A282" s="76"/>
      <c r="B282" s="76"/>
      <c r="C282" s="77"/>
      <c r="D282" s="77"/>
      <c r="E282" s="76"/>
      <c r="F282" s="76"/>
      <c r="G282" s="76"/>
      <c r="H282" s="76"/>
      <c r="I282" s="76"/>
      <c r="J282" s="76"/>
      <c r="K282" s="7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7"/>
      <c r="AA282" s="58"/>
      <c r="AB282" s="58"/>
    </row>
    <row r="283" ht="15.75" customHeight="1">
      <c r="A283" s="76"/>
      <c r="B283" s="76"/>
      <c r="C283" s="77"/>
      <c r="D283" s="77"/>
      <c r="E283" s="76"/>
      <c r="F283" s="76"/>
      <c r="G283" s="76"/>
      <c r="H283" s="76"/>
      <c r="I283" s="76"/>
      <c r="J283" s="76"/>
      <c r="K283" s="7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7"/>
      <c r="AA283" s="58"/>
      <c r="AB283" s="58"/>
    </row>
    <row r="284" ht="15.75" customHeight="1">
      <c r="A284" s="76"/>
      <c r="B284" s="76"/>
      <c r="C284" s="77"/>
      <c r="D284" s="77"/>
      <c r="E284" s="76"/>
      <c r="F284" s="76"/>
      <c r="G284" s="76"/>
      <c r="H284" s="76"/>
      <c r="I284" s="76"/>
      <c r="J284" s="76"/>
      <c r="K284" s="7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7"/>
      <c r="AA284" s="58"/>
      <c r="AB284" s="58"/>
    </row>
    <row r="285" ht="15.75" customHeight="1">
      <c r="A285" s="76"/>
      <c r="B285" s="76"/>
      <c r="C285" s="77"/>
      <c r="D285" s="77"/>
      <c r="E285" s="76"/>
      <c r="F285" s="76"/>
      <c r="G285" s="76"/>
      <c r="H285" s="76"/>
      <c r="I285" s="76"/>
      <c r="J285" s="76"/>
      <c r="K285" s="7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7"/>
      <c r="AA285" s="58"/>
      <c r="AB285" s="58"/>
    </row>
    <row r="286" ht="15.75" customHeight="1">
      <c r="A286" s="76"/>
      <c r="B286" s="76"/>
      <c r="C286" s="77"/>
      <c r="D286" s="77"/>
      <c r="E286" s="76"/>
      <c r="F286" s="76"/>
      <c r="G286" s="76"/>
      <c r="H286" s="76"/>
      <c r="I286" s="76"/>
      <c r="J286" s="76"/>
      <c r="K286" s="7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7"/>
      <c r="AA286" s="58"/>
      <c r="AB286" s="58"/>
    </row>
    <row r="287" ht="15.75" customHeight="1">
      <c r="A287" s="76"/>
      <c r="B287" s="76"/>
      <c r="C287" s="77"/>
      <c r="D287" s="77"/>
      <c r="E287" s="76"/>
      <c r="F287" s="76"/>
      <c r="G287" s="76"/>
      <c r="H287" s="76"/>
      <c r="I287" s="76"/>
      <c r="J287" s="76"/>
      <c r="K287" s="7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7"/>
      <c r="AA287" s="58"/>
      <c r="AB287" s="58"/>
    </row>
    <row r="288" ht="15.75" customHeight="1">
      <c r="A288" s="76"/>
      <c r="B288" s="76"/>
      <c r="C288" s="77"/>
      <c r="D288" s="77"/>
      <c r="E288" s="76"/>
      <c r="F288" s="76"/>
      <c r="G288" s="76"/>
      <c r="H288" s="76"/>
      <c r="I288" s="76"/>
      <c r="J288" s="76"/>
      <c r="K288" s="7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7"/>
      <c r="AA288" s="58"/>
      <c r="AB288" s="58"/>
    </row>
    <row r="289" ht="15.75" customHeight="1">
      <c r="A289" s="76"/>
      <c r="B289" s="76"/>
      <c r="C289" s="77"/>
      <c r="D289" s="77"/>
      <c r="E289" s="76"/>
      <c r="F289" s="76"/>
      <c r="G289" s="76"/>
      <c r="H289" s="76"/>
      <c r="I289" s="76"/>
      <c r="J289" s="76"/>
      <c r="K289" s="7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7"/>
      <c r="AA289" s="58"/>
      <c r="AB289" s="58"/>
    </row>
    <row r="290" ht="15.75" customHeight="1">
      <c r="A290" s="76"/>
      <c r="B290" s="76"/>
      <c r="C290" s="77"/>
      <c r="D290" s="77"/>
      <c r="E290" s="76"/>
      <c r="F290" s="76"/>
      <c r="G290" s="76"/>
      <c r="H290" s="76"/>
      <c r="I290" s="76"/>
      <c r="J290" s="76"/>
      <c r="K290" s="7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7"/>
      <c r="AA290" s="58"/>
      <c r="AB290" s="58"/>
    </row>
    <row r="291" ht="15.75" customHeight="1">
      <c r="A291" s="76"/>
      <c r="B291" s="76"/>
      <c r="C291" s="77"/>
      <c r="D291" s="77"/>
      <c r="E291" s="76"/>
      <c r="F291" s="76"/>
      <c r="G291" s="76"/>
      <c r="H291" s="76"/>
      <c r="I291" s="76"/>
      <c r="J291" s="76"/>
      <c r="K291" s="7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7"/>
      <c r="AA291" s="58"/>
      <c r="AB291" s="58"/>
    </row>
    <row r="292" ht="15.75" customHeight="1">
      <c r="A292" s="76"/>
      <c r="B292" s="76"/>
      <c r="C292" s="77"/>
      <c r="D292" s="77"/>
      <c r="E292" s="76"/>
      <c r="F292" s="76"/>
      <c r="G292" s="76"/>
      <c r="H292" s="76"/>
      <c r="I292" s="76"/>
      <c r="J292" s="76"/>
      <c r="K292" s="7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7"/>
      <c r="AA292" s="58"/>
      <c r="AB292" s="58"/>
    </row>
    <row r="293" ht="15.75" customHeight="1">
      <c r="A293" s="76"/>
      <c r="B293" s="76"/>
      <c r="C293" s="77"/>
      <c r="D293" s="77"/>
      <c r="E293" s="76"/>
      <c r="F293" s="76"/>
      <c r="G293" s="76"/>
      <c r="H293" s="76"/>
      <c r="I293" s="76"/>
      <c r="J293" s="76"/>
      <c r="K293" s="7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7"/>
      <c r="AA293" s="58"/>
      <c r="AB293" s="58"/>
    </row>
    <row r="294" ht="15.75" customHeight="1">
      <c r="A294" s="76"/>
      <c r="B294" s="76"/>
      <c r="C294" s="77"/>
      <c r="D294" s="77"/>
      <c r="E294" s="76"/>
      <c r="F294" s="76"/>
      <c r="G294" s="76"/>
      <c r="H294" s="76"/>
      <c r="I294" s="76"/>
      <c r="J294" s="76"/>
      <c r="K294" s="7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7"/>
      <c r="AA294" s="58"/>
      <c r="AB294" s="58"/>
    </row>
    <row r="295" ht="15.75" customHeight="1">
      <c r="A295" s="76"/>
      <c r="B295" s="76"/>
      <c r="C295" s="77"/>
      <c r="D295" s="77"/>
      <c r="E295" s="76"/>
      <c r="F295" s="76"/>
      <c r="G295" s="76"/>
      <c r="H295" s="76"/>
      <c r="I295" s="76"/>
      <c r="J295" s="76"/>
      <c r="K295" s="7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7"/>
      <c r="AA295" s="58"/>
      <c r="AB295" s="58"/>
    </row>
    <row r="296" ht="15.75" customHeight="1">
      <c r="A296" s="76"/>
      <c r="B296" s="76"/>
      <c r="C296" s="77"/>
      <c r="D296" s="77"/>
      <c r="E296" s="76"/>
      <c r="F296" s="76"/>
      <c r="G296" s="76"/>
      <c r="H296" s="76"/>
      <c r="I296" s="76"/>
      <c r="J296" s="76"/>
      <c r="K296" s="7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7"/>
      <c r="AA296" s="58"/>
      <c r="AB296" s="58"/>
    </row>
    <row r="297" ht="15.75" customHeight="1">
      <c r="A297" s="76"/>
      <c r="B297" s="76"/>
      <c r="C297" s="77"/>
      <c r="D297" s="77"/>
      <c r="E297" s="76"/>
      <c r="F297" s="76"/>
      <c r="G297" s="76"/>
      <c r="H297" s="76"/>
      <c r="I297" s="76"/>
      <c r="J297" s="76"/>
      <c r="K297" s="7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7"/>
      <c r="AA297" s="58"/>
      <c r="AB297" s="58"/>
    </row>
    <row r="298" ht="15.75" customHeight="1">
      <c r="A298" s="76"/>
      <c r="B298" s="76"/>
      <c r="C298" s="77"/>
      <c r="D298" s="77"/>
      <c r="E298" s="76"/>
      <c r="F298" s="76"/>
      <c r="G298" s="76"/>
      <c r="H298" s="76"/>
      <c r="I298" s="76"/>
      <c r="J298" s="76"/>
      <c r="K298" s="7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7"/>
      <c r="AA298" s="58"/>
      <c r="AB298" s="58"/>
    </row>
    <row r="299" ht="15.75" customHeight="1">
      <c r="A299" s="76"/>
      <c r="B299" s="76"/>
      <c r="C299" s="77"/>
      <c r="D299" s="77"/>
      <c r="E299" s="76"/>
      <c r="F299" s="76"/>
      <c r="G299" s="76"/>
      <c r="H299" s="76"/>
      <c r="I299" s="76"/>
      <c r="J299" s="76"/>
      <c r="K299" s="7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7"/>
      <c r="AA299" s="58"/>
      <c r="AB299" s="58"/>
    </row>
    <row r="300" ht="15.75" customHeight="1">
      <c r="A300" s="76"/>
      <c r="B300" s="76"/>
      <c r="C300" s="77"/>
      <c r="D300" s="77"/>
      <c r="E300" s="76"/>
      <c r="F300" s="76"/>
      <c r="G300" s="76"/>
      <c r="H300" s="76"/>
      <c r="I300" s="76"/>
      <c r="J300" s="76"/>
      <c r="K300" s="7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7"/>
      <c r="AA300" s="58"/>
      <c r="AB300" s="58"/>
    </row>
    <row r="301" ht="15.75" customHeight="1">
      <c r="A301" s="76"/>
      <c r="B301" s="76"/>
      <c r="C301" s="77"/>
      <c r="D301" s="77"/>
      <c r="E301" s="76"/>
      <c r="F301" s="76"/>
      <c r="G301" s="76"/>
      <c r="H301" s="76"/>
      <c r="I301" s="76"/>
      <c r="J301" s="76"/>
      <c r="K301" s="7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7"/>
      <c r="AA301" s="58"/>
      <c r="AB301" s="58"/>
    </row>
    <row r="302" ht="15.75" customHeight="1">
      <c r="A302" s="76"/>
      <c r="B302" s="76"/>
      <c r="C302" s="77"/>
      <c r="D302" s="77"/>
      <c r="E302" s="76"/>
      <c r="F302" s="76"/>
      <c r="G302" s="76"/>
      <c r="H302" s="76"/>
      <c r="I302" s="76"/>
      <c r="J302" s="76"/>
      <c r="K302" s="7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7"/>
      <c r="AA302" s="58"/>
      <c r="AB302" s="58"/>
    </row>
    <row r="303" ht="15.75" customHeight="1">
      <c r="A303" s="76"/>
      <c r="B303" s="76"/>
      <c r="C303" s="77"/>
      <c r="D303" s="77"/>
      <c r="E303" s="76"/>
      <c r="F303" s="76"/>
      <c r="G303" s="76"/>
      <c r="H303" s="76"/>
      <c r="I303" s="76"/>
      <c r="J303" s="76"/>
      <c r="K303" s="7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7"/>
      <c r="AA303" s="58"/>
      <c r="AB303" s="58"/>
    </row>
    <row r="304" ht="15.75" customHeight="1">
      <c r="A304" s="76"/>
      <c r="B304" s="76"/>
      <c r="C304" s="77"/>
      <c r="D304" s="77"/>
      <c r="E304" s="76"/>
      <c r="F304" s="76"/>
      <c r="G304" s="76"/>
      <c r="H304" s="76"/>
      <c r="I304" s="76"/>
      <c r="J304" s="76"/>
      <c r="K304" s="7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7"/>
      <c r="AA304" s="58"/>
      <c r="AB304" s="58"/>
    </row>
    <row r="305" ht="15.75" customHeight="1">
      <c r="A305" s="76"/>
      <c r="B305" s="76"/>
      <c r="C305" s="77"/>
      <c r="D305" s="77"/>
      <c r="E305" s="76"/>
      <c r="F305" s="76"/>
      <c r="G305" s="76"/>
      <c r="H305" s="76"/>
      <c r="I305" s="76"/>
      <c r="J305" s="76"/>
      <c r="K305" s="7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7"/>
      <c r="AA305" s="58"/>
      <c r="AB305" s="58"/>
    </row>
    <row r="306" ht="15.75" customHeight="1">
      <c r="A306" s="76"/>
      <c r="B306" s="76"/>
      <c r="C306" s="77"/>
      <c r="D306" s="77"/>
      <c r="E306" s="76"/>
      <c r="F306" s="76"/>
      <c r="G306" s="76"/>
      <c r="H306" s="76"/>
      <c r="I306" s="76"/>
      <c r="J306" s="76"/>
      <c r="K306" s="7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7"/>
      <c r="AA306" s="58"/>
      <c r="AB306" s="58"/>
    </row>
    <row r="307" ht="15.75" customHeight="1">
      <c r="A307" s="76"/>
      <c r="B307" s="76"/>
      <c r="C307" s="77"/>
      <c r="D307" s="77"/>
      <c r="E307" s="76"/>
      <c r="F307" s="76"/>
      <c r="G307" s="76"/>
      <c r="H307" s="76"/>
      <c r="I307" s="76"/>
      <c r="J307" s="76"/>
      <c r="K307" s="7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7"/>
      <c r="AA307" s="58"/>
      <c r="AB307" s="58"/>
    </row>
    <row r="308" ht="15.75" customHeight="1">
      <c r="A308" s="76"/>
      <c r="B308" s="76"/>
      <c r="C308" s="77"/>
      <c r="D308" s="77"/>
      <c r="E308" s="76"/>
      <c r="F308" s="76"/>
      <c r="G308" s="76"/>
      <c r="H308" s="76"/>
      <c r="I308" s="76"/>
      <c r="J308" s="76"/>
      <c r="K308" s="7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7"/>
      <c r="AA308" s="58"/>
      <c r="AB308" s="58"/>
    </row>
    <row r="309" ht="15.75" customHeight="1">
      <c r="A309" s="78"/>
      <c r="B309" s="78"/>
      <c r="C309" s="79"/>
      <c r="D309" s="79"/>
      <c r="E309" s="78"/>
      <c r="F309" s="78"/>
      <c r="G309" s="78"/>
      <c r="H309" s="78"/>
      <c r="I309" s="78"/>
      <c r="J309" s="78"/>
      <c r="K309" s="78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7"/>
      <c r="AA309" s="58"/>
      <c r="AB309" s="59"/>
    </row>
    <row r="310" ht="15.75" customHeight="1">
      <c r="A310" s="78"/>
      <c r="B310" s="78"/>
      <c r="C310" s="79"/>
      <c r="D310" s="79"/>
      <c r="E310" s="78"/>
      <c r="F310" s="78"/>
      <c r="G310" s="78"/>
      <c r="H310" s="78"/>
      <c r="I310" s="78"/>
      <c r="J310" s="78"/>
      <c r="K310" s="78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7"/>
      <c r="AA310" s="58"/>
      <c r="AB310" s="59"/>
    </row>
    <row r="311" ht="15.75" customHeight="1">
      <c r="A311" s="78"/>
      <c r="B311" s="78"/>
      <c r="C311" s="79"/>
      <c r="D311" s="79"/>
      <c r="E311" s="78"/>
      <c r="F311" s="78"/>
      <c r="G311" s="78"/>
      <c r="H311" s="78"/>
      <c r="I311" s="78"/>
      <c r="J311" s="78"/>
      <c r="K311" s="78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7"/>
      <c r="AA311" s="58"/>
      <c r="AB311" s="59"/>
    </row>
    <row r="312" ht="15.75" customHeight="1">
      <c r="A312" s="78"/>
      <c r="B312" s="78"/>
      <c r="C312" s="79"/>
      <c r="D312" s="79"/>
      <c r="E312" s="78"/>
      <c r="F312" s="78"/>
      <c r="G312" s="78"/>
      <c r="H312" s="78"/>
      <c r="I312" s="78"/>
      <c r="J312" s="78"/>
      <c r="K312" s="78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7"/>
      <c r="AA312" s="58"/>
      <c r="AB312" s="59"/>
    </row>
    <row r="313" ht="15.75" customHeight="1">
      <c r="A313" s="78"/>
      <c r="B313" s="78"/>
      <c r="C313" s="79"/>
      <c r="D313" s="79"/>
      <c r="E313" s="78"/>
      <c r="F313" s="78"/>
      <c r="G313" s="78"/>
      <c r="H313" s="78"/>
      <c r="I313" s="78"/>
      <c r="J313" s="78"/>
      <c r="K313" s="78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7"/>
      <c r="AA313" s="58"/>
      <c r="AB313" s="59"/>
    </row>
    <row r="314" ht="15.75" customHeight="1">
      <c r="A314" s="78"/>
      <c r="B314" s="78"/>
      <c r="C314" s="79"/>
      <c r="D314" s="79"/>
      <c r="E314" s="78"/>
      <c r="F314" s="78"/>
      <c r="G314" s="78"/>
      <c r="H314" s="78"/>
      <c r="I314" s="78"/>
      <c r="J314" s="78"/>
      <c r="K314" s="78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7"/>
      <c r="AA314" s="58"/>
      <c r="AB314" s="59"/>
    </row>
    <row r="315" ht="15.75" customHeight="1">
      <c r="A315" s="78"/>
      <c r="B315" s="78"/>
      <c r="C315" s="79"/>
      <c r="D315" s="79"/>
      <c r="E315" s="78"/>
      <c r="F315" s="78"/>
      <c r="G315" s="78"/>
      <c r="H315" s="78"/>
      <c r="I315" s="78"/>
      <c r="J315" s="78"/>
      <c r="K315" s="78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7"/>
      <c r="AA315" s="58"/>
      <c r="AB315" s="59"/>
    </row>
    <row r="316" ht="15.75" customHeight="1">
      <c r="A316" s="78"/>
      <c r="B316" s="78"/>
      <c r="C316" s="79"/>
      <c r="D316" s="79"/>
      <c r="E316" s="78"/>
      <c r="F316" s="78"/>
      <c r="G316" s="78"/>
      <c r="H316" s="78"/>
      <c r="I316" s="78"/>
      <c r="J316" s="78"/>
      <c r="K316" s="78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7"/>
      <c r="AA316" s="58"/>
      <c r="AB316" s="59"/>
    </row>
    <row r="317" ht="15.75" customHeight="1">
      <c r="A317" s="78"/>
      <c r="B317" s="78"/>
      <c r="C317" s="79"/>
      <c r="D317" s="79"/>
      <c r="E317" s="78"/>
      <c r="F317" s="78"/>
      <c r="G317" s="78"/>
      <c r="H317" s="78"/>
      <c r="I317" s="78"/>
      <c r="J317" s="78"/>
      <c r="K317" s="78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7"/>
      <c r="AA317" s="58"/>
      <c r="AB317" s="59"/>
    </row>
    <row r="318" ht="15.75" customHeight="1">
      <c r="A318" s="78"/>
      <c r="B318" s="78"/>
      <c r="C318" s="79"/>
      <c r="D318" s="79"/>
      <c r="E318" s="78"/>
      <c r="F318" s="78"/>
      <c r="G318" s="78"/>
      <c r="H318" s="78"/>
      <c r="I318" s="78"/>
      <c r="J318" s="78"/>
      <c r="K318" s="78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7"/>
      <c r="AA318" s="58"/>
      <c r="AB318" s="59"/>
    </row>
    <row r="319" ht="15.75" customHeight="1">
      <c r="A319" s="78"/>
      <c r="B319" s="78"/>
      <c r="C319" s="79"/>
      <c r="D319" s="79"/>
      <c r="E319" s="78"/>
      <c r="F319" s="78"/>
      <c r="G319" s="78"/>
      <c r="H319" s="78"/>
      <c r="I319" s="78"/>
      <c r="J319" s="78"/>
      <c r="K319" s="78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7"/>
      <c r="AA319" s="58"/>
      <c r="AB319" s="59"/>
    </row>
    <row r="320" ht="15.75" customHeight="1">
      <c r="A320" s="78"/>
      <c r="B320" s="78"/>
      <c r="C320" s="79"/>
      <c r="D320" s="79"/>
      <c r="E320" s="78"/>
      <c r="F320" s="78"/>
      <c r="G320" s="78"/>
      <c r="H320" s="78"/>
      <c r="I320" s="78"/>
      <c r="J320" s="78"/>
      <c r="K320" s="78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7"/>
      <c r="AA320" s="58"/>
      <c r="AB320" s="59"/>
    </row>
    <row r="321" ht="15.75" customHeight="1">
      <c r="A321" s="78"/>
      <c r="B321" s="78"/>
      <c r="C321" s="79"/>
      <c r="D321" s="79"/>
      <c r="E321" s="78"/>
      <c r="F321" s="78"/>
      <c r="G321" s="78"/>
      <c r="H321" s="78"/>
      <c r="I321" s="78"/>
      <c r="J321" s="78"/>
      <c r="K321" s="78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7"/>
      <c r="AA321" s="58"/>
      <c r="AB321" s="59"/>
    </row>
    <row r="322" ht="15.75" customHeight="1">
      <c r="A322" s="78"/>
      <c r="B322" s="78"/>
      <c r="C322" s="79"/>
      <c r="D322" s="79"/>
      <c r="E322" s="78"/>
      <c r="F322" s="78"/>
      <c r="G322" s="78"/>
      <c r="H322" s="78"/>
      <c r="I322" s="78"/>
      <c r="J322" s="78"/>
      <c r="K322" s="78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7"/>
      <c r="AA322" s="58"/>
      <c r="AB322" s="59"/>
    </row>
    <row r="323" ht="15.75" customHeight="1">
      <c r="A323" s="78"/>
      <c r="B323" s="78"/>
      <c r="C323" s="79"/>
      <c r="D323" s="79"/>
      <c r="E323" s="78"/>
      <c r="F323" s="78"/>
      <c r="G323" s="78"/>
      <c r="H323" s="78"/>
      <c r="I323" s="78"/>
      <c r="J323" s="78"/>
      <c r="K323" s="78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7"/>
      <c r="AA323" s="58"/>
      <c r="AB323" s="59"/>
    </row>
    <row r="324" ht="15.75" customHeight="1">
      <c r="A324" s="78"/>
      <c r="B324" s="78"/>
      <c r="C324" s="79"/>
      <c r="D324" s="79"/>
      <c r="E324" s="78"/>
      <c r="F324" s="78"/>
      <c r="G324" s="78"/>
      <c r="H324" s="78"/>
      <c r="I324" s="78"/>
      <c r="J324" s="78"/>
      <c r="K324" s="78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7"/>
      <c r="AA324" s="58"/>
      <c r="AB324" s="59"/>
    </row>
    <row r="325" ht="15.75" customHeight="1">
      <c r="A325" s="78"/>
      <c r="B325" s="78"/>
      <c r="C325" s="79"/>
      <c r="D325" s="79"/>
      <c r="E325" s="78"/>
      <c r="F325" s="78"/>
      <c r="G325" s="78"/>
      <c r="H325" s="78"/>
      <c r="I325" s="78"/>
      <c r="J325" s="78"/>
      <c r="K325" s="78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7"/>
      <c r="AA325" s="58"/>
      <c r="AB325" s="59"/>
    </row>
    <row r="326" ht="15.75" customHeight="1">
      <c r="A326" s="78"/>
      <c r="B326" s="78"/>
      <c r="C326" s="79"/>
      <c r="D326" s="79"/>
      <c r="E326" s="78"/>
      <c r="F326" s="78"/>
      <c r="G326" s="78"/>
      <c r="H326" s="78"/>
      <c r="I326" s="78"/>
      <c r="J326" s="78"/>
      <c r="K326" s="78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7"/>
      <c r="AA326" s="58"/>
      <c r="AB326" s="59"/>
    </row>
    <row r="327" ht="15.75" customHeight="1">
      <c r="A327" s="78"/>
      <c r="B327" s="78"/>
      <c r="C327" s="79"/>
      <c r="D327" s="79"/>
      <c r="E327" s="78"/>
      <c r="F327" s="78"/>
      <c r="G327" s="78"/>
      <c r="H327" s="78"/>
      <c r="I327" s="78"/>
      <c r="J327" s="78"/>
      <c r="K327" s="78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7"/>
      <c r="AA327" s="58"/>
      <c r="AB327" s="59"/>
    </row>
    <row r="328" ht="15.75" customHeight="1">
      <c r="A328" s="78"/>
      <c r="B328" s="78"/>
      <c r="C328" s="79"/>
      <c r="D328" s="79"/>
      <c r="E328" s="78"/>
      <c r="F328" s="78"/>
      <c r="G328" s="78"/>
      <c r="H328" s="78"/>
      <c r="I328" s="78"/>
      <c r="J328" s="78"/>
      <c r="K328" s="78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7"/>
      <c r="AA328" s="58"/>
      <c r="AB328" s="59"/>
    </row>
    <row r="329" ht="15.75" customHeight="1">
      <c r="A329" s="78"/>
      <c r="B329" s="78"/>
      <c r="C329" s="79"/>
      <c r="D329" s="79"/>
      <c r="E329" s="78"/>
      <c r="F329" s="78"/>
      <c r="G329" s="78"/>
      <c r="H329" s="78"/>
      <c r="I329" s="78"/>
      <c r="J329" s="78"/>
      <c r="K329" s="78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7"/>
      <c r="AA329" s="58"/>
      <c r="AB329" s="59"/>
    </row>
    <row r="330" ht="15.75" customHeight="1">
      <c r="A330" s="78"/>
      <c r="B330" s="78"/>
      <c r="C330" s="79"/>
      <c r="D330" s="79"/>
      <c r="E330" s="78"/>
      <c r="F330" s="78"/>
      <c r="G330" s="78"/>
      <c r="H330" s="78"/>
      <c r="I330" s="78"/>
      <c r="J330" s="78"/>
      <c r="K330" s="78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7"/>
      <c r="AA330" s="58"/>
      <c r="AB330" s="59"/>
    </row>
    <row r="331" ht="15.75" customHeight="1">
      <c r="A331" s="78"/>
      <c r="B331" s="78"/>
      <c r="C331" s="79"/>
      <c r="D331" s="79"/>
      <c r="E331" s="78"/>
      <c r="F331" s="78"/>
      <c r="G331" s="78"/>
      <c r="H331" s="78"/>
      <c r="I331" s="78"/>
      <c r="J331" s="78"/>
      <c r="K331" s="78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7"/>
      <c r="AA331" s="58"/>
      <c r="AB331" s="59"/>
    </row>
    <row r="332" ht="15.75" customHeight="1">
      <c r="A332" s="78"/>
      <c r="B332" s="78"/>
      <c r="C332" s="79"/>
      <c r="D332" s="79"/>
      <c r="E332" s="78"/>
      <c r="F332" s="78"/>
      <c r="G332" s="78"/>
      <c r="H332" s="78"/>
      <c r="I332" s="78"/>
      <c r="J332" s="78"/>
      <c r="K332" s="78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7"/>
      <c r="AA332" s="58"/>
      <c r="AB332" s="59"/>
    </row>
    <row r="333" ht="15.75" customHeight="1">
      <c r="A333" s="78"/>
      <c r="B333" s="78"/>
      <c r="C333" s="79"/>
      <c r="D333" s="79"/>
      <c r="E333" s="78"/>
      <c r="F333" s="78"/>
      <c r="G333" s="78"/>
      <c r="H333" s="78"/>
      <c r="I333" s="78"/>
      <c r="J333" s="78"/>
      <c r="K333" s="78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7"/>
      <c r="AA333" s="58"/>
      <c r="AB333" s="59"/>
    </row>
    <row r="334" ht="15.75" customHeight="1">
      <c r="A334" s="78"/>
      <c r="B334" s="78"/>
      <c r="C334" s="79"/>
      <c r="D334" s="79"/>
      <c r="E334" s="78"/>
      <c r="F334" s="78"/>
      <c r="G334" s="78"/>
      <c r="H334" s="78"/>
      <c r="I334" s="78"/>
      <c r="J334" s="78"/>
      <c r="K334" s="78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7"/>
      <c r="AA334" s="58"/>
      <c r="AB334" s="59"/>
    </row>
    <row r="335" ht="15.75" customHeight="1">
      <c r="A335" s="78"/>
      <c r="B335" s="78"/>
      <c r="C335" s="79"/>
      <c r="D335" s="79"/>
      <c r="E335" s="78"/>
      <c r="F335" s="78"/>
      <c r="G335" s="78"/>
      <c r="H335" s="78"/>
      <c r="I335" s="78"/>
      <c r="J335" s="78"/>
      <c r="K335" s="78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7"/>
      <c r="AA335" s="58"/>
      <c r="AB335" s="59"/>
    </row>
    <row r="336" ht="15.75" customHeight="1">
      <c r="A336" s="78"/>
      <c r="B336" s="78"/>
      <c r="C336" s="79"/>
      <c r="D336" s="79"/>
      <c r="E336" s="78"/>
      <c r="F336" s="78"/>
      <c r="G336" s="78"/>
      <c r="H336" s="78"/>
      <c r="I336" s="78"/>
      <c r="J336" s="78"/>
      <c r="K336" s="78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7"/>
      <c r="AA336" s="58"/>
      <c r="AB336" s="59"/>
    </row>
    <row r="337" ht="15.75" customHeight="1">
      <c r="A337" s="78"/>
      <c r="B337" s="78"/>
      <c r="C337" s="79"/>
      <c r="D337" s="79"/>
      <c r="E337" s="78"/>
      <c r="F337" s="78"/>
      <c r="G337" s="78"/>
      <c r="H337" s="78"/>
      <c r="I337" s="78"/>
      <c r="J337" s="78"/>
      <c r="K337" s="78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7"/>
      <c r="AA337" s="58"/>
      <c r="AB337" s="59"/>
    </row>
    <row r="338" ht="15.75" customHeight="1">
      <c r="A338" s="78"/>
      <c r="B338" s="78"/>
      <c r="C338" s="79"/>
      <c r="D338" s="79"/>
      <c r="E338" s="78"/>
      <c r="F338" s="78"/>
      <c r="G338" s="78"/>
      <c r="H338" s="78"/>
      <c r="I338" s="78"/>
      <c r="J338" s="78"/>
      <c r="K338" s="78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7"/>
      <c r="AA338" s="58"/>
      <c r="AB338" s="59"/>
    </row>
    <row r="339" ht="15.75" customHeight="1">
      <c r="A339" s="78"/>
      <c r="B339" s="78"/>
      <c r="C339" s="79"/>
      <c r="D339" s="79"/>
      <c r="E339" s="78"/>
      <c r="F339" s="78"/>
      <c r="G339" s="78"/>
      <c r="H339" s="78"/>
      <c r="I339" s="78"/>
      <c r="J339" s="78"/>
      <c r="K339" s="78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7"/>
      <c r="AA339" s="58"/>
      <c r="AB339" s="59"/>
    </row>
    <row r="340" ht="15.75" customHeight="1">
      <c r="A340" s="78"/>
      <c r="B340" s="78"/>
      <c r="C340" s="79"/>
      <c r="D340" s="79"/>
      <c r="E340" s="78"/>
      <c r="F340" s="78"/>
      <c r="G340" s="78"/>
      <c r="H340" s="78"/>
      <c r="I340" s="78"/>
      <c r="J340" s="78"/>
      <c r="K340" s="78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7"/>
      <c r="AA340" s="58"/>
      <c r="AB340" s="59"/>
    </row>
    <row r="341" ht="15.75" customHeight="1">
      <c r="A341" s="78"/>
      <c r="B341" s="78"/>
      <c r="C341" s="79"/>
      <c r="D341" s="79"/>
      <c r="E341" s="78"/>
      <c r="F341" s="78"/>
      <c r="G341" s="78"/>
      <c r="H341" s="78"/>
      <c r="I341" s="78"/>
      <c r="J341" s="78"/>
      <c r="K341" s="78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7"/>
      <c r="AA341" s="58"/>
      <c r="AB341" s="59"/>
    </row>
    <row r="342" ht="15.75" customHeight="1">
      <c r="A342" s="78"/>
      <c r="B342" s="78"/>
      <c r="C342" s="79"/>
      <c r="D342" s="79"/>
      <c r="E342" s="78"/>
      <c r="F342" s="78"/>
      <c r="G342" s="78"/>
      <c r="H342" s="78"/>
      <c r="I342" s="78"/>
      <c r="J342" s="78"/>
      <c r="K342" s="78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7"/>
      <c r="AA342" s="58"/>
      <c r="AB342" s="59"/>
    </row>
    <row r="343" ht="15.75" customHeight="1">
      <c r="A343" s="78"/>
      <c r="B343" s="78"/>
      <c r="C343" s="79"/>
      <c r="D343" s="79"/>
      <c r="E343" s="78"/>
      <c r="F343" s="78"/>
      <c r="G343" s="78"/>
      <c r="H343" s="78"/>
      <c r="I343" s="78"/>
      <c r="J343" s="78"/>
      <c r="K343" s="78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7"/>
      <c r="AA343" s="58"/>
      <c r="AB343" s="59"/>
    </row>
    <row r="344" ht="15.75" customHeight="1">
      <c r="A344" s="78"/>
      <c r="B344" s="78"/>
      <c r="C344" s="79"/>
      <c r="D344" s="79"/>
      <c r="E344" s="78"/>
      <c r="F344" s="78"/>
      <c r="G344" s="78"/>
      <c r="H344" s="78"/>
      <c r="I344" s="78"/>
      <c r="J344" s="78"/>
      <c r="K344" s="78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7"/>
      <c r="AA344" s="58"/>
      <c r="AB344" s="59"/>
    </row>
    <row r="345" ht="15.75" customHeight="1">
      <c r="A345" s="78"/>
      <c r="B345" s="78"/>
      <c r="C345" s="79"/>
      <c r="D345" s="79"/>
      <c r="E345" s="78"/>
      <c r="F345" s="78"/>
      <c r="G345" s="78"/>
      <c r="H345" s="78"/>
      <c r="I345" s="78"/>
      <c r="J345" s="78"/>
      <c r="K345" s="78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7"/>
      <c r="AA345" s="58"/>
      <c r="AB345" s="59"/>
    </row>
    <row r="346" ht="15.75" customHeight="1">
      <c r="A346" s="78"/>
      <c r="B346" s="78"/>
      <c r="C346" s="79"/>
      <c r="D346" s="79"/>
      <c r="E346" s="78"/>
      <c r="F346" s="78"/>
      <c r="G346" s="78"/>
      <c r="H346" s="78"/>
      <c r="I346" s="78"/>
      <c r="J346" s="78"/>
      <c r="K346" s="78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7"/>
      <c r="AA346" s="58"/>
      <c r="AB346" s="59"/>
    </row>
    <row r="347" ht="15.75" customHeight="1">
      <c r="A347" s="78"/>
      <c r="B347" s="78"/>
      <c r="C347" s="79"/>
      <c r="D347" s="79"/>
      <c r="E347" s="78"/>
      <c r="F347" s="78"/>
      <c r="G347" s="78"/>
      <c r="H347" s="78"/>
      <c r="I347" s="78"/>
      <c r="J347" s="78"/>
      <c r="K347" s="78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7"/>
      <c r="AA347" s="58"/>
      <c r="AB347" s="59"/>
    </row>
    <row r="348" ht="15.75" customHeight="1">
      <c r="A348" s="78"/>
      <c r="B348" s="78"/>
      <c r="C348" s="79"/>
      <c r="D348" s="79"/>
      <c r="E348" s="78"/>
      <c r="F348" s="78"/>
      <c r="G348" s="78"/>
      <c r="H348" s="78"/>
      <c r="I348" s="78"/>
      <c r="J348" s="78"/>
      <c r="K348" s="78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7"/>
      <c r="AA348" s="58"/>
      <c r="AB348" s="59"/>
    </row>
    <row r="349" ht="15.75" customHeight="1">
      <c r="A349" s="78"/>
      <c r="B349" s="78"/>
      <c r="C349" s="79"/>
      <c r="D349" s="79"/>
      <c r="E349" s="78"/>
      <c r="F349" s="78"/>
      <c r="G349" s="78"/>
      <c r="H349" s="78"/>
      <c r="I349" s="78"/>
      <c r="J349" s="78"/>
      <c r="K349" s="78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7"/>
      <c r="AA349" s="58"/>
      <c r="AB349" s="59"/>
    </row>
    <row r="350" ht="15.75" customHeight="1">
      <c r="A350" s="78"/>
      <c r="B350" s="78"/>
      <c r="C350" s="79"/>
      <c r="D350" s="79"/>
      <c r="E350" s="78"/>
      <c r="F350" s="78"/>
      <c r="G350" s="78"/>
      <c r="H350" s="78"/>
      <c r="I350" s="78"/>
      <c r="J350" s="78"/>
      <c r="K350" s="78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7"/>
      <c r="AA350" s="58"/>
      <c r="AB350" s="59"/>
    </row>
    <row r="351" ht="15.75" customHeight="1">
      <c r="A351" s="78"/>
      <c r="B351" s="78"/>
      <c r="C351" s="79"/>
      <c r="D351" s="79"/>
      <c r="E351" s="78"/>
      <c r="F351" s="78"/>
      <c r="G351" s="78"/>
      <c r="H351" s="78"/>
      <c r="I351" s="78"/>
      <c r="J351" s="78"/>
      <c r="K351" s="78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7"/>
      <c r="AA351" s="58"/>
      <c r="AB351" s="59"/>
    </row>
    <row r="352" ht="15.75" customHeight="1">
      <c r="A352" s="78"/>
      <c r="B352" s="78"/>
      <c r="C352" s="79"/>
      <c r="D352" s="79"/>
      <c r="E352" s="78"/>
      <c r="F352" s="78"/>
      <c r="G352" s="78"/>
      <c r="H352" s="78"/>
      <c r="I352" s="78"/>
      <c r="J352" s="78"/>
      <c r="K352" s="78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7"/>
      <c r="AA352" s="58"/>
      <c r="AB352" s="59"/>
    </row>
    <row r="353" ht="15.75" customHeight="1">
      <c r="A353" s="78"/>
      <c r="B353" s="78"/>
      <c r="C353" s="79"/>
      <c r="D353" s="79"/>
      <c r="E353" s="78"/>
      <c r="F353" s="78"/>
      <c r="G353" s="78"/>
      <c r="H353" s="78"/>
      <c r="I353" s="78"/>
      <c r="J353" s="78"/>
      <c r="K353" s="78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7"/>
      <c r="AA353" s="58"/>
      <c r="AB353" s="59"/>
    </row>
    <row r="354" ht="15.75" customHeight="1">
      <c r="A354" s="78"/>
      <c r="B354" s="78"/>
      <c r="C354" s="79"/>
      <c r="D354" s="79"/>
      <c r="E354" s="78"/>
      <c r="F354" s="78"/>
      <c r="G354" s="78"/>
      <c r="H354" s="78"/>
      <c r="I354" s="78"/>
      <c r="J354" s="78"/>
      <c r="K354" s="78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7"/>
      <c r="AA354" s="58"/>
      <c r="AB354" s="59"/>
    </row>
    <row r="355" ht="15.75" customHeight="1">
      <c r="A355" s="78"/>
      <c r="B355" s="78"/>
      <c r="C355" s="79"/>
      <c r="D355" s="79"/>
      <c r="E355" s="78"/>
      <c r="F355" s="78"/>
      <c r="G355" s="78"/>
      <c r="H355" s="78"/>
      <c r="I355" s="78"/>
      <c r="J355" s="78"/>
      <c r="K355" s="78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7"/>
      <c r="AA355" s="58"/>
      <c r="AB355" s="59"/>
    </row>
    <row r="356" ht="15.75" customHeight="1">
      <c r="A356" s="78"/>
      <c r="B356" s="78"/>
      <c r="C356" s="79"/>
      <c r="D356" s="79"/>
      <c r="E356" s="78"/>
      <c r="F356" s="78"/>
      <c r="G356" s="78"/>
      <c r="H356" s="78"/>
      <c r="I356" s="78"/>
      <c r="J356" s="78"/>
      <c r="K356" s="78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7"/>
      <c r="AA356" s="58"/>
      <c r="AB356" s="59"/>
    </row>
    <row r="357" ht="15.75" customHeight="1">
      <c r="A357" s="78"/>
      <c r="B357" s="78"/>
      <c r="C357" s="79"/>
      <c r="D357" s="79"/>
      <c r="E357" s="78"/>
      <c r="F357" s="78"/>
      <c r="G357" s="78"/>
      <c r="H357" s="78"/>
      <c r="I357" s="78"/>
      <c r="J357" s="78"/>
      <c r="K357" s="78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7"/>
      <c r="AA357" s="58"/>
      <c r="AB357" s="59"/>
    </row>
    <row r="358" ht="15.75" customHeight="1">
      <c r="A358" s="78"/>
      <c r="B358" s="78"/>
      <c r="C358" s="79"/>
      <c r="D358" s="79"/>
      <c r="E358" s="78"/>
      <c r="F358" s="78"/>
      <c r="G358" s="78"/>
      <c r="H358" s="78"/>
      <c r="I358" s="78"/>
      <c r="J358" s="78"/>
      <c r="K358" s="78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7"/>
      <c r="AA358" s="58"/>
      <c r="AB358" s="59"/>
    </row>
    <row r="359" ht="15.75" customHeight="1">
      <c r="A359" s="78"/>
      <c r="B359" s="78"/>
      <c r="C359" s="79"/>
      <c r="D359" s="79"/>
      <c r="E359" s="78"/>
      <c r="F359" s="78"/>
      <c r="G359" s="78"/>
      <c r="H359" s="78"/>
      <c r="I359" s="78"/>
      <c r="J359" s="78"/>
      <c r="K359" s="78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7"/>
      <c r="AA359" s="58"/>
      <c r="AB359" s="59"/>
    </row>
    <row r="360" ht="15.75" customHeight="1">
      <c r="A360" s="78"/>
      <c r="B360" s="78"/>
      <c r="C360" s="79"/>
      <c r="D360" s="79"/>
      <c r="E360" s="78"/>
      <c r="F360" s="78"/>
      <c r="G360" s="78"/>
      <c r="H360" s="78"/>
      <c r="I360" s="78"/>
      <c r="J360" s="78"/>
      <c r="K360" s="78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7"/>
      <c r="AA360" s="58"/>
      <c r="AB360" s="59"/>
    </row>
    <row r="361" ht="15.75" customHeight="1">
      <c r="A361" s="78"/>
      <c r="B361" s="78"/>
      <c r="C361" s="79"/>
      <c r="D361" s="79"/>
      <c r="E361" s="78"/>
      <c r="F361" s="78"/>
      <c r="G361" s="78"/>
      <c r="H361" s="78"/>
      <c r="I361" s="78"/>
      <c r="J361" s="78"/>
      <c r="K361" s="78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7"/>
      <c r="AA361" s="58"/>
      <c r="AB361" s="59"/>
    </row>
    <row r="362" ht="15.75" customHeight="1">
      <c r="A362" s="78"/>
      <c r="B362" s="78"/>
      <c r="C362" s="79"/>
      <c r="D362" s="79"/>
      <c r="E362" s="78"/>
      <c r="F362" s="78"/>
      <c r="G362" s="78"/>
      <c r="H362" s="78"/>
      <c r="I362" s="78"/>
      <c r="J362" s="78"/>
      <c r="K362" s="78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7"/>
      <c r="AA362" s="58"/>
      <c r="AB362" s="59"/>
    </row>
    <row r="363" ht="15.75" customHeight="1">
      <c r="A363" s="78"/>
      <c r="B363" s="78"/>
      <c r="C363" s="79"/>
      <c r="D363" s="79"/>
      <c r="E363" s="78"/>
      <c r="F363" s="78"/>
      <c r="G363" s="78"/>
      <c r="H363" s="78"/>
      <c r="I363" s="78"/>
      <c r="J363" s="78"/>
      <c r="K363" s="78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7"/>
      <c r="AA363" s="58"/>
      <c r="AB363" s="59"/>
    </row>
    <row r="364" ht="15.75" customHeight="1">
      <c r="A364" s="78"/>
      <c r="B364" s="78"/>
      <c r="C364" s="79"/>
      <c r="D364" s="79"/>
      <c r="E364" s="78"/>
      <c r="F364" s="78"/>
      <c r="G364" s="78"/>
      <c r="H364" s="78"/>
      <c r="I364" s="78"/>
      <c r="J364" s="78"/>
      <c r="K364" s="78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7"/>
      <c r="AA364" s="58"/>
      <c r="AB364" s="59"/>
    </row>
    <row r="365" ht="15.75" customHeight="1">
      <c r="A365" s="78"/>
      <c r="B365" s="78"/>
      <c r="C365" s="79"/>
      <c r="D365" s="79"/>
      <c r="E365" s="78"/>
      <c r="F365" s="78"/>
      <c r="G365" s="78"/>
      <c r="H365" s="78"/>
      <c r="I365" s="78"/>
      <c r="J365" s="78"/>
      <c r="K365" s="78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7"/>
      <c r="AA365" s="58"/>
      <c r="AB365" s="59"/>
    </row>
    <row r="366" ht="15.75" customHeight="1">
      <c r="A366" s="78"/>
      <c r="B366" s="78"/>
      <c r="C366" s="79"/>
      <c r="D366" s="79"/>
      <c r="E366" s="78"/>
      <c r="F366" s="78"/>
      <c r="G366" s="78"/>
      <c r="H366" s="78"/>
      <c r="I366" s="78"/>
      <c r="J366" s="78"/>
      <c r="K366" s="78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7"/>
      <c r="AA366" s="58"/>
      <c r="AB366" s="59"/>
    </row>
    <row r="367" ht="15.75" customHeight="1">
      <c r="A367" s="78"/>
      <c r="B367" s="78"/>
      <c r="C367" s="79"/>
      <c r="D367" s="79"/>
      <c r="E367" s="78"/>
      <c r="F367" s="78"/>
      <c r="G367" s="78"/>
      <c r="H367" s="78"/>
      <c r="I367" s="78"/>
      <c r="J367" s="78"/>
      <c r="K367" s="78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7"/>
      <c r="AA367" s="58"/>
      <c r="AB367" s="59"/>
    </row>
    <row r="368" ht="15.75" customHeight="1">
      <c r="A368" s="78"/>
      <c r="B368" s="78"/>
      <c r="C368" s="79"/>
      <c r="D368" s="79"/>
      <c r="E368" s="78"/>
      <c r="F368" s="78"/>
      <c r="G368" s="78"/>
      <c r="H368" s="78"/>
      <c r="I368" s="78"/>
      <c r="J368" s="78"/>
      <c r="K368" s="78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7"/>
      <c r="AA368" s="58"/>
      <c r="AB368" s="59"/>
    </row>
    <row r="369" ht="15.75" customHeight="1">
      <c r="A369" s="78"/>
      <c r="B369" s="78"/>
      <c r="C369" s="79"/>
      <c r="D369" s="79"/>
      <c r="E369" s="78"/>
      <c r="F369" s="78"/>
      <c r="G369" s="78"/>
      <c r="H369" s="78"/>
      <c r="I369" s="78"/>
      <c r="J369" s="78"/>
      <c r="K369" s="78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7"/>
      <c r="AA369" s="58"/>
      <c r="AB369" s="59"/>
    </row>
    <row r="370" ht="15.75" customHeight="1">
      <c r="A370" s="78"/>
      <c r="B370" s="78"/>
      <c r="C370" s="79"/>
      <c r="D370" s="79"/>
      <c r="E370" s="78"/>
      <c r="F370" s="78"/>
      <c r="G370" s="78"/>
      <c r="H370" s="78"/>
      <c r="I370" s="78"/>
      <c r="J370" s="78"/>
      <c r="K370" s="78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7"/>
      <c r="AA370" s="58"/>
      <c r="AB370" s="59"/>
    </row>
    <row r="371" ht="15.75" customHeight="1">
      <c r="A371" s="78"/>
      <c r="B371" s="78"/>
      <c r="C371" s="79"/>
      <c r="D371" s="79"/>
      <c r="E371" s="78"/>
      <c r="F371" s="78"/>
      <c r="G371" s="78"/>
      <c r="H371" s="78"/>
      <c r="I371" s="78"/>
      <c r="J371" s="78"/>
      <c r="K371" s="78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7"/>
      <c r="AA371" s="58"/>
      <c r="AB371" s="59"/>
    </row>
    <row r="372" ht="15.75" customHeight="1">
      <c r="A372" s="78"/>
      <c r="B372" s="78"/>
      <c r="C372" s="79"/>
      <c r="D372" s="79"/>
      <c r="E372" s="78"/>
      <c r="F372" s="78"/>
      <c r="G372" s="78"/>
      <c r="H372" s="78"/>
      <c r="I372" s="78"/>
      <c r="J372" s="78"/>
      <c r="K372" s="78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7"/>
      <c r="AA372" s="58"/>
      <c r="AB372" s="59"/>
    </row>
    <row r="373" ht="15.75" customHeight="1">
      <c r="A373" s="78"/>
      <c r="B373" s="78"/>
      <c r="C373" s="79"/>
      <c r="D373" s="79"/>
      <c r="E373" s="78"/>
      <c r="F373" s="78"/>
      <c r="G373" s="78"/>
      <c r="H373" s="78"/>
      <c r="I373" s="78"/>
      <c r="J373" s="78"/>
      <c r="K373" s="78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7"/>
      <c r="AA373" s="58"/>
      <c r="AB373" s="59"/>
    </row>
    <row r="374" ht="15.75" customHeight="1">
      <c r="A374" s="78"/>
      <c r="B374" s="78"/>
      <c r="C374" s="79"/>
      <c r="D374" s="79"/>
      <c r="E374" s="78"/>
      <c r="F374" s="78"/>
      <c r="G374" s="78"/>
      <c r="H374" s="78"/>
      <c r="I374" s="78"/>
      <c r="J374" s="78"/>
      <c r="K374" s="78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7"/>
      <c r="AA374" s="58"/>
      <c r="AB374" s="59"/>
    </row>
    <row r="375" ht="15.75" customHeight="1">
      <c r="A375" s="78"/>
      <c r="B375" s="78"/>
      <c r="C375" s="79"/>
      <c r="D375" s="79"/>
      <c r="E375" s="78"/>
      <c r="F375" s="78"/>
      <c r="G375" s="78"/>
      <c r="H375" s="78"/>
      <c r="I375" s="78"/>
      <c r="J375" s="78"/>
      <c r="K375" s="78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7"/>
      <c r="AA375" s="58"/>
      <c r="AB375" s="59"/>
    </row>
    <row r="376" ht="15.75" customHeight="1">
      <c r="A376" s="78"/>
      <c r="B376" s="78"/>
      <c r="C376" s="79"/>
      <c r="D376" s="79"/>
      <c r="E376" s="78"/>
      <c r="F376" s="78"/>
      <c r="G376" s="78"/>
      <c r="H376" s="78"/>
      <c r="I376" s="78"/>
      <c r="J376" s="78"/>
      <c r="K376" s="78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7"/>
      <c r="AA376" s="58"/>
      <c r="AB376" s="59"/>
    </row>
    <row r="377" ht="15.75" customHeight="1">
      <c r="A377" s="78"/>
      <c r="B377" s="78"/>
      <c r="C377" s="79"/>
      <c r="D377" s="79"/>
      <c r="E377" s="78"/>
      <c r="F377" s="78"/>
      <c r="G377" s="78"/>
      <c r="H377" s="78"/>
      <c r="I377" s="78"/>
      <c r="J377" s="78"/>
      <c r="K377" s="78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7"/>
      <c r="AA377" s="58"/>
      <c r="AB377" s="59"/>
    </row>
    <row r="378" ht="15.75" customHeight="1">
      <c r="A378" s="78"/>
      <c r="B378" s="78"/>
      <c r="C378" s="79"/>
      <c r="D378" s="79"/>
      <c r="E378" s="78"/>
      <c r="F378" s="78"/>
      <c r="G378" s="78"/>
      <c r="H378" s="78"/>
      <c r="I378" s="78"/>
      <c r="J378" s="78"/>
      <c r="K378" s="78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7"/>
      <c r="AA378" s="58"/>
      <c r="AB378" s="59"/>
    </row>
    <row r="379" ht="15.75" customHeight="1">
      <c r="A379" s="78"/>
      <c r="B379" s="78"/>
      <c r="C379" s="79"/>
      <c r="D379" s="79"/>
      <c r="E379" s="78"/>
      <c r="F379" s="78"/>
      <c r="G379" s="78"/>
      <c r="H379" s="78"/>
      <c r="I379" s="78"/>
      <c r="J379" s="78"/>
      <c r="K379" s="78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7"/>
      <c r="AA379" s="58"/>
      <c r="AB379" s="59"/>
    </row>
    <row r="380" ht="15.75" customHeight="1">
      <c r="A380" s="78"/>
      <c r="B380" s="78"/>
      <c r="C380" s="79"/>
      <c r="D380" s="79"/>
      <c r="E380" s="78"/>
      <c r="F380" s="78"/>
      <c r="G380" s="78"/>
      <c r="H380" s="78"/>
      <c r="I380" s="78"/>
      <c r="J380" s="78"/>
      <c r="K380" s="78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7"/>
      <c r="AA380" s="58"/>
      <c r="AB380" s="59"/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2:K180">
    <cfRule type="containsBlanks" dxfId="0" priority="1">
      <formula>LEN(TRIM(A2))=0</formula>
    </cfRule>
  </conditionalFormatting>
  <printOptions horizontalCentered="1"/>
  <pageMargins bottom="0.75" footer="0.0" header="0.0" left="0.7" right="0.7" top="0.75"/>
  <pageSetup paperSize="9" orientation="landscape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DC3E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5.63"/>
    <col customWidth="1" min="2" max="2" width="8.0"/>
    <col customWidth="1" min="3" max="3" width="17.25"/>
    <col customWidth="1" min="4" max="4" width="13.88"/>
    <col customWidth="1" min="5" max="6" width="5.38"/>
    <col customWidth="1" min="7" max="21" width="8.25"/>
    <col customWidth="1" min="22" max="28" width="7.0"/>
  </cols>
  <sheetData>
    <row r="1" ht="13.5" customHeight="1">
      <c r="A1" s="80" t="s">
        <v>0</v>
      </c>
      <c r="B1" s="80" t="s">
        <v>1</v>
      </c>
      <c r="C1" s="81" t="s">
        <v>2</v>
      </c>
      <c r="D1" s="81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41"/>
      <c r="M1" s="42"/>
      <c r="N1" s="42"/>
      <c r="O1" s="42"/>
      <c r="P1" s="42"/>
      <c r="Q1" s="42"/>
      <c r="R1" s="42"/>
      <c r="S1" s="42"/>
      <c r="T1" s="42"/>
      <c r="U1" s="42"/>
      <c r="V1" s="43"/>
      <c r="W1" s="43"/>
      <c r="X1" s="43"/>
      <c r="Y1" s="43"/>
      <c r="Z1" s="44"/>
      <c r="AA1" s="45"/>
      <c r="AB1" s="46"/>
    </row>
    <row r="2" ht="13.5" customHeight="1">
      <c r="A2" s="47">
        <f>IFERROR(__xludf.DUMMYFUNCTION("importrange(""https://docs.google.com/spreadsheets/d/1SneboWg5ForOUIMyz7kk7PNTpQ7WlnVISde0cc3ncMg/edit?gid=350079654#gid=350079654"",""Resultats_F!A2:O180"")"),1.0)</f>
        <v>1</v>
      </c>
      <c r="B2" s="48" t="str">
        <f>IFERROR(__xludf.DUMMYFUNCTION("""COMPUTED_VALUE"""),"212")</f>
        <v>212</v>
      </c>
      <c r="C2" s="49" t="str">
        <f>IFERROR(__xludf.DUMMYFUNCTION("""COMPUTED_VALUE"""),"PIPITONE FEDERICO")</f>
        <v>PIPITONE FEDERICO</v>
      </c>
      <c r="D2" s="50" t="str">
        <f>IFERROR(__xludf.DUMMYFUNCTION("""COMPUTED_VALUE"""),"ALESSANDRA")</f>
        <v>ALESSANDRA</v>
      </c>
      <c r="E2" s="51" t="str">
        <f>IFERROR(__xludf.DUMMYFUNCTION("""COMPUTED_VALUE"""),"SF4")</f>
        <v>SF4</v>
      </c>
      <c r="F2" s="51">
        <f>IFERROR(__xludf.DUMMYFUNCTION("""COMPUTED_VALUE"""),1.0)</f>
        <v>1</v>
      </c>
      <c r="G2" s="52">
        <f>IFERROR(__xludf.DUMMYFUNCTION("""COMPUTED_VALUE"""),0.020289352603728297)</f>
        <v>0.0202893526</v>
      </c>
      <c r="H2" s="53">
        <f>IFERROR(__xludf.DUMMYFUNCTION("""COMPUTED_VALUE"""),0.0035763888963144066)</f>
        <v>0.003576388896</v>
      </c>
      <c r="I2" s="53">
        <f>IFERROR(__xludf.DUMMYFUNCTION("""COMPUTED_VALUE"""),0.007731481575510772)</f>
        <v>0.007731481576</v>
      </c>
      <c r="J2" s="53">
        <f>IFERROR(__xludf.DUMMYFUNCTION("""COMPUTED_VALUE"""),0.008148148643911746)</f>
        <v>0.008148148644</v>
      </c>
      <c r="K2" s="54">
        <f>IFERROR(__xludf.DUMMYFUNCTION("""COMPUTED_VALUE"""),8.33333487991372E-4)</f>
        <v>0.000833333488</v>
      </c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6"/>
      <c r="X2" s="56"/>
      <c r="Y2" s="56"/>
      <c r="Z2" s="57"/>
      <c r="AA2" s="58"/>
      <c r="AB2" s="59"/>
    </row>
    <row r="3" ht="13.5" customHeight="1">
      <c r="A3" s="60">
        <f>IFERROR(__xludf.DUMMYFUNCTION("""COMPUTED_VALUE"""),2.0)</f>
        <v>2</v>
      </c>
      <c r="B3" s="61" t="str">
        <f>IFERROR(__xludf.DUMMYFUNCTION("""COMPUTED_VALUE"""),"83")</f>
        <v>83</v>
      </c>
      <c r="C3" s="62" t="str">
        <f>IFERROR(__xludf.DUMMYFUNCTION("""COMPUTED_VALUE"""),"LE VAGUERES")</f>
        <v>LE VAGUERES</v>
      </c>
      <c r="D3" s="63" t="str">
        <f>IFERROR(__xludf.DUMMYFUNCTION("""COMPUTED_VALUE"""),"CHLOÉ")</f>
        <v>CHLOÉ</v>
      </c>
      <c r="E3" s="51" t="str">
        <f>IFERROR(__xludf.DUMMYFUNCTION("""COMPUTED_VALUE"""),"MF2")</f>
        <v>MF2</v>
      </c>
      <c r="F3" s="64">
        <f>IFERROR(__xludf.DUMMYFUNCTION("""COMPUTED_VALUE"""),1.0)</f>
        <v>1</v>
      </c>
      <c r="G3" s="52">
        <f>IFERROR(__xludf.DUMMYFUNCTION("""COMPUTED_VALUE"""),0.021215278317415456)</f>
        <v>0.02121527832</v>
      </c>
      <c r="H3" s="53">
        <f>IFERROR(__xludf.DUMMYFUNCTION("""COMPUTED_VALUE"""),0.003946759294533616)</f>
        <v>0.003946759295</v>
      </c>
      <c r="I3" s="53">
        <f>IFERROR(__xludf.DUMMYFUNCTION("""COMPUTED_VALUE"""),0.008437500106124917)</f>
        <v>0.008437500106</v>
      </c>
      <c r="J3" s="53">
        <f>IFERROR(__xludf.DUMMYFUNCTION("""COMPUTED_VALUE"""),0.007974537124837061)</f>
        <v>0.007974537125</v>
      </c>
      <c r="K3" s="54">
        <f>IFERROR(__xludf.DUMMYFUNCTION("""COMPUTED_VALUE"""),8.564817919198622E-4)</f>
        <v>0.0008564817919</v>
      </c>
      <c r="L3" s="55"/>
      <c r="M3" s="55"/>
      <c r="N3" s="55"/>
      <c r="O3" s="55"/>
      <c r="P3" s="55"/>
      <c r="Q3" s="55"/>
      <c r="R3" s="55"/>
      <c r="S3" s="55"/>
      <c r="T3" s="55"/>
      <c r="U3" s="55"/>
      <c r="V3" s="56"/>
      <c r="W3" s="56"/>
      <c r="X3" s="56"/>
      <c r="Y3" s="56"/>
      <c r="Z3" s="57"/>
      <c r="AA3" s="58"/>
      <c r="AB3" s="59"/>
    </row>
    <row r="4" ht="13.5" customHeight="1">
      <c r="A4" s="60">
        <f>IFERROR(__xludf.DUMMYFUNCTION("""COMPUTED_VALUE"""),3.0)</f>
        <v>3</v>
      </c>
      <c r="B4" s="61" t="str">
        <f>IFERROR(__xludf.DUMMYFUNCTION("""COMPUTED_VALUE"""),"226")</f>
        <v>226</v>
      </c>
      <c r="C4" s="62" t="str">
        <f>IFERROR(__xludf.DUMMYFUNCTION("""COMPUTED_VALUE"""),"VIGY")</f>
        <v>VIGY</v>
      </c>
      <c r="D4" s="63" t="str">
        <f>IFERROR(__xludf.DUMMYFUNCTION("""COMPUTED_VALUE"""),"MARIE")</f>
        <v>MARIE</v>
      </c>
      <c r="E4" s="51" t="str">
        <f>IFERROR(__xludf.DUMMYFUNCTION("""COMPUTED_VALUE"""),"SF3")</f>
        <v>SF3</v>
      </c>
      <c r="F4" s="64">
        <f>IFERROR(__xludf.DUMMYFUNCTION("""COMPUTED_VALUE"""),1.0)</f>
        <v>1</v>
      </c>
      <c r="G4" s="52">
        <f>IFERROR(__xludf.DUMMYFUNCTION("""COMPUTED_VALUE"""),0.021388890044445504)</f>
        <v>0.02138889004</v>
      </c>
      <c r="H4" s="53">
        <f>IFERROR(__xludf.DUMMYFUNCTION("""COMPUTED_VALUE"""),0.0038194445476394247)</f>
        <v>0.003819444548</v>
      </c>
      <c r="I4" s="53">
        <f>IFERROR(__xludf.DUMMYFUNCTION("""COMPUTED_VALUE"""),0.008020833421309107)</f>
        <v>0.008020833421</v>
      </c>
      <c r="J4" s="53">
        <f>IFERROR(__xludf.DUMMYFUNCTION("""COMPUTED_VALUE"""),0.008611111990189338)</f>
        <v>0.00861111199</v>
      </c>
      <c r="K4" s="54">
        <f>IFERROR(__xludf.DUMMYFUNCTION("""COMPUTED_VALUE"""),9.375000853076338E-4)</f>
        <v>0.0009375000853</v>
      </c>
      <c r="L4" s="55"/>
      <c r="M4" s="55"/>
      <c r="N4" s="55"/>
      <c r="O4" s="55"/>
      <c r="P4" s="55"/>
      <c r="Q4" s="55"/>
      <c r="R4" s="55"/>
      <c r="S4" s="55"/>
      <c r="T4" s="55"/>
      <c r="U4" s="55"/>
      <c r="V4" s="56"/>
      <c r="W4" s="56"/>
      <c r="X4" s="56"/>
      <c r="Y4" s="56"/>
      <c r="Z4" s="57"/>
      <c r="AA4" s="58"/>
      <c r="AB4" s="59"/>
    </row>
    <row r="5" ht="13.5" customHeight="1">
      <c r="A5" s="60">
        <f>IFERROR(__xludf.DUMMYFUNCTION("""COMPUTED_VALUE"""),4.0)</f>
        <v>4</v>
      </c>
      <c r="B5" s="61" t="str">
        <f>IFERROR(__xludf.DUMMYFUNCTION("""COMPUTED_VALUE"""),"225")</f>
        <v>225</v>
      </c>
      <c r="C5" s="62" t="str">
        <f>IFERROR(__xludf.DUMMYFUNCTION("""COMPUTED_VALUE"""),"AZADIAN")</f>
        <v>AZADIAN</v>
      </c>
      <c r="D5" s="63" t="str">
        <f>IFERROR(__xludf.DUMMYFUNCTION("""COMPUTED_VALUE"""),"PHILIPPINE")</f>
        <v>PHILIPPINE</v>
      </c>
      <c r="E5" s="51" t="str">
        <f>IFERROR(__xludf.DUMMYFUNCTION("""COMPUTED_VALUE"""),"SF3")</f>
        <v>SF3</v>
      </c>
      <c r="F5" s="64">
        <f>IFERROR(__xludf.DUMMYFUNCTION("""COMPUTED_VALUE"""),2.0)</f>
        <v>2</v>
      </c>
      <c r="G5" s="52">
        <f>IFERROR(__xludf.DUMMYFUNCTION("""COMPUTED_VALUE"""),0.02168981581563717)</f>
        <v>0.02168981582</v>
      </c>
      <c r="H5" s="53">
        <f>IFERROR(__xludf.DUMMYFUNCTION("""COMPUTED_VALUE"""),0.0037268518850766606)</f>
        <v>0.003726851885</v>
      </c>
      <c r="I5" s="53">
        <f>IFERROR(__xludf.DUMMYFUNCTION("""COMPUTED_VALUE"""),0.00846064816159517)</f>
        <v>0.008460648162</v>
      </c>
      <c r="J5" s="53">
        <f>IFERROR(__xludf.DUMMYFUNCTION("""COMPUTED_VALUE"""),0.008877315384003697)</f>
        <v>0.008877315384</v>
      </c>
      <c r="K5" s="54">
        <f>IFERROR(__xludf.DUMMYFUNCTION("""COMPUTED_VALUE"""),6.250003849616417E-4)</f>
        <v>0.000625000385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6"/>
      <c r="W5" s="56"/>
      <c r="X5" s="56"/>
      <c r="Y5" s="56"/>
      <c r="Z5" s="57"/>
      <c r="AA5" s="58"/>
      <c r="AB5" s="59"/>
    </row>
    <row r="6" ht="13.5" customHeight="1">
      <c r="A6" s="60">
        <f>IFERROR(__xludf.DUMMYFUNCTION("""COMPUTED_VALUE"""),5.0)</f>
        <v>5</v>
      </c>
      <c r="B6" s="61" t="str">
        <f>IFERROR(__xludf.DUMMYFUNCTION("""COMPUTED_VALUE"""),"96")</f>
        <v>96</v>
      </c>
      <c r="C6" s="62" t="str">
        <f>IFERROR(__xludf.DUMMYFUNCTION("""COMPUTED_VALUE"""),"MEMLOUK")</f>
        <v>MEMLOUK</v>
      </c>
      <c r="D6" s="63" t="str">
        <f>IFERROR(__xludf.DUMMYFUNCTION("""COMPUTED_VALUE"""),"EDEN")</f>
        <v>EDEN</v>
      </c>
      <c r="E6" s="51" t="str">
        <f>IFERROR(__xludf.DUMMYFUNCTION("""COMPUTED_VALUE"""),"SF2")</f>
        <v>SF2</v>
      </c>
      <c r="F6" s="64">
        <f>IFERROR(__xludf.DUMMYFUNCTION("""COMPUTED_VALUE"""),1.0)</f>
        <v>1</v>
      </c>
      <c r="G6" s="52">
        <f>IFERROR(__xludf.DUMMYFUNCTION("""COMPUTED_VALUE"""),0.02201388960685123)</f>
        <v>0.02201388961</v>
      </c>
      <c r="H6" s="53">
        <f>IFERROR(__xludf.DUMMYFUNCTION("""COMPUTED_VALUE"""),0.004571759345703019)</f>
        <v>0.004571759346</v>
      </c>
      <c r="I6" s="53">
        <f>IFERROR(__xludf.DUMMYFUNCTION("""COMPUTED_VALUE"""),0.008217592633391292)</f>
        <v>0.008217592633</v>
      </c>
      <c r="J6" s="53">
        <f>IFERROR(__xludf.DUMMYFUNCTION("""COMPUTED_VALUE"""),0.007638889024891928)</f>
        <v>0.007638889025</v>
      </c>
      <c r="K6" s="54">
        <f>IFERROR(__xludf.DUMMYFUNCTION("""COMPUTED_VALUE"""),0.0015856486028649917)</f>
        <v>0.001585648603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6"/>
      <c r="W6" s="56"/>
      <c r="X6" s="56"/>
      <c r="Y6" s="56"/>
      <c r="Z6" s="57"/>
      <c r="AA6" s="58"/>
      <c r="AB6" s="59"/>
    </row>
    <row r="7" ht="13.5" customHeight="1">
      <c r="A7" s="60">
        <f>IFERROR(__xludf.DUMMYFUNCTION("""COMPUTED_VALUE"""),6.0)</f>
        <v>6</v>
      </c>
      <c r="B7" s="61" t="str">
        <f>IFERROR(__xludf.DUMMYFUNCTION("""COMPUTED_VALUE"""),"198")</f>
        <v>198</v>
      </c>
      <c r="C7" s="62" t="str">
        <f>IFERROR(__xludf.DUMMYFUNCTION("""COMPUTED_VALUE"""),"AURÉLIE")</f>
        <v>AURÉLIE</v>
      </c>
      <c r="D7" s="63" t="str">
        <f>IFERROR(__xludf.DUMMYFUNCTION("""COMPUTED_VALUE"""),"MICHELON")</f>
        <v>MICHELON</v>
      </c>
      <c r="E7" s="51" t="str">
        <f>IFERROR(__xludf.DUMMYFUNCTION("""COMPUTED_VALUE"""),"MF2")</f>
        <v>MF2</v>
      </c>
      <c r="F7" s="64">
        <f>IFERROR(__xludf.DUMMYFUNCTION("""COMPUTED_VALUE"""),2.0)</f>
        <v>2</v>
      </c>
      <c r="G7" s="52">
        <f>IFERROR(__xludf.DUMMYFUNCTION("""COMPUTED_VALUE"""),0.022013889823350796)</f>
        <v>0.02201388982</v>
      </c>
      <c r="H7" s="53">
        <f>IFERROR(__xludf.DUMMYFUNCTION("""COMPUTED_VALUE"""),0.0035648148899811976)</f>
        <v>0.00356481489</v>
      </c>
      <c r="I7" s="53">
        <f>IFERROR(__xludf.DUMMYFUNCTION("""COMPUTED_VALUE"""),0.00846064822026232)</f>
        <v>0.00846064822</v>
      </c>
      <c r="J7" s="53">
        <f>IFERROR(__xludf.DUMMYFUNCTION("""COMPUTED_VALUE"""),0.00901620415140611)</f>
        <v>0.009016204151</v>
      </c>
      <c r="K7" s="54">
        <f>IFERROR(__xludf.DUMMYFUNCTION("""COMPUTED_VALUE"""),9.722225617011682E-4)</f>
        <v>0.0009722225617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6"/>
      <c r="W7" s="56"/>
      <c r="X7" s="56"/>
      <c r="Y7" s="56"/>
      <c r="Z7" s="57"/>
      <c r="AA7" s="58"/>
      <c r="AB7" s="59"/>
    </row>
    <row r="8" ht="13.5" customHeight="1">
      <c r="A8" s="60">
        <f>IFERROR(__xludf.DUMMYFUNCTION("""COMPUTED_VALUE"""),7.0)</f>
        <v>7</v>
      </c>
      <c r="B8" s="61" t="str">
        <f>IFERROR(__xludf.DUMMYFUNCTION("""COMPUTED_VALUE"""),"213")</f>
        <v>213</v>
      </c>
      <c r="C8" s="62" t="str">
        <f>IFERROR(__xludf.DUMMYFUNCTION("""COMPUTED_VALUE"""),"MILLOT")</f>
        <v>MILLOT</v>
      </c>
      <c r="D8" s="63" t="str">
        <f>IFERROR(__xludf.DUMMYFUNCTION("""COMPUTED_VALUE"""),"ADELINE")</f>
        <v>ADELINE</v>
      </c>
      <c r="E8" s="51" t="str">
        <f>IFERROR(__xludf.DUMMYFUNCTION("""COMPUTED_VALUE"""),"MF1")</f>
        <v>MF1</v>
      </c>
      <c r="F8" s="64">
        <f>IFERROR(__xludf.DUMMYFUNCTION("""COMPUTED_VALUE"""),1.0)</f>
        <v>1</v>
      </c>
      <c r="G8" s="52">
        <f>IFERROR(__xludf.DUMMYFUNCTION("""COMPUTED_VALUE"""),0.022013889844180946)</f>
        <v>0.02201388984</v>
      </c>
      <c r="H8" s="53">
        <f>IFERROR(__xludf.DUMMYFUNCTION("""COMPUTED_VALUE"""),0.0030092593239090903)</f>
        <v>0.003009259324</v>
      </c>
      <c r="I8" s="53">
        <f>IFERROR(__xludf.DUMMYFUNCTION("""COMPUTED_VALUE"""),0.008067129667731902)</f>
        <v>0.008067129668</v>
      </c>
      <c r="J8" s="53">
        <f>IFERROR(__xludf.DUMMYFUNCTION("""COMPUTED_VALUE"""),0.010266203839905093)</f>
        <v>0.01026620384</v>
      </c>
      <c r="K8" s="54">
        <f>IFERROR(__xludf.DUMMYFUNCTION("""COMPUTED_VALUE"""),6.712970126348601E-4)</f>
        <v>0.0006712970126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6"/>
      <c r="W8" s="56"/>
      <c r="X8" s="56"/>
      <c r="Y8" s="56"/>
      <c r="Z8" s="57"/>
      <c r="AA8" s="58"/>
      <c r="AB8" s="59"/>
    </row>
    <row r="9" ht="13.5" customHeight="1">
      <c r="A9" s="60">
        <f>IFERROR(__xludf.DUMMYFUNCTION("""COMPUTED_VALUE"""),8.0)</f>
        <v>8</v>
      </c>
      <c r="B9" s="61" t="str">
        <f>IFERROR(__xludf.DUMMYFUNCTION("""COMPUTED_VALUE"""),"95")</f>
        <v>95</v>
      </c>
      <c r="C9" s="62" t="str">
        <f>IFERROR(__xludf.DUMMYFUNCTION("""COMPUTED_VALUE"""),"MARTELLOZZO")</f>
        <v>MARTELLOZZO</v>
      </c>
      <c r="D9" s="63" t="str">
        <f>IFERROR(__xludf.DUMMYFUNCTION("""COMPUTED_VALUE"""),"LAURA")</f>
        <v>LAURA</v>
      </c>
      <c r="E9" s="51" t="str">
        <f>IFERROR(__xludf.DUMMYFUNCTION("""COMPUTED_VALUE"""),"SF2")</f>
        <v>SF2</v>
      </c>
      <c r="F9" s="64">
        <f>IFERROR(__xludf.DUMMYFUNCTION("""COMPUTED_VALUE"""),2.0)</f>
        <v>2</v>
      </c>
      <c r="G9" s="52">
        <f>IFERROR(__xludf.DUMMYFUNCTION("""COMPUTED_VALUE"""),0.022361111831397475)</f>
        <v>0.02236111183</v>
      </c>
      <c r="H9" s="53">
        <f>IFERROR(__xludf.DUMMYFUNCTION("""COMPUTED_VALUE"""),0.004988425926623143)</f>
        <v>0.004988425927</v>
      </c>
      <c r="I9" s="53">
        <f>IFERROR(__xludf.DUMMYFUNCTION("""COMPUTED_VALUE"""),0.008437500081691604)</f>
        <v>0.008437500082</v>
      </c>
      <c r="J9" s="53">
        <f>IFERROR(__xludf.DUMMYFUNCTION("""COMPUTED_VALUE"""),0.007812499714124952)</f>
        <v>0.007812499714</v>
      </c>
      <c r="K9" s="54">
        <f>IFERROR(__xludf.DUMMYFUNCTION("""COMPUTED_VALUE"""),0.0011226861089577754)</f>
        <v>0.001122686109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6"/>
      <c r="W9" s="56"/>
      <c r="X9" s="56"/>
      <c r="Y9" s="56"/>
      <c r="Z9" s="57"/>
      <c r="AA9" s="58"/>
      <c r="AB9" s="59"/>
    </row>
    <row r="10" ht="13.5" customHeight="1">
      <c r="A10" s="60">
        <f>IFERROR(__xludf.DUMMYFUNCTION("""COMPUTED_VALUE"""),9.0)</f>
        <v>9</v>
      </c>
      <c r="B10" s="61" t="str">
        <f>IFERROR(__xludf.DUMMYFUNCTION("""COMPUTED_VALUE"""),"148")</f>
        <v>148</v>
      </c>
      <c r="C10" s="62" t="str">
        <f>IFERROR(__xludf.DUMMYFUNCTION("""COMPUTED_VALUE"""),"MEILLIER")</f>
        <v>MEILLIER</v>
      </c>
      <c r="D10" s="63" t="str">
        <f>IFERROR(__xludf.DUMMYFUNCTION("""COMPUTED_VALUE"""),"LUCIE")</f>
        <v>LUCIE</v>
      </c>
      <c r="E10" s="51" t="str">
        <f>IFERROR(__xludf.DUMMYFUNCTION("""COMPUTED_VALUE"""),"MF2")</f>
        <v>MF2</v>
      </c>
      <c r="F10" s="64">
        <f>IFERROR(__xludf.DUMMYFUNCTION("""COMPUTED_VALUE"""),3.0)</f>
        <v>3</v>
      </c>
      <c r="G10" s="52">
        <f>IFERROR(__xludf.DUMMYFUNCTION("""COMPUTED_VALUE"""),0.022650464004728445)</f>
        <v>0.022650464</v>
      </c>
      <c r="H10" s="53">
        <f>IFERROR(__xludf.DUMMYFUNCTION("""COMPUTED_VALUE"""),0.003993055592696236)</f>
        <v>0.003993055593</v>
      </c>
      <c r="I10" s="53">
        <f>IFERROR(__xludf.DUMMYFUNCTION("""COMPUTED_VALUE"""),0.008912037047073912)</f>
        <v>0.008912037047</v>
      </c>
      <c r="J10" s="53">
        <f>IFERROR(__xludf.DUMMYFUNCTION("""COMPUTED_VALUE"""),0.007905093539163618)</f>
        <v>0.007905093539</v>
      </c>
      <c r="K10" s="54">
        <f>IFERROR(__xludf.DUMMYFUNCTION("""COMPUTED_VALUE"""),0.0018402778257946787)</f>
        <v>0.001840277826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6"/>
      <c r="W10" s="56"/>
      <c r="X10" s="56"/>
      <c r="Y10" s="56"/>
      <c r="Z10" s="57"/>
      <c r="AA10" s="58"/>
      <c r="AB10" s="59"/>
    </row>
    <row r="11" ht="13.5" customHeight="1">
      <c r="A11" s="60">
        <f>IFERROR(__xludf.DUMMYFUNCTION("""COMPUTED_VALUE"""),10.0)</f>
        <v>10</v>
      </c>
      <c r="B11" s="61" t="str">
        <f>IFERROR(__xludf.DUMMYFUNCTION("""COMPUTED_VALUE"""),"227")</f>
        <v>227</v>
      </c>
      <c r="C11" s="62" t="str">
        <f>IFERROR(__xludf.DUMMYFUNCTION("""COMPUTED_VALUE"""),"VOROS")</f>
        <v>VOROS</v>
      </c>
      <c r="D11" s="63" t="str">
        <f>IFERROR(__xludf.DUMMYFUNCTION("""COMPUTED_VALUE"""),"CAROLINE")</f>
        <v>CAROLINE</v>
      </c>
      <c r="E11" s="51" t="str">
        <f>IFERROR(__xludf.DUMMYFUNCTION("""COMPUTED_VALUE"""),"SF2")</f>
        <v>SF2</v>
      </c>
      <c r="F11" s="64">
        <f>IFERROR(__xludf.DUMMYFUNCTION("""COMPUTED_VALUE"""),3.0)</f>
        <v>3</v>
      </c>
      <c r="G11" s="52">
        <f>IFERROR(__xludf.DUMMYFUNCTION("""COMPUTED_VALUE"""),0.022800926861683602)</f>
        <v>0.02280092686</v>
      </c>
      <c r="H11" s="53">
        <f>IFERROR(__xludf.DUMMYFUNCTION("""COMPUTED_VALUE"""),0.0038310185269194)</f>
        <v>0.003831018527</v>
      </c>
      <c r="I11" s="53">
        <f>IFERROR(__xludf.DUMMYFUNCTION("""COMPUTED_VALUE"""),0.007627314843310747)</f>
        <v>0.007627314843</v>
      </c>
      <c r="J11" s="53">
        <f>IFERROR(__xludf.DUMMYFUNCTION("""COMPUTED_VALUE"""),0.010219907401886882)</f>
        <v>0.0102199074</v>
      </c>
      <c r="K11" s="54">
        <f>IFERROR(__xludf.DUMMYFUNCTION("""COMPUTED_VALUE"""),0.0011226860895665733)</f>
        <v>0.00112268609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6"/>
      <c r="W11" s="56"/>
      <c r="X11" s="56"/>
      <c r="Y11" s="56"/>
      <c r="Z11" s="57"/>
      <c r="AA11" s="58"/>
      <c r="AB11" s="59"/>
    </row>
    <row r="12" ht="13.5" customHeight="1">
      <c r="A12" s="60">
        <f>IFERROR(__xludf.DUMMYFUNCTION("""COMPUTED_VALUE"""),11.0)</f>
        <v>11</v>
      </c>
      <c r="B12" s="61" t="str">
        <f>IFERROR(__xludf.DUMMYFUNCTION("""COMPUTED_VALUE"""),"99")</f>
        <v>99</v>
      </c>
      <c r="C12" s="62" t="str">
        <f>IFERROR(__xludf.DUMMYFUNCTION("""COMPUTED_VALUE"""),"BOUKHIBA")</f>
        <v>BOUKHIBA</v>
      </c>
      <c r="D12" s="63" t="str">
        <f>IFERROR(__xludf.DUMMYFUNCTION("""COMPUTED_VALUE"""),"SARAH")</f>
        <v>SARAH</v>
      </c>
      <c r="E12" s="51" t="str">
        <f>IFERROR(__xludf.DUMMYFUNCTION("""COMPUTED_VALUE"""),"SF2")</f>
        <v>SF2</v>
      </c>
      <c r="F12" s="64">
        <f>IFERROR(__xludf.DUMMYFUNCTION("""COMPUTED_VALUE"""),4.0)</f>
        <v>4</v>
      </c>
      <c r="G12" s="52">
        <f>IFERROR(__xludf.DUMMYFUNCTION("""COMPUTED_VALUE"""),0.022812500419936464)</f>
        <v>0.02281250042</v>
      </c>
      <c r="H12" s="53">
        <f>IFERROR(__xludf.DUMMYFUNCTION("""COMPUTED_VALUE"""),0.003472222273266771)</f>
        <v>0.003472222273</v>
      </c>
      <c r="I12" s="53">
        <f>IFERROR(__xludf.DUMMYFUNCTION("""COMPUTED_VALUE"""),0.009039351864320326)</f>
        <v>0.009039351864</v>
      </c>
      <c r="J12" s="53">
        <f>IFERROR(__xludf.DUMMYFUNCTION("""COMPUTED_VALUE"""),0.009131944852576488)</f>
        <v>0.009131944853</v>
      </c>
      <c r="K12" s="54">
        <f>IFERROR(__xludf.DUMMYFUNCTION("""COMPUTED_VALUE"""),0.0011689814297728782)</f>
        <v>0.00116898143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6"/>
      <c r="W12" s="56"/>
      <c r="X12" s="56"/>
      <c r="Y12" s="56"/>
      <c r="Z12" s="57"/>
      <c r="AA12" s="58"/>
      <c r="AB12" s="59"/>
    </row>
    <row r="13" ht="13.5" customHeight="1">
      <c r="A13" s="60">
        <f>IFERROR(__xludf.DUMMYFUNCTION("""COMPUTED_VALUE"""),12.0)</f>
        <v>12</v>
      </c>
      <c r="B13" s="61" t="str">
        <f>IFERROR(__xludf.DUMMYFUNCTION("""COMPUTED_VALUE"""),"71")</f>
        <v>71</v>
      </c>
      <c r="C13" s="62" t="str">
        <f>IFERROR(__xludf.DUMMYFUNCTION("""COMPUTED_VALUE"""),"BRES")</f>
        <v>BRES</v>
      </c>
      <c r="D13" s="63" t="str">
        <f>IFERROR(__xludf.DUMMYFUNCTION("""COMPUTED_VALUE"""),"EDITH")</f>
        <v>EDITH</v>
      </c>
      <c r="E13" s="51" t="str">
        <f>IFERROR(__xludf.DUMMYFUNCTION("""COMPUTED_VALUE"""),"SF4")</f>
        <v>SF4</v>
      </c>
      <c r="F13" s="64">
        <f>IFERROR(__xludf.DUMMYFUNCTION("""COMPUTED_VALUE"""),2.0)</f>
        <v>2</v>
      </c>
      <c r="G13" s="52">
        <f>IFERROR(__xludf.DUMMYFUNCTION("""COMPUTED_VALUE"""),0.02288194538449067)</f>
        <v>0.02288194538</v>
      </c>
      <c r="H13" s="53">
        <f>IFERROR(__xludf.DUMMYFUNCTION("""COMPUTED_VALUE"""),0.004155092692853159)</f>
        <v>0.004155092693</v>
      </c>
      <c r="I13" s="53">
        <f>IFERROR(__xludf.DUMMYFUNCTION("""COMPUTED_VALUE"""),0.008993055632710937)</f>
        <v>0.008993055633</v>
      </c>
      <c r="J13" s="53">
        <f>IFERROR(__xludf.DUMMYFUNCTION("""COMPUTED_VALUE"""),0.008831018634555555)</f>
        <v>0.008831018635</v>
      </c>
      <c r="K13" s="54">
        <f>IFERROR(__xludf.DUMMYFUNCTION("""COMPUTED_VALUE"""),9.027784243710174E-4)</f>
        <v>0.0009027784244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6"/>
      <c r="W13" s="56"/>
      <c r="X13" s="56"/>
      <c r="Y13" s="56"/>
      <c r="Z13" s="57"/>
      <c r="AA13" s="58"/>
      <c r="AB13" s="59"/>
    </row>
    <row r="14" ht="13.5" customHeight="1">
      <c r="A14" s="60">
        <f>IFERROR(__xludf.DUMMYFUNCTION("""COMPUTED_VALUE"""),13.0)</f>
        <v>13</v>
      </c>
      <c r="B14" s="61" t="str">
        <f>IFERROR(__xludf.DUMMYFUNCTION("""COMPUTED_VALUE"""),"184")</f>
        <v>184</v>
      </c>
      <c r="C14" s="62" t="str">
        <f>IFERROR(__xludf.DUMMYFUNCTION("""COMPUTED_VALUE"""),"HEATH")</f>
        <v>HEATH</v>
      </c>
      <c r="D14" s="63" t="str">
        <f>IFERROR(__xludf.DUMMYFUNCTION("""COMPUTED_VALUE"""),"JULIETTE")</f>
        <v>JULIETTE</v>
      </c>
      <c r="E14" s="51" t="str">
        <f>IFERROR(__xludf.DUMMYFUNCTION("""COMPUTED_VALUE"""),"SF4")</f>
        <v>SF4</v>
      </c>
      <c r="F14" s="64">
        <f>IFERROR(__xludf.DUMMYFUNCTION("""COMPUTED_VALUE"""),3.0)</f>
        <v>3</v>
      </c>
      <c r="G14" s="52">
        <f>IFERROR(__xludf.DUMMYFUNCTION("""COMPUTED_VALUE"""),0.023148149098744953)</f>
        <v>0.0231481491</v>
      </c>
      <c r="H14" s="53">
        <f>IFERROR(__xludf.DUMMYFUNCTION("""COMPUTED_VALUE"""),0.003715277839576642)</f>
        <v>0.00371527784</v>
      </c>
      <c r="I14" s="53">
        <f>IFERROR(__xludf.DUMMYFUNCTION("""COMPUTED_VALUE"""),0.008900463055988876)</f>
        <v>0.008900463056</v>
      </c>
      <c r="J14" s="53">
        <f>IFERROR(__xludf.DUMMYFUNCTION("""COMPUTED_VALUE"""),0.009375000127951469)</f>
        <v>0.009375000128</v>
      </c>
      <c r="K14" s="54">
        <f>IFERROR(__xludf.DUMMYFUNCTION("""COMPUTED_VALUE"""),0.0011574080752279666)</f>
        <v>0.001157408075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6"/>
      <c r="W14" s="56"/>
      <c r="X14" s="56"/>
      <c r="Y14" s="56"/>
      <c r="Z14" s="57"/>
      <c r="AA14" s="58"/>
      <c r="AB14" s="59"/>
    </row>
    <row r="15" ht="13.5" customHeight="1">
      <c r="A15" s="60">
        <f>IFERROR(__xludf.DUMMYFUNCTION("""COMPUTED_VALUE"""),14.0)</f>
        <v>14</v>
      </c>
      <c r="B15" s="61" t="str">
        <f>IFERROR(__xludf.DUMMYFUNCTION("""COMPUTED_VALUE"""),"94")</f>
        <v>94</v>
      </c>
      <c r="C15" s="62" t="str">
        <f>IFERROR(__xludf.DUMMYFUNCTION("""COMPUTED_VALUE"""),"VAMPARYS")</f>
        <v>VAMPARYS</v>
      </c>
      <c r="D15" s="63" t="str">
        <f>IFERROR(__xludf.DUMMYFUNCTION("""COMPUTED_VALUE"""),"LYDIE")</f>
        <v>LYDIE</v>
      </c>
      <c r="E15" s="51" t="str">
        <f>IFERROR(__xludf.DUMMYFUNCTION("""COMPUTED_VALUE"""),"MF1")</f>
        <v>MF1</v>
      </c>
      <c r="F15" s="64">
        <f>IFERROR(__xludf.DUMMYFUNCTION("""COMPUTED_VALUE"""),2.0)</f>
        <v>2</v>
      </c>
      <c r="G15" s="52">
        <f>IFERROR(__xludf.DUMMYFUNCTION("""COMPUTED_VALUE"""),0.023252314999877847)</f>
        <v>0.023252315</v>
      </c>
      <c r="H15" s="53">
        <f>IFERROR(__xludf.DUMMYFUNCTION("""COMPUTED_VALUE"""),0.004814814879010393)</f>
        <v>0.004814814879</v>
      </c>
      <c r="I15" s="53">
        <f>IFERROR(__xludf.DUMMYFUNCTION("""COMPUTED_VALUE"""),0.009259259326918989)</f>
        <v>0.009259259327</v>
      </c>
      <c r="J15" s="53">
        <f>IFERROR(__xludf.DUMMYFUNCTION("""COMPUTED_VALUE"""),0.008206017593479381)</f>
        <v>0.008206017593</v>
      </c>
      <c r="K15" s="54">
        <f>IFERROR(__xludf.DUMMYFUNCTION("""COMPUTED_VALUE"""),9.722232004690835E-4)</f>
        <v>0.0009722232005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6"/>
      <c r="W15" s="56"/>
      <c r="X15" s="56"/>
      <c r="Y15" s="56"/>
      <c r="Z15" s="57"/>
      <c r="AA15" s="58"/>
      <c r="AB15" s="59"/>
    </row>
    <row r="16" ht="13.5" customHeight="1">
      <c r="A16" s="60">
        <f>IFERROR(__xludf.DUMMYFUNCTION("""COMPUTED_VALUE"""),15.0)</f>
        <v>15</v>
      </c>
      <c r="B16" s="61" t="str">
        <f>IFERROR(__xludf.DUMMYFUNCTION("""COMPUTED_VALUE"""),"60")</f>
        <v>60</v>
      </c>
      <c r="C16" s="62" t="str">
        <f>IFERROR(__xludf.DUMMYFUNCTION("""COMPUTED_VALUE"""),"MOLARD")</f>
        <v>MOLARD</v>
      </c>
      <c r="D16" s="63" t="str">
        <f>IFERROR(__xludf.DUMMYFUNCTION("""COMPUTED_VALUE"""),"ZOÉ")</f>
        <v>ZOÉ</v>
      </c>
      <c r="E16" s="51" t="str">
        <f>IFERROR(__xludf.DUMMYFUNCTION("""COMPUTED_VALUE"""),"SF1")</f>
        <v>SF1</v>
      </c>
      <c r="F16" s="64">
        <f>IFERROR(__xludf.DUMMYFUNCTION("""COMPUTED_VALUE"""),1.0)</f>
        <v>1</v>
      </c>
      <c r="G16" s="52">
        <f>IFERROR(__xludf.DUMMYFUNCTION("""COMPUTED_VALUE"""),0.02332176024100201)</f>
        <v>0.02332176024</v>
      </c>
      <c r="H16" s="53">
        <f>IFERROR(__xludf.DUMMYFUNCTION("""COMPUTED_VALUE"""),0.004247685292776932)</f>
        <v>0.004247685293</v>
      </c>
      <c r="I16" s="53">
        <f>IFERROR(__xludf.DUMMYFUNCTION("""COMPUTED_VALUE"""),0.00810185194479313)</f>
        <v>0.008101851945</v>
      </c>
      <c r="J16" s="53">
        <f>IFERROR(__xludf.DUMMYFUNCTION("""COMPUTED_VALUE"""),0.009398149039889475)</f>
        <v>0.00939814904</v>
      </c>
      <c r="K16" s="54">
        <f>IFERROR(__xludf.DUMMYFUNCTION("""COMPUTED_VALUE"""),0.0015740739635424737)</f>
        <v>0.001574073964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6"/>
      <c r="W16" s="56"/>
      <c r="X16" s="56"/>
      <c r="Y16" s="56"/>
      <c r="Z16" s="57"/>
      <c r="AA16" s="58"/>
      <c r="AB16" s="59"/>
    </row>
    <row r="17" ht="13.5" customHeight="1">
      <c r="A17" s="60">
        <f>IFERROR(__xludf.DUMMYFUNCTION("""COMPUTED_VALUE"""),16.0)</f>
        <v>16</v>
      </c>
      <c r="B17" s="61" t="str">
        <f>IFERROR(__xludf.DUMMYFUNCTION("""COMPUTED_VALUE"""),"168")</f>
        <v>168</v>
      </c>
      <c r="C17" s="62" t="str">
        <f>IFERROR(__xludf.DUMMYFUNCTION("""COMPUTED_VALUE"""),"WOESTELANDT")</f>
        <v>WOESTELANDT</v>
      </c>
      <c r="D17" s="63" t="str">
        <f>IFERROR(__xludf.DUMMYFUNCTION("""COMPUTED_VALUE"""),"JUSTINE")</f>
        <v>JUSTINE</v>
      </c>
      <c r="E17" s="51" t="str">
        <f>IFERROR(__xludf.DUMMYFUNCTION("""COMPUTED_VALUE"""),"SF1")</f>
        <v>SF1</v>
      </c>
      <c r="F17" s="64">
        <f>IFERROR(__xludf.DUMMYFUNCTION("""COMPUTED_VALUE"""),2.0)</f>
        <v>2</v>
      </c>
      <c r="G17" s="52">
        <f>IFERROR(__xludf.DUMMYFUNCTION("""COMPUTED_VALUE"""),0.023356482140881398)</f>
        <v>0.02335648214</v>
      </c>
      <c r="H17" s="53">
        <f>IFERROR(__xludf.DUMMYFUNCTION("""COMPUTED_VALUE"""),0.003912037096527725)</f>
        <v>0.003912037097</v>
      </c>
      <c r="I17" s="53">
        <f>IFERROR(__xludf.DUMMYFUNCTION("""COMPUTED_VALUE"""),0.008472222325969333)</f>
        <v>0.008472222326</v>
      </c>
      <c r="J17" s="53">
        <f>IFERROR(__xludf.DUMMYFUNCTION("""COMPUTED_VALUE"""),0.009733796166995516)</f>
        <v>0.009733796167</v>
      </c>
      <c r="K17" s="54">
        <f>IFERROR(__xludf.DUMMYFUNCTION("""COMPUTED_VALUE"""),0.0012384265513888243)</f>
        <v>0.001238426551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6"/>
      <c r="W17" s="56"/>
      <c r="X17" s="56"/>
      <c r="Y17" s="56"/>
      <c r="Z17" s="57"/>
      <c r="AA17" s="58"/>
      <c r="AB17" s="59"/>
    </row>
    <row r="18" ht="13.5" customHeight="1">
      <c r="A18" s="60">
        <f>IFERROR(__xludf.DUMMYFUNCTION("""COMPUTED_VALUE"""),17.0)</f>
        <v>17</v>
      </c>
      <c r="B18" s="61" t="str">
        <f>IFERROR(__xludf.DUMMYFUNCTION("""COMPUTED_VALUE"""),"156")</f>
        <v>156</v>
      </c>
      <c r="C18" s="62" t="str">
        <f>IFERROR(__xludf.DUMMYFUNCTION("""COMPUTED_VALUE"""),"PILIDJIAN")</f>
        <v>PILIDJIAN</v>
      </c>
      <c r="D18" s="63" t="str">
        <f>IFERROR(__xludf.DUMMYFUNCTION("""COMPUTED_VALUE"""),"CLAIRE")</f>
        <v>CLAIRE</v>
      </c>
      <c r="E18" s="51" t="str">
        <f>IFERROR(__xludf.DUMMYFUNCTION("""COMPUTED_VALUE"""),"SF2")</f>
        <v>SF2</v>
      </c>
      <c r="F18" s="64">
        <f>IFERROR(__xludf.DUMMYFUNCTION("""COMPUTED_VALUE"""),5.0)</f>
        <v>5</v>
      </c>
      <c r="G18" s="52">
        <f>IFERROR(__xludf.DUMMYFUNCTION("""COMPUTED_VALUE"""),0.023379630270167512)</f>
        <v>0.02337963027</v>
      </c>
      <c r="H18" s="53">
        <f>IFERROR(__xludf.DUMMYFUNCTION("""COMPUTED_VALUE"""),0.005300925983923055)</f>
        <v>0.005300925984</v>
      </c>
      <c r="I18" s="53">
        <f>IFERROR(__xludf.DUMMYFUNCTION("""COMPUTED_VALUE"""),0.008298611116812791)</f>
        <v>0.008298611117</v>
      </c>
      <c r="J18" s="53">
        <f>IFERROR(__xludf.DUMMYFUNCTION("""COMPUTED_VALUE"""),0.008587962909657918)</f>
        <v>0.00858796291</v>
      </c>
      <c r="K18" s="54">
        <f>IFERROR(__xludf.DUMMYFUNCTION("""COMPUTED_VALUE"""),0.001192130259773748)</f>
        <v>0.00119213026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6"/>
      <c r="W18" s="56"/>
      <c r="X18" s="56"/>
      <c r="Y18" s="56"/>
      <c r="Z18" s="57"/>
      <c r="AA18" s="58"/>
      <c r="AB18" s="59"/>
    </row>
    <row r="19" ht="13.5" customHeight="1">
      <c r="A19" s="60">
        <f>IFERROR(__xludf.DUMMYFUNCTION("""COMPUTED_VALUE"""),18.0)</f>
        <v>18</v>
      </c>
      <c r="B19" s="61" t="str">
        <f>IFERROR(__xludf.DUMMYFUNCTION("""COMPUTED_VALUE"""),"124")</f>
        <v>124</v>
      </c>
      <c r="C19" s="62" t="str">
        <f>IFERROR(__xludf.DUMMYFUNCTION("""COMPUTED_VALUE"""),"KEROMEN")</f>
        <v>KEROMEN</v>
      </c>
      <c r="D19" s="63" t="str">
        <f>IFERROR(__xludf.DUMMYFUNCTION("""COMPUTED_VALUE"""),"GAËLA")</f>
        <v>GAËLA</v>
      </c>
      <c r="E19" s="51" t="str">
        <f>IFERROR(__xludf.DUMMYFUNCTION("""COMPUTED_VALUE"""),"MF1")</f>
        <v>MF1</v>
      </c>
      <c r="F19" s="64">
        <f>IFERROR(__xludf.DUMMYFUNCTION("""COMPUTED_VALUE"""),3.0)</f>
        <v>3</v>
      </c>
      <c r="G19" s="52">
        <f>IFERROR(__xludf.DUMMYFUNCTION("""COMPUTED_VALUE"""),0.023541667583566565)</f>
        <v>0.02354166758</v>
      </c>
      <c r="H19" s="53">
        <f>IFERROR(__xludf.DUMMYFUNCTION("""COMPUTED_VALUE"""),0.0033680556518341422)</f>
        <v>0.003368055652</v>
      </c>
      <c r="I19" s="53">
        <f>IFERROR(__xludf.DUMMYFUNCTION("""COMPUTED_VALUE"""),0.009155092611923028)</f>
        <v>0.009155092612</v>
      </c>
      <c r="J19" s="53">
        <f>IFERROR(__xludf.DUMMYFUNCTION("""COMPUTED_VALUE"""),0.009699074232451586)</f>
        <v>0.009699074232</v>
      </c>
      <c r="K19" s="54">
        <f>IFERROR(__xludf.DUMMYFUNCTION("""COMPUTED_VALUE"""),0.0013194450873578092)</f>
        <v>0.001319445087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6"/>
      <c r="W19" s="56"/>
      <c r="X19" s="56"/>
      <c r="Y19" s="56"/>
      <c r="Z19" s="57"/>
      <c r="AA19" s="58"/>
      <c r="AB19" s="59"/>
    </row>
    <row r="20" ht="13.5" customHeight="1">
      <c r="A20" s="60">
        <f>IFERROR(__xludf.DUMMYFUNCTION("""COMPUTED_VALUE"""),19.0)</f>
        <v>19</v>
      </c>
      <c r="B20" s="61" t="str">
        <f>IFERROR(__xludf.DUMMYFUNCTION("""COMPUTED_VALUE"""),"151")</f>
        <v>151</v>
      </c>
      <c r="C20" s="62" t="str">
        <f>IFERROR(__xludf.DUMMYFUNCTION("""COMPUTED_VALUE"""),"OTMANI")</f>
        <v>OTMANI</v>
      </c>
      <c r="D20" s="63" t="str">
        <f>IFERROR(__xludf.DUMMYFUNCTION("""COMPUTED_VALUE"""),"SIXTINE")</f>
        <v>SIXTINE</v>
      </c>
      <c r="E20" s="51" t="str">
        <f>IFERROR(__xludf.DUMMYFUNCTION("""COMPUTED_VALUE"""),"SF2")</f>
        <v>SF2</v>
      </c>
      <c r="F20" s="64">
        <f>IFERROR(__xludf.DUMMYFUNCTION("""COMPUTED_VALUE"""),6.0)</f>
        <v>6</v>
      </c>
      <c r="G20" s="52">
        <f>IFERROR(__xludf.DUMMYFUNCTION("""COMPUTED_VALUE"""),0.023668981517082004)</f>
        <v>0.02366898152</v>
      </c>
      <c r="H20" s="53">
        <f>IFERROR(__xludf.DUMMYFUNCTION("""COMPUTED_VALUE"""),0.005162037147852138)</f>
        <v>0.005162037148</v>
      </c>
      <c r="I20" s="53">
        <f>IFERROR(__xludf.DUMMYFUNCTION("""COMPUTED_VALUE"""),0.007847222332410702)</f>
        <v>0.007847222332</v>
      </c>
      <c r="J20" s="53">
        <f>IFERROR(__xludf.DUMMYFUNCTION("""COMPUTED_VALUE"""),0.009386573696905442)</f>
        <v>0.009386573697</v>
      </c>
      <c r="K20" s="54">
        <f>IFERROR(__xludf.DUMMYFUNCTION("""COMPUTED_VALUE"""),0.0012731483399137222)</f>
        <v>0.00127314834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6"/>
      <c r="W20" s="56"/>
      <c r="X20" s="56"/>
      <c r="Y20" s="56"/>
      <c r="Z20" s="57"/>
      <c r="AA20" s="58"/>
      <c r="AB20" s="59"/>
    </row>
    <row r="21" ht="13.5" customHeight="1">
      <c r="A21" s="60">
        <f>IFERROR(__xludf.DUMMYFUNCTION("""COMPUTED_VALUE"""),20.0)</f>
        <v>20</v>
      </c>
      <c r="B21" s="61" t="str">
        <f>IFERROR(__xludf.DUMMYFUNCTION("""COMPUTED_VALUE"""),"170")</f>
        <v>170</v>
      </c>
      <c r="C21" s="62" t="str">
        <f>IFERROR(__xludf.DUMMYFUNCTION("""COMPUTED_VALUE"""),"LAJOIX")</f>
        <v>LAJOIX</v>
      </c>
      <c r="D21" s="63" t="str">
        <f>IFERROR(__xludf.DUMMYFUNCTION("""COMPUTED_VALUE"""),"VALÉRIE")</f>
        <v>VALÉRIE</v>
      </c>
      <c r="E21" s="51" t="str">
        <f>IFERROR(__xludf.DUMMYFUNCTION("""COMPUTED_VALUE"""),"MF5")</f>
        <v>MF5</v>
      </c>
      <c r="F21" s="64">
        <f>IFERROR(__xludf.DUMMYFUNCTION("""COMPUTED_VALUE"""),1.0)</f>
        <v>1</v>
      </c>
      <c r="G21" s="52">
        <f>IFERROR(__xludf.DUMMYFUNCTION("""COMPUTED_VALUE"""),0.023831018699929447)</f>
        <v>0.0238310187</v>
      </c>
      <c r="H21" s="53">
        <f>IFERROR(__xludf.DUMMYFUNCTION("""COMPUTED_VALUE"""),0.004328703723343752)</f>
        <v>0.004328703723</v>
      </c>
      <c r="I21" s="53">
        <f>IFERROR(__xludf.DUMMYFUNCTION("""COMPUTED_VALUE"""),0.008946759268611442)</f>
        <v>0.008946759269</v>
      </c>
      <c r="J21" s="53">
        <f>IFERROR(__xludf.DUMMYFUNCTION("""COMPUTED_VALUE"""),0.00935185118783265)</f>
        <v>0.009351851188</v>
      </c>
      <c r="K21" s="54">
        <f>IFERROR(__xludf.DUMMYFUNCTION("""COMPUTED_VALUE"""),0.0012037045201416024)</f>
        <v>0.00120370452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6"/>
      <c r="W21" s="56"/>
      <c r="X21" s="56"/>
      <c r="Y21" s="56"/>
      <c r="Z21" s="57"/>
      <c r="AA21" s="58"/>
      <c r="AB21" s="59"/>
    </row>
    <row r="22" ht="13.5" customHeight="1">
      <c r="A22" s="60">
        <f>IFERROR(__xludf.DUMMYFUNCTION("""COMPUTED_VALUE"""),21.0)</f>
        <v>21</v>
      </c>
      <c r="B22" s="61" t="str">
        <f>IFERROR(__xludf.DUMMYFUNCTION("""COMPUTED_VALUE"""),"69")</f>
        <v>69</v>
      </c>
      <c r="C22" s="62" t="str">
        <f>IFERROR(__xludf.DUMMYFUNCTION("""COMPUTED_VALUE"""),"CASTERAN")</f>
        <v>CASTERAN</v>
      </c>
      <c r="D22" s="63" t="str">
        <f>IFERROR(__xludf.DUMMYFUNCTION("""COMPUTED_VALUE"""),"VALÉRIE")</f>
        <v>VALÉRIE</v>
      </c>
      <c r="E22" s="51" t="str">
        <f>IFERROR(__xludf.DUMMYFUNCTION("""COMPUTED_VALUE"""),"MF5")</f>
        <v>MF5</v>
      </c>
      <c r="F22" s="64">
        <f>IFERROR(__xludf.DUMMYFUNCTION("""COMPUTED_VALUE"""),2.0)</f>
        <v>2</v>
      </c>
      <c r="G22" s="52">
        <f>IFERROR(__xludf.DUMMYFUNCTION("""COMPUTED_VALUE"""),0.024143518607476405)</f>
        <v>0.02414351861</v>
      </c>
      <c r="H22" s="53">
        <f>IFERROR(__xludf.DUMMYFUNCTION("""COMPUTED_VALUE"""),0.005104166696974037)</f>
        <v>0.005104166697</v>
      </c>
      <c r="I22" s="53">
        <f>IFERROR(__xludf.DUMMYFUNCTION("""COMPUTED_VALUE"""),0.008831018617267473)</f>
        <v>0.008831018617</v>
      </c>
      <c r="J22" s="53">
        <f>IFERROR(__xludf.DUMMYFUNCTION("""COMPUTED_VALUE"""),0.009351851910767497)</f>
        <v>0.009351851911</v>
      </c>
      <c r="K22" s="54">
        <f>IFERROR(__xludf.DUMMYFUNCTION("""COMPUTED_VALUE"""),8.564813824673981E-4)</f>
        <v>0.0008564813825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6"/>
      <c r="W22" s="56"/>
      <c r="X22" s="56"/>
      <c r="Y22" s="56"/>
      <c r="Z22" s="57"/>
      <c r="AA22" s="58"/>
      <c r="AB22" s="59"/>
    </row>
    <row r="23" ht="13.5" customHeight="1">
      <c r="A23" s="60">
        <f>IFERROR(__xludf.DUMMYFUNCTION("""COMPUTED_VALUE"""),22.0)</f>
        <v>22</v>
      </c>
      <c r="B23" s="61" t="str">
        <f>IFERROR(__xludf.DUMMYFUNCTION("""COMPUTED_VALUE"""),"201")</f>
        <v>201</v>
      </c>
      <c r="C23" s="62" t="str">
        <f>IFERROR(__xludf.DUMMYFUNCTION("""COMPUTED_VALUE"""),"MAGNINO")</f>
        <v>MAGNINO</v>
      </c>
      <c r="D23" s="63" t="str">
        <f>IFERROR(__xludf.DUMMYFUNCTION("""COMPUTED_VALUE"""),"LAURIANE")</f>
        <v>LAURIANE</v>
      </c>
      <c r="E23" s="51" t="str">
        <f>IFERROR(__xludf.DUMMYFUNCTION("""COMPUTED_VALUE"""),"MF2")</f>
        <v>MF2</v>
      </c>
      <c r="F23" s="64">
        <f>IFERROR(__xludf.DUMMYFUNCTION("""COMPUTED_VALUE"""),4.0)</f>
        <v>4</v>
      </c>
      <c r="G23" s="52">
        <f>IFERROR(__xludf.DUMMYFUNCTION("""COMPUTED_VALUE"""),0.02424768584335974)</f>
        <v>0.02424768584</v>
      </c>
      <c r="H23" s="53">
        <f>IFERROR(__xludf.DUMMYFUNCTION("""COMPUTED_VALUE"""),0.004930555648562867)</f>
        <v>0.004930555649</v>
      </c>
      <c r="I23" s="53">
        <f>IFERROR(__xludf.DUMMYFUNCTION("""COMPUTED_VALUE"""),0.008587962984080317)</f>
        <v>0.008587962984</v>
      </c>
      <c r="J23" s="53">
        <f>IFERROR(__xludf.DUMMYFUNCTION("""COMPUTED_VALUE"""),0.009814815131663025)</f>
        <v>0.009814815132</v>
      </c>
      <c r="K23" s="54">
        <f>IFERROR(__xludf.DUMMYFUNCTION("""COMPUTED_VALUE"""),9.143520790535322E-4)</f>
        <v>0.0009143520791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6"/>
      <c r="W23" s="56"/>
      <c r="X23" s="56"/>
      <c r="Y23" s="56"/>
      <c r="Z23" s="57"/>
      <c r="AA23" s="58"/>
      <c r="AB23" s="59"/>
    </row>
    <row r="24" ht="13.5" customHeight="1">
      <c r="A24" s="60">
        <f>IFERROR(__xludf.DUMMYFUNCTION("""COMPUTED_VALUE"""),23.0)</f>
        <v>23</v>
      </c>
      <c r="B24" s="61" t="str">
        <f>IFERROR(__xludf.DUMMYFUNCTION("""COMPUTED_VALUE"""),"127")</f>
        <v>127</v>
      </c>
      <c r="C24" s="62" t="str">
        <f>IFERROR(__xludf.DUMMYFUNCTION("""COMPUTED_VALUE"""),"GOSSE")</f>
        <v>GOSSE</v>
      </c>
      <c r="D24" s="63" t="str">
        <f>IFERROR(__xludf.DUMMYFUNCTION("""COMPUTED_VALUE"""),"MARION")</f>
        <v>MARION</v>
      </c>
      <c r="E24" s="51" t="str">
        <f>IFERROR(__xludf.DUMMYFUNCTION("""COMPUTED_VALUE"""),"SF2")</f>
        <v>SF2</v>
      </c>
      <c r="F24" s="64">
        <f>IFERROR(__xludf.DUMMYFUNCTION("""COMPUTED_VALUE"""),7.0)</f>
        <v>7</v>
      </c>
      <c r="G24" s="52">
        <f>IFERROR(__xludf.DUMMYFUNCTION("""COMPUTED_VALUE"""),0.024768518987503124)</f>
        <v>0.02476851899</v>
      </c>
      <c r="H24" s="53">
        <f>IFERROR(__xludf.DUMMYFUNCTION("""COMPUTED_VALUE"""),0.006064814874810289)</f>
        <v>0.006064814875</v>
      </c>
      <c r="I24" s="53">
        <f>IFERROR(__xludf.DUMMYFUNCTION("""COMPUTED_VALUE"""),0.008344907512302003)</f>
        <v>0.008344907512</v>
      </c>
      <c r="J24" s="53">
        <f>IFERROR(__xludf.DUMMYFUNCTION("""COMPUTED_VALUE"""),0.008784722415628693)</f>
        <v>0.008784722416</v>
      </c>
      <c r="K24" s="54">
        <f>IFERROR(__xludf.DUMMYFUNCTION("""COMPUTED_VALUE"""),0.0015740741847621387)</f>
        <v>0.001574074185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6"/>
      <c r="W24" s="56"/>
      <c r="X24" s="56"/>
      <c r="Y24" s="56"/>
      <c r="Z24" s="57"/>
      <c r="AA24" s="58"/>
      <c r="AB24" s="59"/>
    </row>
    <row r="25" ht="13.5" customHeight="1">
      <c r="A25" s="60">
        <f>IFERROR(__xludf.DUMMYFUNCTION("""COMPUTED_VALUE"""),24.0)</f>
        <v>24</v>
      </c>
      <c r="B25" s="61" t="str">
        <f>IFERROR(__xludf.DUMMYFUNCTION("""COMPUTED_VALUE"""),"171")</f>
        <v>171</v>
      </c>
      <c r="C25" s="62" t="str">
        <f>IFERROR(__xludf.DUMMYFUNCTION("""COMPUTED_VALUE"""),"GUILLEUX")</f>
        <v>GUILLEUX</v>
      </c>
      <c r="D25" s="63" t="str">
        <f>IFERROR(__xludf.DUMMYFUNCTION("""COMPUTED_VALUE"""),"CHARLOTTE")</f>
        <v>CHARLOTTE</v>
      </c>
      <c r="E25" s="51" t="str">
        <f>IFERROR(__xludf.DUMMYFUNCTION("""COMPUTED_VALUE"""),"SF1")</f>
        <v>SF1</v>
      </c>
      <c r="F25" s="64">
        <f>IFERROR(__xludf.DUMMYFUNCTION("""COMPUTED_VALUE"""),3.0)</f>
        <v>3</v>
      </c>
      <c r="G25" s="52">
        <f>IFERROR(__xludf.DUMMYFUNCTION("""COMPUTED_VALUE"""),0.024965278309609925)</f>
        <v>0.02496527831</v>
      </c>
      <c r="H25" s="53">
        <f>IFERROR(__xludf.DUMMYFUNCTION("""COMPUTED_VALUE"""),0.004398148241456884)</f>
        <v>0.004398148241</v>
      </c>
      <c r="I25" s="53">
        <f>IFERROR(__xludf.DUMMYFUNCTION("""COMPUTED_VALUE"""),0.00922453710140148)</f>
        <v>0.009224537101</v>
      </c>
      <c r="J25" s="53">
        <f>IFERROR(__xludf.DUMMYFUNCTION("""COMPUTED_VALUE"""),0.010011574484258247)</f>
        <v>0.01001157448</v>
      </c>
      <c r="K25" s="54">
        <f>IFERROR(__xludf.DUMMYFUNCTION("""COMPUTED_VALUE"""),0.0013310184824933133)</f>
        <v>0.001331018482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6"/>
      <c r="W25" s="56"/>
      <c r="X25" s="56"/>
      <c r="Y25" s="56"/>
      <c r="Z25" s="57"/>
      <c r="AA25" s="58"/>
      <c r="AB25" s="59"/>
    </row>
    <row r="26" ht="13.5" customHeight="1">
      <c r="A26" s="60">
        <f>IFERROR(__xludf.DUMMYFUNCTION("""COMPUTED_VALUE"""),25.0)</f>
        <v>25</v>
      </c>
      <c r="B26" s="61" t="str">
        <f>IFERROR(__xludf.DUMMYFUNCTION("""COMPUTED_VALUE"""),"114")</f>
        <v>114</v>
      </c>
      <c r="C26" s="62" t="str">
        <f>IFERROR(__xludf.DUMMYFUNCTION("""COMPUTED_VALUE"""),"MOTA")</f>
        <v>MOTA</v>
      </c>
      <c r="D26" s="63" t="str">
        <f>IFERROR(__xludf.DUMMYFUNCTION("""COMPUTED_VALUE"""),"LOUISE")</f>
        <v>LOUISE</v>
      </c>
      <c r="E26" s="51" t="str">
        <f>IFERROR(__xludf.DUMMYFUNCTION("""COMPUTED_VALUE"""),"SF1")</f>
        <v>SF1</v>
      </c>
      <c r="F26" s="64">
        <f>IFERROR(__xludf.DUMMYFUNCTION("""COMPUTED_VALUE"""),4.0)</f>
        <v>4</v>
      </c>
      <c r="G26" s="52">
        <f>IFERROR(__xludf.DUMMYFUNCTION("""COMPUTED_VALUE"""),0.025115740906495973)</f>
        <v>0.02511574091</v>
      </c>
      <c r="H26" s="53">
        <f>IFERROR(__xludf.DUMMYFUNCTION("""COMPUTED_VALUE"""),0.004780092666808982)</f>
        <v>0.004780092667</v>
      </c>
      <c r="I26" s="53">
        <f>IFERROR(__xludf.DUMMYFUNCTION("""COMPUTED_VALUE"""),0.008923611148949316)</f>
        <v>0.008923611149</v>
      </c>
      <c r="J26" s="53">
        <f>IFERROR(__xludf.DUMMYFUNCTION("""COMPUTED_VALUE"""),0.01015046198495078)</f>
        <v>0.01015046198</v>
      </c>
      <c r="K26" s="54">
        <f>IFERROR(__xludf.DUMMYFUNCTION("""COMPUTED_VALUE"""),0.001261575105786895)</f>
        <v>0.001261575106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6"/>
      <c r="W26" s="56"/>
      <c r="X26" s="56"/>
      <c r="Y26" s="56"/>
      <c r="Z26" s="57"/>
      <c r="AA26" s="58"/>
      <c r="AB26" s="59"/>
    </row>
    <row r="27" ht="13.5" customHeight="1">
      <c r="A27" s="60">
        <f>IFERROR(__xludf.DUMMYFUNCTION("""COMPUTED_VALUE"""),26.0)</f>
        <v>26</v>
      </c>
      <c r="B27" s="61" t="str">
        <f>IFERROR(__xludf.DUMMYFUNCTION("""COMPUTED_VALUE"""),"85")</f>
        <v>85</v>
      </c>
      <c r="C27" s="62" t="str">
        <f>IFERROR(__xludf.DUMMYFUNCTION("""COMPUTED_VALUE"""),"MALAK")</f>
        <v>MALAK</v>
      </c>
      <c r="D27" s="63" t="str">
        <f>IFERROR(__xludf.DUMMYFUNCTION("""COMPUTED_VALUE"""),"SANDRA")</f>
        <v>SANDRA</v>
      </c>
      <c r="E27" s="51" t="str">
        <f>IFERROR(__xludf.DUMMYFUNCTION("""COMPUTED_VALUE"""),"MF2")</f>
        <v>MF2</v>
      </c>
      <c r="F27" s="64">
        <f>IFERROR(__xludf.DUMMYFUNCTION("""COMPUTED_VALUE"""),5.0)</f>
        <v>5</v>
      </c>
      <c r="G27" s="52">
        <f>IFERROR(__xludf.DUMMYFUNCTION("""COMPUTED_VALUE"""),0.025416666752006194)</f>
        <v>0.02541666675</v>
      </c>
      <c r="H27" s="53">
        <f>IFERROR(__xludf.DUMMYFUNCTION("""COMPUTED_VALUE"""),0.00456018525501734)</f>
        <v>0.004560185255</v>
      </c>
      <c r="I27" s="53">
        <f>IFERROR(__xludf.DUMMYFUNCTION("""COMPUTED_VALUE"""),0.009050925970366707)</f>
        <v>0.00905092597</v>
      </c>
      <c r="J27" s="53">
        <f>IFERROR(__xludf.DUMMYFUNCTION("""COMPUTED_VALUE"""),0.010949073189555673)</f>
        <v>0.01094907319</v>
      </c>
      <c r="K27" s="54">
        <f>IFERROR(__xludf.DUMMYFUNCTION("""COMPUTED_VALUE"""),8.564823370664741E-4)</f>
        <v>0.0008564823371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6"/>
      <c r="W27" s="56"/>
      <c r="X27" s="56"/>
      <c r="Y27" s="56"/>
      <c r="Z27" s="57"/>
      <c r="AA27" s="58"/>
      <c r="AB27" s="59"/>
    </row>
    <row r="28" ht="13.5" customHeight="1">
      <c r="A28" s="60">
        <f>IFERROR(__xludf.DUMMYFUNCTION("""COMPUTED_VALUE"""),27.0)</f>
        <v>27</v>
      </c>
      <c r="B28" s="61" t="str">
        <f>IFERROR(__xludf.DUMMYFUNCTION("""COMPUTED_VALUE"""),"183")</f>
        <v>183</v>
      </c>
      <c r="C28" s="62" t="str">
        <f>IFERROR(__xludf.DUMMYFUNCTION("""COMPUTED_VALUE"""),"JUILLET")</f>
        <v>JUILLET</v>
      </c>
      <c r="D28" s="63" t="str">
        <f>IFERROR(__xludf.DUMMYFUNCTION("""COMPUTED_VALUE"""),"PHILOMÈNE")</f>
        <v>PHILOMÈNE</v>
      </c>
      <c r="E28" s="51" t="str">
        <f>IFERROR(__xludf.DUMMYFUNCTION("""COMPUTED_VALUE"""),"MF2")</f>
        <v>MF2</v>
      </c>
      <c r="F28" s="64">
        <f>IFERROR(__xludf.DUMMYFUNCTION("""COMPUTED_VALUE"""),6.0)</f>
        <v>6</v>
      </c>
      <c r="G28" s="52">
        <f>IFERROR(__xludf.DUMMYFUNCTION("""COMPUTED_VALUE"""),0.025486112067583444)</f>
        <v>0.02548611207</v>
      </c>
      <c r="H28" s="53">
        <f>IFERROR(__xludf.DUMMYFUNCTION("""COMPUTED_VALUE"""),0.004861111206920575)</f>
        <v>0.004861111207</v>
      </c>
      <c r="I28" s="53">
        <f>IFERROR(__xludf.DUMMYFUNCTION("""COMPUTED_VALUE"""),0.008182870391859375)</f>
        <v>0.008182870392</v>
      </c>
      <c r="J28" s="53">
        <f>IFERROR(__xludf.DUMMYFUNCTION("""COMPUTED_VALUE"""),0.011250000315400672)</f>
        <v>0.01125000032</v>
      </c>
      <c r="K28" s="54">
        <f>IFERROR(__xludf.DUMMYFUNCTION("""COMPUTED_VALUE"""),0.0011921301534028221)</f>
        <v>0.001192130153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6"/>
      <c r="W28" s="56"/>
      <c r="X28" s="56"/>
      <c r="Y28" s="56"/>
      <c r="Z28" s="57"/>
      <c r="AA28" s="58"/>
      <c r="AB28" s="59"/>
    </row>
    <row r="29" ht="13.5" customHeight="1">
      <c r="A29" s="60">
        <f>IFERROR(__xludf.DUMMYFUNCTION("""COMPUTED_VALUE"""),28.0)</f>
        <v>28</v>
      </c>
      <c r="B29" s="61" t="str">
        <f>IFERROR(__xludf.DUMMYFUNCTION("""COMPUTED_VALUE"""),"61")</f>
        <v>61</v>
      </c>
      <c r="C29" s="62" t="str">
        <f>IFERROR(__xludf.DUMMYFUNCTION("""COMPUTED_VALUE"""),"JUDIC GILOT")</f>
        <v>JUDIC GILOT</v>
      </c>
      <c r="D29" s="63" t="str">
        <f>IFERROR(__xludf.DUMMYFUNCTION("""COMPUTED_VALUE"""),"LILA MAUD")</f>
        <v>LILA MAUD</v>
      </c>
      <c r="E29" s="51" t="str">
        <f>IFERROR(__xludf.DUMMYFUNCTION("""COMPUTED_VALUE"""),"SF1")</f>
        <v>SF1</v>
      </c>
      <c r="F29" s="64">
        <f>IFERROR(__xludf.DUMMYFUNCTION("""COMPUTED_VALUE"""),5.0)</f>
        <v>5</v>
      </c>
      <c r="G29" s="52">
        <f>IFERROR(__xludf.DUMMYFUNCTION("""COMPUTED_VALUE"""),0.025543981705805057)</f>
        <v>0.02554398171</v>
      </c>
      <c r="H29" s="53">
        <f>IFERROR(__xludf.DUMMYFUNCTION("""COMPUTED_VALUE"""),0.004490740852759218)</f>
        <v>0.004490740853</v>
      </c>
      <c r="I29" s="53">
        <f>IFERROR(__xludf.DUMMYFUNCTION("""COMPUTED_VALUE"""),0.008321759355770219)</f>
        <v>0.008321759356</v>
      </c>
      <c r="J29" s="53">
        <f>IFERROR(__xludf.DUMMYFUNCTION("""COMPUTED_VALUE"""),0.01101851839604159)</f>
        <v>0.0110185184</v>
      </c>
      <c r="K29" s="54">
        <f>IFERROR(__xludf.DUMMYFUNCTION("""COMPUTED_VALUE"""),0.0017129631012340303)</f>
        <v>0.001712963101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6"/>
      <c r="W29" s="56"/>
      <c r="X29" s="56"/>
      <c r="Y29" s="56"/>
      <c r="Z29" s="57"/>
      <c r="AA29" s="58"/>
      <c r="AB29" s="59"/>
    </row>
    <row r="30" ht="13.5" customHeight="1">
      <c r="A30" s="60">
        <f>IFERROR(__xludf.DUMMYFUNCTION("""COMPUTED_VALUE"""),29.0)</f>
        <v>29</v>
      </c>
      <c r="B30" s="61" t="str">
        <f>IFERROR(__xludf.DUMMYFUNCTION("""COMPUTED_VALUE"""),"129")</f>
        <v>129</v>
      </c>
      <c r="C30" s="62" t="str">
        <f>IFERROR(__xludf.DUMMYFUNCTION("""COMPUTED_VALUE"""),"ROY")</f>
        <v>ROY</v>
      </c>
      <c r="D30" s="63" t="str">
        <f>IFERROR(__xludf.DUMMYFUNCTION("""COMPUTED_VALUE"""),"MATHILDE")</f>
        <v>MATHILDE</v>
      </c>
      <c r="E30" s="51" t="str">
        <f>IFERROR(__xludf.DUMMYFUNCTION("""COMPUTED_VALUE"""),"SF3")</f>
        <v>SF3</v>
      </c>
      <c r="F30" s="64">
        <f>IFERROR(__xludf.DUMMYFUNCTION("""COMPUTED_VALUE"""),3.0)</f>
        <v>3</v>
      </c>
      <c r="G30" s="52">
        <f>IFERROR(__xludf.DUMMYFUNCTION("""COMPUTED_VALUE"""),0.025648148811484424)</f>
        <v>0.02564814881</v>
      </c>
      <c r="H30" s="53">
        <f>IFERROR(__xludf.DUMMYFUNCTION("""COMPUTED_VALUE"""),0.004756944488533433)</f>
        <v>0.004756944489</v>
      </c>
      <c r="I30" s="53">
        <f>IFERROR(__xludf.DUMMYFUNCTION("""COMPUTED_VALUE"""),0.009062500045851393)</f>
        <v>0.009062500046</v>
      </c>
      <c r="J30" s="53">
        <f>IFERROR(__xludf.DUMMYFUNCTION("""COMPUTED_VALUE"""),0.009953703705760701)</f>
        <v>0.009953703706</v>
      </c>
      <c r="K30" s="54">
        <f>IFERROR(__xludf.DUMMYFUNCTION("""COMPUTED_VALUE"""),0.0018750005713388963)</f>
        <v>0.001875000571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6"/>
      <c r="W30" s="56"/>
      <c r="X30" s="56"/>
      <c r="Y30" s="56"/>
      <c r="Z30" s="57"/>
      <c r="AA30" s="58"/>
      <c r="AB30" s="59"/>
    </row>
    <row r="31" ht="13.5" customHeight="1">
      <c r="A31" s="60">
        <f>IFERROR(__xludf.DUMMYFUNCTION("""COMPUTED_VALUE"""),30.0)</f>
        <v>30</v>
      </c>
      <c r="B31" s="61" t="str">
        <f>IFERROR(__xludf.DUMMYFUNCTION("""COMPUTED_VALUE"""),"55")</f>
        <v>55</v>
      </c>
      <c r="C31" s="62" t="str">
        <f>IFERROR(__xludf.DUMMYFUNCTION("""COMPUTED_VALUE"""),"TOLOSA")</f>
        <v>TOLOSA</v>
      </c>
      <c r="D31" s="63" t="str">
        <f>IFERROR(__xludf.DUMMYFUNCTION("""COMPUTED_VALUE"""),"CATALINA")</f>
        <v>CATALINA</v>
      </c>
      <c r="E31" s="51" t="str">
        <f>IFERROR(__xludf.DUMMYFUNCTION("""COMPUTED_VALUE"""),"SF2")</f>
        <v>SF2</v>
      </c>
      <c r="F31" s="64">
        <f>IFERROR(__xludf.DUMMYFUNCTION("""COMPUTED_VALUE"""),8.0)</f>
        <v>8</v>
      </c>
      <c r="G31" s="52">
        <f>IFERROR(__xludf.DUMMYFUNCTION("""COMPUTED_VALUE"""),0.025706018930930618)</f>
        <v>0.02570601893</v>
      </c>
      <c r="H31" s="53">
        <f>IFERROR(__xludf.DUMMYFUNCTION("""COMPUTED_VALUE"""),0.005509259300602751)</f>
        <v>0.005509259301</v>
      </c>
      <c r="I31" s="53">
        <f>IFERROR(__xludf.DUMMYFUNCTION("""COMPUTED_VALUE"""),0.009108796300968669)</f>
        <v>0.009108796301</v>
      </c>
      <c r="J31" s="53">
        <f>IFERROR(__xludf.DUMMYFUNCTION("""COMPUTED_VALUE"""),0.009884258623900442)</f>
        <v>0.009884258624</v>
      </c>
      <c r="K31" s="54">
        <f>IFERROR(__xludf.DUMMYFUNCTION("""COMPUTED_VALUE"""),0.0012037047054587564)</f>
        <v>0.001203704705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6"/>
      <c r="W31" s="56"/>
      <c r="X31" s="56"/>
      <c r="Y31" s="56"/>
      <c r="Z31" s="57"/>
      <c r="AA31" s="58"/>
      <c r="AB31" s="59"/>
    </row>
    <row r="32" ht="13.5" customHeight="1">
      <c r="A32" s="60">
        <f>IFERROR(__xludf.DUMMYFUNCTION("""COMPUTED_VALUE"""),31.0)</f>
        <v>31</v>
      </c>
      <c r="B32" s="61" t="str">
        <f>IFERROR(__xludf.DUMMYFUNCTION("""COMPUTED_VALUE"""),"175")</f>
        <v>175</v>
      </c>
      <c r="C32" s="62" t="str">
        <f>IFERROR(__xludf.DUMMYFUNCTION("""COMPUTED_VALUE"""),"JOURDAN")</f>
        <v>JOURDAN</v>
      </c>
      <c r="D32" s="63" t="str">
        <f>IFERROR(__xludf.DUMMYFUNCTION("""COMPUTED_VALUE"""),"ORIANE")</f>
        <v>ORIANE</v>
      </c>
      <c r="E32" s="51" t="str">
        <f>IFERROR(__xludf.DUMMYFUNCTION("""COMPUTED_VALUE"""),"SF2")</f>
        <v>SF2</v>
      </c>
      <c r="F32" s="64">
        <f>IFERROR(__xludf.DUMMYFUNCTION("""COMPUTED_VALUE"""),9.0)</f>
        <v>9</v>
      </c>
      <c r="G32" s="52">
        <f>IFERROR(__xludf.DUMMYFUNCTION("""COMPUTED_VALUE"""),0.02578703750346751)</f>
        <v>0.0257870375</v>
      </c>
      <c r="H32" s="53">
        <f>IFERROR(__xludf.DUMMYFUNCTION("""COMPUTED_VALUE"""),0.005555555642046832)</f>
        <v>0.005555555642</v>
      </c>
      <c r="I32" s="53">
        <f>IFERROR(__xludf.DUMMYFUNCTION("""COMPUTED_VALUE"""),0.008923611205389353)</f>
        <v>0.008923611205</v>
      </c>
      <c r="J32" s="53">
        <f>IFERROR(__xludf.DUMMYFUNCTION("""COMPUTED_VALUE"""),0.010219907367707403)</f>
        <v>0.01021990737</v>
      </c>
      <c r="K32" s="54">
        <f>IFERROR(__xludf.DUMMYFUNCTION("""COMPUTED_VALUE"""),0.001087963288323922)</f>
        <v>0.001087963288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6"/>
      <c r="W32" s="56"/>
      <c r="X32" s="56"/>
      <c r="Y32" s="56"/>
      <c r="Z32" s="57"/>
      <c r="AA32" s="58"/>
      <c r="AB32" s="59"/>
    </row>
    <row r="33" ht="13.5" customHeight="1">
      <c r="A33" s="60">
        <f>IFERROR(__xludf.DUMMYFUNCTION("""COMPUTED_VALUE"""),32.0)</f>
        <v>32</v>
      </c>
      <c r="B33" s="61" t="str">
        <f>IFERROR(__xludf.DUMMYFUNCTION("""COMPUTED_VALUE"""),"70")</f>
        <v>70</v>
      </c>
      <c r="C33" s="62" t="str">
        <f>IFERROR(__xludf.DUMMYFUNCTION("""COMPUTED_VALUE"""),"TISNE")</f>
        <v>TISNE</v>
      </c>
      <c r="D33" s="63" t="str">
        <f>IFERROR(__xludf.DUMMYFUNCTION("""COMPUTED_VALUE"""),"MAUD")</f>
        <v>MAUD</v>
      </c>
      <c r="E33" s="51" t="str">
        <f>IFERROR(__xludf.DUMMYFUNCTION("""COMPUTED_VALUE"""),"SF3")</f>
        <v>SF3</v>
      </c>
      <c r="F33" s="64">
        <f>IFERROR(__xludf.DUMMYFUNCTION("""COMPUTED_VALUE"""),4.0)</f>
        <v>4</v>
      </c>
      <c r="G33" s="52">
        <f>IFERROR(__xludf.DUMMYFUNCTION("""COMPUTED_VALUE"""),0.025891204067823068)</f>
        <v>0.02589120407</v>
      </c>
      <c r="H33" s="53">
        <f>IFERROR(__xludf.DUMMYFUNCTION("""COMPUTED_VALUE"""),0.0050925926964827985)</f>
        <v>0.005092592696</v>
      </c>
      <c r="I33" s="53">
        <f>IFERROR(__xludf.DUMMYFUNCTION("""COMPUTED_VALUE"""),0.009733796355276188)</f>
        <v>0.009733796355</v>
      </c>
      <c r="J33" s="53">
        <f>IFERROR(__xludf.DUMMYFUNCTION("""COMPUTED_VALUE"""),0.009282407061549834)</f>
        <v>0.009282407062</v>
      </c>
      <c r="K33" s="54">
        <f>IFERROR(__xludf.DUMMYFUNCTION("""COMPUTED_VALUE"""),0.001782407954514247)</f>
        <v>0.001782407955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  <c r="W33" s="56"/>
      <c r="X33" s="56"/>
      <c r="Y33" s="56"/>
      <c r="Z33" s="57"/>
      <c r="AA33" s="58"/>
      <c r="AB33" s="59"/>
    </row>
    <row r="34" ht="13.5" customHeight="1">
      <c r="A34" s="60">
        <f>IFERROR(__xludf.DUMMYFUNCTION("""COMPUTED_VALUE"""),33.0)</f>
        <v>33</v>
      </c>
      <c r="B34" s="61" t="str">
        <f>IFERROR(__xludf.DUMMYFUNCTION("""COMPUTED_VALUE"""),"115")</f>
        <v>115</v>
      </c>
      <c r="C34" s="62" t="str">
        <f>IFERROR(__xludf.DUMMYFUNCTION("""COMPUTED_VALUE"""),"PILLEBOUT")</f>
        <v>PILLEBOUT</v>
      </c>
      <c r="D34" s="63" t="str">
        <f>IFERROR(__xludf.DUMMYFUNCTION("""COMPUTED_VALUE"""),"EVANGELINE")</f>
        <v>EVANGELINE</v>
      </c>
      <c r="E34" s="51" t="str">
        <f>IFERROR(__xludf.DUMMYFUNCTION("""COMPUTED_VALUE"""),"MF3")</f>
        <v>MF3</v>
      </c>
      <c r="F34" s="64">
        <f>IFERROR(__xludf.DUMMYFUNCTION("""COMPUTED_VALUE"""),1.0)</f>
        <v>1</v>
      </c>
      <c r="G34" s="52">
        <f>IFERROR(__xludf.DUMMYFUNCTION("""COMPUTED_VALUE"""),0.025902778696748143)</f>
        <v>0.0259027787</v>
      </c>
      <c r="H34" s="53">
        <f>IFERROR(__xludf.DUMMYFUNCTION("""COMPUTED_VALUE"""),0.005219907412600937)</f>
        <v>0.005219907413</v>
      </c>
      <c r="I34" s="53">
        <f>IFERROR(__xludf.DUMMYFUNCTION("""COMPUTED_VALUE"""),0.008784722260858895)</f>
        <v>0.008784722261</v>
      </c>
      <c r="J34" s="53">
        <f>IFERROR(__xludf.DUMMYFUNCTION("""COMPUTED_VALUE"""),0.010393519072044024)</f>
        <v>0.01039351907</v>
      </c>
      <c r="K34" s="54">
        <f>IFERROR(__xludf.DUMMYFUNCTION("""COMPUTED_VALUE"""),0.0015046299512442868)</f>
        <v>0.001504629951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56"/>
      <c r="X34" s="56"/>
      <c r="Y34" s="56"/>
      <c r="Z34" s="57"/>
      <c r="AA34" s="58"/>
      <c r="AB34" s="59"/>
    </row>
    <row r="35" ht="13.5" customHeight="1">
      <c r="A35" s="60">
        <f>IFERROR(__xludf.DUMMYFUNCTION("""COMPUTED_VALUE"""),34.0)</f>
        <v>34</v>
      </c>
      <c r="B35" s="61" t="str">
        <f>IFERROR(__xludf.DUMMYFUNCTION("""COMPUTED_VALUE"""),"84")</f>
        <v>84</v>
      </c>
      <c r="C35" s="62" t="str">
        <f>IFERROR(__xludf.DUMMYFUNCTION("""COMPUTED_VALUE"""),"HAMLIN")</f>
        <v>HAMLIN</v>
      </c>
      <c r="D35" s="63" t="str">
        <f>IFERROR(__xludf.DUMMYFUNCTION("""COMPUTED_VALUE"""),"KARINE")</f>
        <v>KARINE</v>
      </c>
      <c r="E35" s="51" t="str">
        <f>IFERROR(__xludf.DUMMYFUNCTION("""COMPUTED_VALUE"""),"MF3")</f>
        <v>MF3</v>
      </c>
      <c r="F35" s="64">
        <f>IFERROR(__xludf.DUMMYFUNCTION("""COMPUTED_VALUE"""),2.0)</f>
        <v>2</v>
      </c>
      <c r="G35" s="52">
        <f>IFERROR(__xludf.DUMMYFUNCTION("""COMPUTED_VALUE"""),0.025949074478604638)</f>
        <v>0.02594907448</v>
      </c>
      <c r="H35" s="53">
        <f>IFERROR(__xludf.DUMMYFUNCTION("""COMPUTED_VALUE"""),0.004965277886042898)</f>
        <v>0.004965277886</v>
      </c>
      <c r="I35" s="53">
        <f>IFERROR(__xludf.DUMMYFUNCTION("""COMPUTED_VALUE"""),0.00905092592790234)</f>
        <v>0.009050925928</v>
      </c>
      <c r="J35" s="53">
        <f>IFERROR(__xludf.DUMMYFUNCTION("""COMPUTED_VALUE"""),0.010787036562385936)</f>
        <v>0.01078703656</v>
      </c>
      <c r="K35" s="54">
        <f>IFERROR(__xludf.DUMMYFUNCTION("""COMPUTED_VALUE"""),0.001145834102273464)</f>
        <v>0.001145834102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6"/>
      <c r="W35" s="56"/>
      <c r="X35" s="56"/>
      <c r="Y35" s="56"/>
      <c r="Z35" s="57"/>
      <c r="AA35" s="58"/>
      <c r="AB35" s="59"/>
    </row>
    <row r="36" ht="13.5" customHeight="1">
      <c r="A36" s="60">
        <f>IFERROR(__xludf.DUMMYFUNCTION("""COMPUTED_VALUE"""),35.0)</f>
        <v>35</v>
      </c>
      <c r="B36" s="61" t="str">
        <f>IFERROR(__xludf.DUMMYFUNCTION("""COMPUTED_VALUE"""),"180")</f>
        <v>180</v>
      </c>
      <c r="C36" s="62" t="str">
        <f>IFERROR(__xludf.DUMMYFUNCTION("""COMPUTED_VALUE"""),"NGUYEN NGOC")</f>
        <v>NGUYEN NGOC</v>
      </c>
      <c r="D36" s="63" t="str">
        <f>IFERROR(__xludf.DUMMYFUNCTION("""COMPUTED_VALUE"""),"AUDE")</f>
        <v>AUDE</v>
      </c>
      <c r="E36" s="51" t="str">
        <f>IFERROR(__xludf.DUMMYFUNCTION("""COMPUTED_VALUE"""),"MF2")</f>
        <v>MF2</v>
      </c>
      <c r="F36" s="64">
        <f>IFERROR(__xludf.DUMMYFUNCTION("""COMPUTED_VALUE"""),7.0)</f>
        <v>7</v>
      </c>
      <c r="G36" s="52">
        <f>IFERROR(__xludf.DUMMYFUNCTION("""COMPUTED_VALUE"""),0.026099538142138716)</f>
        <v>0.02609953814</v>
      </c>
      <c r="H36" s="53">
        <f>IFERROR(__xludf.DUMMYFUNCTION("""COMPUTED_VALUE"""),0.005208333422998445)</f>
        <v>0.005208333423</v>
      </c>
      <c r="I36" s="53">
        <f>IFERROR(__xludf.DUMMYFUNCTION("""COMPUTED_VALUE"""),0.00888888890109449)</f>
        <v>0.008888888901</v>
      </c>
      <c r="J36" s="53">
        <f>IFERROR(__xludf.DUMMYFUNCTION("""COMPUTED_VALUE"""),0.011111111557685752)</f>
        <v>0.01111111156</v>
      </c>
      <c r="K36" s="54">
        <f>IFERROR(__xludf.DUMMYFUNCTION("""COMPUTED_VALUE"""),8.912042603600292E-4)</f>
        <v>0.0008912042604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6"/>
      <c r="W36" s="56"/>
      <c r="X36" s="56"/>
      <c r="Y36" s="56"/>
      <c r="Z36" s="57"/>
      <c r="AA36" s="58"/>
      <c r="AB36" s="59"/>
    </row>
    <row r="37" ht="13.5" customHeight="1">
      <c r="A37" s="60">
        <f>IFERROR(__xludf.DUMMYFUNCTION("""COMPUTED_VALUE"""),36.0)</f>
        <v>36</v>
      </c>
      <c r="B37" s="61" t="str">
        <f>IFERROR(__xludf.DUMMYFUNCTION("""COMPUTED_VALUE"""),"167")</f>
        <v>167</v>
      </c>
      <c r="C37" s="62" t="str">
        <f>IFERROR(__xludf.DUMMYFUNCTION("""COMPUTED_VALUE"""),"LOCATELLI")</f>
        <v>LOCATELLI</v>
      </c>
      <c r="D37" s="63" t="str">
        <f>IFERROR(__xludf.DUMMYFUNCTION("""COMPUTED_VALUE"""),"HÉLÈNE")</f>
        <v>HÉLÈNE</v>
      </c>
      <c r="E37" s="51" t="str">
        <f>IFERROR(__xludf.DUMMYFUNCTION("""COMPUTED_VALUE"""),"SF4")</f>
        <v>SF4</v>
      </c>
      <c r="F37" s="64">
        <f>IFERROR(__xludf.DUMMYFUNCTION("""COMPUTED_VALUE"""),4.0)</f>
        <v>4</v>
      </c>
      <c r="G37" s="52">
        <f>IFERROR(__xludf.DUMMYFUNCTION("""COMPUTED_VALUE"""),0.02616898254520943)</f>
        <v>0.02616898255</v>
      </c>
      <c r="H37" s="53">
        <f>IFERROR(__xludf.DUMMYFUNCTION("""COMPUTED_VALUE"""),0.004513888950902383)</f>
        <v>0.004513888951</v>
      </c>
      <c r="I37" s="53">
        <f>IFERROR(__xludf.DUMMYFUNCTION("""COMPUTED_VALUE"""),0.009143518584083053)</f>
        <v>0.009143518584</v>
      </c>
      <c r="J37" s="53">
        <f>IFERROR(__xludf.DUMMYFUNCTION("""COMPUTED_VALUE"""),0.011157407370738016)</f>
        <v>0.01115740737</v>
      </c>
      <c r="K37" s="54">
        <f>IFERROR(__xludf.DUMMYFUNCTION("""COMPUTED_VALUE"""),0.0013541676394859788)</f>
        <v>0.001354167639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6"/>
      <c r="W37" s="56"/>
      <c r="X37" s="56"/>
      <c r="Y37" s="56"/>
      <c r="Z37" s="57"/>
      <c r="AA37" s="58"/>
      <c r="AB37" s="59"/>
    </row>
    <row r="38" ht="13.5" customHeight="1">
      <c r="A38" s="60">
        <f>IFERROR(__xludf.DUMMYFUNCTION("""COMPUTED_VALUE"""),37.0)</f>
        <v>37</v>
      </c>
      <c r="B38" s="61" t="str">
        <f>IFERROR(__xludf.DUMMYFUNCTION("""COMPUTED_VALUE"""),"140")</f>
        <v>140</v>
      </c>
      <c r="C38" s="62" t="str">
        <f>IFERROR(__xludf.DUMMYFUNCTION("""COMPUTED_VALUE"""),"MALET")</f>
        <v>MALET</v>
      </c>
      <c r="D38" s="63" t="str">
        <f>IFERROR(__xludf.DUMMYFUNCTION("""COMPUTED_VALUE"""),"JEANNE")</f>
        <v>JEANNE</v>
      </c>
      <c r="E38" s="51" t="str">
        <f>IFERROR(__xludf.DUMMYFUNCTION("""COMPUTED_VALUE"""),"SF3")</f>
        <v>SF3</v>
      </c>
      <c r="F38" s="64">
        <f>IFERROR(__xludf.DUMMYFUNCTION("""COMPUTED_VALUE"""),5.0)</f>
        <v>5</v>
      </c>
      <c r="G38" s="52">
        <f>IFERROR(__xludf.DUMMYFUNCTION("""COMPUTED_VALUE"""),0.026238426055317253)</f>
        <v>0.02623842606</v>
      </c>
      <c r="H38" s="53">
        <f>IFERROR(__xludf.DUMMYFUNCTION("""COMPUTED_VALUE"""),0.005312500097361468)</f>
        <v>0.005312500097</v>
      </c>
      <c r="I38" s="53">
        <f>IFERROR(__xludf.DUMMYFUNCTION("""COMPUTED_VALUE"""),0.00875000009689379)</f>
        <v>0.008750000097</v>
      </c>
      <c r="J38" s="53">
        <f>IFERROR(__xludf.DUMMYFUNCTION("""COMPUTED_VALUE"""),0.010983795813640826)</f>
        <v>0.01098379581</v>
      </c>
      <c r="K38" s="54">
        <f>IFERROR(__xludf.DUMMYFUNCTION("""COMPUTED_VALUE"""),0.0011921300474211681)</f>
        <v>0.001192130047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6"/>
      <c r="W38" s="56"/>
      <c r="X38" s="56"/>
      <c r="Y38" s="56"/>
      <c r="Z38" s="57"/>
      <c r="AA38" s="58"/>
      <c r="AB38" s="59"/>
    </row>
    <row r="39" ht="13.5" customHeight="1">
      <c r="A39" s="60">
        <f>IFERROR(__xludf.DUMMYFUNCTION("""COMPUTED_VALUE"""),38.0)</f>
        <v>38</v>
      </c>
      <c r="B39" s="61" t="str">
        <f>IFERROR(__xludf.DUMMYFUNCTION("""COMPUTED_VALUE"""),"77")</f>
        <v>77</v>
      </c>
      <c r="C39" s="62" t="str">
        <f>IFERROR(__xludf.DUMMYFUNCTION("""COMPUTED_VALUE"""),"BOUDOT")</f>
        <v>BOUDOT</v>
      </c>
      <c r="D39" s="63" t="str">
        <f>IFERROR(__xludf.DUMMYFUNCTION("""COMPUTED_VALUE"""),"SOLÈNE")</f>
        <v>SOLÈNE</v>
      </c>
      <c r="E39" s="51" t="str">
        <f>IFERROR(__xludf.DUMMYFUNCTION("""COMPUTED_VALUE"""),"SF3")</f>
        <v>SF3</v>
      </c>
      <c r="F39" s="64">
        <f>IFERROR(__xludf.DUMMYFUNCTION("""COMPUTED_VALUE"""),6.0)</f>
        <v>6</v>
      </c>
      <c r="G39" s="52">
        <f>IFERROR(__xludf.DUMMYFUNCTION("""COMPUTED_VALUE"""),0.026655093162815818)</f>
        <v>0.02665509316</v>
      </c>
      <c r="H39" s="53">
        <f>IFERROR(__xludf.DUMMYFUNCTION("""COMPUTED_VALUE"""),0.004537037139844276)</f>
        <v>0.00453703714</v>
      </c>
      <c r="I39" s="53">
        <f>IFERROR(__xludf.DUMMYFUNCTION("""COMPUTED_VALUE"""),0.009155092642967926)</f>
        <v>0.009155092643</v>
      </c>
      <c r="J39" s="53">
        <f>IFERROR(__xludf.DUMMYFUNCTION("""COMPUTED_VALUE"""),0.011747685461638098)</f>
        <v>0.01174768546</v>
      </c>
      <c r="K39" s="54">
        <f>IFERROR(__xludf.DUMMYFUNCTION("""COMPUTED_VALUE"""),0.001215277918365518)</f>
        <v>0.001215277918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6"/>
      <c r="W39" s="56"/>
      <c r="X39" s="56"/>
      <c r="Y39" s="56"/>
      <c r="Z39" s="57"/>
      <c r="AA39" s="58"/>
      <c r="AB39" s="59"/>
    </row>
    <row r="40" ht="13.5" customHeight="1">
      <c r="A40" s="60">
        <f>IFERROR(__xludf.DUMMYFUNCTION("""COMPUTED_VALUE"""),39.0)</f>
        <v>39</v>
      </c>
      <c r="B40" s="61" t="str">
        <f>IFERROR(__xludf.DUMMYFUNCTION("""COMPUTED_VALUE"""),"67")</f>
        <v>67</v>
      </c>
      <c r="C40" s="62" t="str">
        <f>IFERROR(__xludf.DUMMYFUNCTION("""COMPUTED_VALUE"""),"BALOT")</f>
        <v>BALOT</v>
      </c>
      <c r="D40" s="63" t="str">
        <f>IFERROR(__xludf.DUMMYFUNCTION("""COMPUTED_VALUE"""),"SARAH")</f>
        <v>SARAH</v>
      </c>
      <c r="E40" s="51" t="str">
        <f>IFERROR(__xludf.DUMMYFUNCTION("""COMPUTED_VALUE"""),"SF2")</f>
        <v>SF2</v>
      </c>
      <c r="F40" s="64">
        <f>IFERROR(__xludf.DUMMYFUNCTION("""COMPUTED_VALUE"""),10.0)</f>
        <v>10</v>
      </c>
      <c r="G40" s="52">
        <f>IFERROR(__xludf.DUMMYFUNCTION("""COMPUTED_VALUE"""),0.02679398240285868)</f>
        <v>0.0267939824</v>
      </c>
      <c r="H40" s="53">
        <f>IFERROR(__xludf.DUMMYFUNCTION("""COMPUTED_VALUE"""),0.005497685187225778)</f>
        <v>0.005497685187</v>
      </c>
      <c r="I40" s="53">
        <f>IFERROR(__xludf.DUMMYFUNCTION("""COMPUTED_VALUE"""),0.009224537133720285)</f>
        <v>0.009224537134</v>
      </c>
      <c r="J40" s="53">
        <f>IFERROR(__xludf.DUMMYFUNCTION("""COMPUTED_VALUE"""),0.010682870692332168)</f>
        <v>0.01068287069</v>
      </c>
      <c r="K40" s="54">
        <f>IFERROR(__xludf.DUMMYFUNCTION("""COMPUTED_VALUE"""),0.0013888893895804512)</f>
        <v>0.00138888939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6"/>
      <c r="W40" s="56"/>
      <c r="X40" s="56"/>
      <c r="Y40" s="56"/>
      <c r="Z40" s="57"/>
      <c r="AA40" s="58"/>
      <c r="AB40" s="59"/>
    </row>
    <row r="41" ht="13.5" customHeight="1">
      <c r="A41" s="60">
        <f>IFERROR(__xludf.DUMMYFUNCTION("""COMPUTED_VALUE"""),40.0)</f>
        <v>40</v>
      </c>
      <c r="B41" s="61" t="str">
        <f>IFERROR(__xludf.DUMMYFUNCTION("""COMPUTED_VALUE"""),"113")</f>
        <v>113</v>
      </c>
      <c r="C41" s="62" t="str">
        <f>IFERROR(__xludf.DUMMYFUNCTION("""COMPUTED_VALUE"""),"MARCHETTI")</f>
        <v>MARCHETTI</v>
      </c>
      <c r="D41" s="63" t="str">
        <f>IFERROR(__xludf.DUMMYFUNCTION("""COMPUTED_VALUE"""),"CAMILLE")</f>
        <v>CAMILLE</v>
      </c>
      <c r="E41" s="51" t="str">
        <f>IFERROR(__xludf.DUMMYFUNCTION("""COMPUTED_VALUE"""),"SF2")</f>
        <v>SF2</v>
      </c>
      <c r="F41" s="64">
        <f>IFERROR(__xludf.DUMMYFUNCTION("""COMPUTED_VALUE"""),11.0)</f>
        <v>11</v>
      </c>
      <c r="G41" s="52">
        <f>IFERROR(__xludf.DUMMYFUNCTION("""COMPUTED_VALUE"""),0.027268519380520145)</f>
        <v>0.02726851938</v>
      </c>
      <c r="H41" s="53">
        <f>IFERROR(__xludf.DUMMYFUNCTION("""COMPUTED_VALUE"""),0.0054050926678055776)</f>
        <v>0.005405092668</v>
      </c>
      <c r="I41" s="53">
        <f>IFERROR(__xludf.DUMMYFUNCTION("""COMPUTED_VALUE"""),0.008379629643611521)</f>
        <v>0.008379629644</v>
      </c>
      <c r="J41" s="53">
        <f>IFERROR(__xludf.DUMMYFUNCTION("""COMPUTED_VALUE"""),0.01230324047713252)</f>
        <v>0.01230324048</v>
      </c>
      <c r="K41" s="54">
        <f>IFERROR(__xludf.DUMMYFUNCTION("""COMPUTED_VALUE"""),0.0011805565919705266)</f>
        <v>0.001180556592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6"/>
      <c r="W41" s="56"/>
      <c r="X41" s="56"/>
      <c r="Y41" s="56"/>
      <c r="Z41" s="57"/>
      <c r="AA41" s="58"/>
      <c r="AB41" s="59"/>
    </row>
    <row r="42" ht="13.5" customHeight="1">
      <c r="A42" s="60">
        <f>IFERROR(__xludf.DUMMYFUNCTION("""COMPUTED_VALUE"""),41.0)</f>
        <v>41</v>
      </c>
      <c r="B42" s="61" t="str">
        <f>IFERROR(__xludf.DUMMYFUNCTION("""COMPUTED_VALUE"""),"57")</f>
        <v>57</v>
      </c>
      <c r="C42" s="62" t="str">
        <f>IFERROR(__xludf.DUMMYFUNCTION("""COMPUTED_VALUE"""),"ALÉPÉE")</f>
        <v>ALÉPÉE</v>
      </c>
      <c r="D42" s="63" t="str">
        <f>IFERROR(__xludf.DUMMYFUNCTION("""COMPUTED_VALUE"""),"CHRYSTEL")</f>
        <v>CHRYSTEL</v>
      </c>
      <c r="E42" s="51" t="str">
        <f>IFERROR(__xludf.DUMMYFUNCTION("""COMPUTED_VALUE"""),"MF3")</f>
        <v>MF3</v>
      </c>
      <c r="F42" s="64">
        <f>IFERROR(__xludf.DUMMYFUNCTION("""COMPUTED_VALUE"""),3.0)</f>
        <v>3</v>
      </c>
      <c r="G42" s="52">
        <f>IFERROR(__xludf.DUMMYFUNCTION("""COMPUTED_VALUE"""),0.027395833616507343)</f>
        <v>0.02739583362</v>
      </c>
      <c r="H42" s="53">
        <f>IFERROR(__xludf.DUMMYFUNCTION("""COMPUTED_VALUE"""),0.004016203812872045)</f>
        <v>0.004016203813</v>
      </c>
      <c r="I42" s="53">
        <f>IFERROR(__xludf.DUMMYFUNCTION("""COMPUTED_VALUE"""),0.009027777888728699)</f>
        <v>0.009027777889</v>
      </c>
      <c r="J42" s="53">
        <f>IFERROR(__xludf.DUMMYFUNCTION("""COMPUTED_VALUE"""),0.01289351800876155)</f>
        <v>0.01289351801</v>
      </c>
      <c r="K42" s="54">
        <f>IFERROR(__xludf.DUMMYFUNCTION("""COMPUTED_VALUE"""),0.0014583339061450488)</f>
        <v>0.001458333906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6"/>
      <c r="W42" s="56"/>
      <c r="X42" s="56"/>
      <c r="Y42" s="56"/>
      <c r="Z42" s="57"/>
      <c r="AA42" s="58"/>
      <c r="AB42" s="59"/>
    </row>
    <row r="43" ht="13.5" customHeight="1">
      <c r="A43" s="60">
        <f>IFERROR(__xludf.DUMMYFUNCTION("""COMPUTED_VALUE"""),42.0)</f>
        <v>42</v>
      </c>
      <c r="B43" s="61" t="str">
        <f>IFERROR(__xludf.DUMMYFUNCTION("""COMPUTED_VALUE"""),"169")</f>
        <v>169</v>
      </c>
      <c r="C43" s="62" t="str">
        <f>IFERROR(__xludf.DUMMYFUNCTION("""COMPUTED_VALUE"""),"SOULAT")</f>
        <v>SOULAT</v>
      </c>
      <c r="D43" s="63" t="str">
        <f>IFERROR(__xludf.DUMMYFUNCTION("""COMPUTED_VALUE"""),"KARINE")</f>
        <v>KARINE</v>
      </c>
      <c r="E43" s="51" t="str">
        <f>IFERROR(__xludf.DUMMYFUNCTION("""COMPUTED_VALUE"""),"MF3")</f>
        <v>MF3</v>
      </c>
      <c r="F43" s="64">
        <f>IFERROR(__xludf.DUMMYFUNCTION("""COMPUTED_VALUE"""),4.0)</f>
        <v>4</v>
      </c>
      <c r="G43" s="52">
        <f>IFERROR(__xludf.DUMMYFUNCTION("""COMPUTED_VALUE"""),0.02754629653821367)</f>
        <v>0.02754629654</v>
      </c>
      <c r="H43" s="53">
        <f>IFERROR(__xludf.DUMMYFUNCTION("""COMPUTED_VALUE"""),0.005532407431527489)</f>
        <v>0.005532407432</v>
      </c>
      <c r="I43" s="53">
        <f>IFERROR(__xludf.DUMMYFUNCTION("""COMPUTED_VALUE"""),0.009293981502811435)</f>
        <v>0.009293981503</v>
      </c>
      <c r="J43" s="53">
        <f>IFERROR(__xludf.DUMMYFUNCTION("""COMPUTED_VALUE"""),0.011087962890848273)</f>
        <v>0.01108796289</v>
      </c>
      <c r="K43" s="54">
        <f>IFERROR(__xludf.DUMMYFUNCTION("""COMPUTED_VALUE"""),0.0016319447130264727)</f>
        <v>0.001631944713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6"/>
      <c r="W43" s="56"/>
      <c r="X43" s="56"/>
      <c r="Y43" s="56"/>
      <c r="Z43" s="57"/>
      <c r="AA43" s="58"/>
      <c r="AB43" s="59"/>
    </row>
    <row r="44" ht="13.5" customHeight="1">
      <c r="A44" s="60">
        <f>IFERROR(__xludf.DUMMYFUNCTION("""COMPUTED_VALUE"""),43.0)</f>
        <v>43</v>
      </c>
      <c r="B44" s="61" t="str">
        <f>IFERROR(__xludf.DUMMYFUNCTION("""COMPUTED_VALUE"""),"128")</f>
        <v>128</v>
      </c>
      <c r="C44" s="62" t="str">
        <f>IFERROR(__xludf.DUMMYFUNCTION("""COMPUTED_VALUE"""),"MERLEAU")</f>
        <v>MERLEAU</v>
      </c>
      <c r="D44" s="63" t="str">
        <f>IFERROR(__xludf.DUMMYFUNCTION("""COMPUTED_VALUE"""),"AUDREY")</f>
        <v>AUDREY</v>
      </c>
      <c r="E44" s="51" t="str">
        <f>IFERROR(__xludf.DUMMYFUNCTION("""COMPUTED_VALUE"""),"SF3")</f>
        <v>SF3</v>
      </c>
      <c r="F44" s="64">
        <f>IFERROR(__xludf.DUMMYFUNCTION("""COMPUTED_VALUE"""),7.0)</f>
        <v>7</v>
      </c>
      <c r="G44" s="52">
        <f>IFERROR(__xludf.DUMMYFUNCTION("""COMPUTED_VALUE"""),0.02754629722857321)</f>
        <v>0.02754629723</v>
      </c>
      <c r="H44" s="53">
        <f>IFERROR(__xludf.DUMMYFUNCTION("""COMPUTED_VALUE"""),0.004953703743309753)</f>
        <v>0.004953703743</v>
      </c>
      <c r="I44" s="53">
        <f>IFERROR(__xludf.DUMMYFUNCTION("""COMPUTED_VALUE"""),0.011134259330340778)</f>
        <v>0.01113425933</v>
      </c>
      <c r="J44" s="53">
        <f>IFERROR(__xludf.DUMMYFUNCTION("""COMPUTED_VALUE"""),0.010856481388134335)</f>
        <v>0.01085648139</v>
      </c>
      <c r="K44" s="54">
        <f>IFERROR(__xludf.DUMMYFUNCTION("""COMPUTED_VALUE"""),6.018527667883437E-4)</f>
        <v>0.0006018527668</v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6"/>
      <c r="W44" s="56"/>
      <c r="X44" s="56"/>
      <c r="Y44" s="56"/>
      <c r="Z44" s="57"/>
      <c r="AA44" s="58"/>
      <c r="AB44" s="59"/>
    </row>
    <row r="45" ht="13.5" customHeight="1">
      <c r="A45" s="60">
        <f>IFERROR(__xludf.DUMMYFUNCTION("""COMPUTED_VALUE"""),44.0)</f>
        <v>44</v>
      </c>
      <c r="B45" s="61" t="str">
        <f>IFERROR(__xludf.DUMMYFUNCTION("""COMPUTED_VALUE"""),"111")</f>
        <v>111</v>
      </c>
      <c r="C45" s="62" t="str">
        <f>IFERROR(__xludf.DUMMYFUNCTION("""COMPUTED_VALUE"""),"DASSÉ")</f>
        <v>DASSÉ</v>
      </c>
      <c r="D45" s="63" t="str">
        <f>IFERROR(__xludf.DUMMYFUNCTION("""COMPUTED_VALUE"""),"LOUISE")</f>
        <v>LOUISE</v>
      </c>
      <c r="E45" s="51" t="str">
        <f>IFERROR(__xludf.DUMMYFUNCTION("""COMPUTED_VALUE"""),"SF2")</f>
        <v>SF2</v>
      </c>
      <c r="F45" s="64">
        <f>IFERROR(__xludf.DUMMYFUNCTION("""COMPUTED_VALUE"""),12.0)</f>
        <v>12</v>
      </c>
      <c r="G45" s="52">
        <f>IFERROR(__xludf.DUMMYFUNCTION("""COMPUTED_VALUE"""),0.02778935212552516)</f>
        <v>0.02778935213</v>
      </c>
      <c r="H45" s="53">
        <f>IFERROR(__xludf.DUMMYFUNCTION("""COMPUTED_VALUE"""),0.004513888953868142)</f>
        <v>0.004513888954</v>
      </c>
      <c r="I45" s="53">
        <f>IFERROR(__xludf.DUMMYFUNCTION("""COMPUTED_VALUE"""),0.009745370444781321)</f>
        <v>0.009745370445</v>
      </c>
      <c r="J45" s="53">
        <f>IFERROR(__xludf.DUMMYFUNCTION("""COMPUTED_VALUE"""),0.012094906842255716)</f>
        <v>0.01209490684</v>
      </c>
      <c r="K45" s="54">
        <f>IFERROR(__xludf.DUMMYFUNCTION("""COMPUTED_VALUE"""),0.0014351858846199808)</f>
        <v>0.001435185885</v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6"/>
      <c r="W45" s="56"/>
      <c r="X45" s="56"/>
      <c r="Y45" s="56"/>
      <c r="Z45" s="57"/>
      <c r="AA45" s="58"/>
      <c r="AB45" s="59"/>
    </row>
    <row r="46" ht="13.5" customHeight="1">
      <c r="A46" s="60">
        <f>IFERROR(__xludf.DUMMYFUNCTION("""COMPUTED_VALUE"""),45.0)</f>
        <v>45</v>
      </c>
      <c r="B46" s="61" t="str">
        <f>IFERROR(__xludf.DUMMYFUNCTION("""COMPUTED_VALUE"""),"112")</f>
        <v>112</v>
      </c>
      <c r="C46" s="62" t="str">
        <f>IFERROR(__xludf.DUMMYFUNCTION("""COMPUTED_VALUE"""),"FRONT")</f>
        <v>FRONT</v>
      </c>
      <c r="D46" s="63" t="str">
        <f>IFERROR(__xludf.DUMMYFUNCTION("""COMPUTED_VALUE"""),"ISABELLE")</f>
        <v>ISABELLE</v>
      </c>
      <c r="E46" s="51" t="str">
        <f>IFERROR(__xludf.DUMMYFUNCTION("""COMPUTED_VALUE"""),"MF4")</f>
        <v>MF4</v>
      </c>
      <c r="F46" s="64">
        <f>IFERROR(__xludf.DUMMYFUNCTION("""COMPUTED_VALUE"""),1.0)</f>
        <v>1</v>
      </c>
      <c r="G46" s="52">
        <f>IFERROR(__xludf.DUMMYFUNCTION("""COMPUTED_VALUE"""),0.02778935286527126)</f>
        <v>0.02778935287</v>
      </c>
      <c r="H46" s="53">
        <f>IFERROR(__xludf.DUMMYFUNCTION("""COMPUTED_VALUE"""),0.004340277842084276)</f>
        <v>0.004340277842</v>
      </c>
      <c r="I46" s="53">
        <f>IFERROR(__xludf.DUMMYFUNCTION("""COMPUTED_VALUE"""),0.009953703726112482)</f>
        <v>0.009953703726</v>
      </c>
      <c r="J46" s="53">
        <f>IFERROR(__xludf.DUMMYFUNCTION("""COMPUTED_VALUE"""),0.012094908284593246)</f>
        <v>0.01209490828</v>
      </c>
      <c r="K46" s="54">
        <f>IFERROR(__xludf.DUMMYFUNCTION("""COMPUTED_VALUE"""),0.0014004630124812567)</f>
        <v>0.001400463012</v>
      </c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6"/>
      <c r="W46" s="56"/>
      <c r="X46" s="56"/>
      <c r="Y46" s="56"/>
      <c r="Z46" s="57"/>
      <c r="AA46" s="58"/>
      <c r="AB46" s="59"/>
    </row>
    <row r="47" ht="13.5" customHeight="1">
      <c r="A47" s="60">
        <f>IFERROR(__xludf.DUMMYFUNCTION("""COMPUTED_VALUE"""),46.0)</f>
        <v>46</v>
      </c>
      <c r="B47" s="61" t="str">
        <f>IFERROR(__xludf.DUMMYFUNCTION("""COMPUTED_VALUE"""),"166")</f>
        <v>166</v>
      </c>
      <c r="C47" s="62" t="str">
        <f>IFERROR(__xludf.DUMMYFUNCTION("""COMPUTED_VALUE"""),"BOUCHÉ")</f>
        <v>BOUCHÉ</v>
      </c>
      <c r="D47" s="63" t="str">
        <f>IFERROR(__xludf.DUMMYFUNCTION("""COMPUTED_VALUE"""),"AMÉLIE")</f>
        <v>AMÉLIE</v>
      </c>
      <c r="E47" s="51" t="str">
        <f>IFERROR(__xludf.DUMMYFUNCTION("""COMPUTED_VALUE"""),"SF3")</f>
        <v>SF3</v>
      </c>
      <c r="F47" s="64">
        <f>IFERROR(__xludf.DUMMYFUNCTION("""COMPUTED_VALUE"""),8.0)</f>
        <v>8</v>
      </c>
      <c r="G47" s="52">
        <f>IFERROR(__xludf.DUMMYFUNCTION("""COMPUTED_VALUE"""),0.028078703985006108)</f>
        <v>0.02807870399</v>
      </c>
      <c r="H47" s="53">
        <f>IFERROR(__xludf.DUMMYFUNCTION("""COMPUTED_VALUE"""),0.005162037151066553)</f>
        <v>0.005162037151</v>
      </c>
      <c r="I47" s="53">
        <f>IFERROR(__xludf.DUMMYFUNCTION("""COMPUTED_VALUE"""),0.009305555578500489)</f>
        <v>0.009305555579</v>
      </c>
      <c r="J47" s="53">
        <f>IFERROR(__xludf.DUMMYFUNCTION("""COMPUTED_VALUE"""),0.01247685141042386)</f>
        <v>0.01247685141</v>
      </c>
      <c r="K47" s="54">
        <f>IFERROR(__xludf.DUMMYFUNCTION("""COMPUTED_VALUE"""),0.0011342598450152057)</f>
        <v>0.001134259845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6"/>
      <c r="W47" s="56"/>
      <c r="X47" s="56"/>
      <c r="Y47" s="56"/>
      <c r="Z47" s="57"/>
      <c r="AA47" s="58"/>
      <c r="AB47" s="59"/>
    </row>
    <row r="48" ht="13.5" customHeight="1">
      <c r="A48" s="60">
        <f>IFERROR(__xludf.DUMMYFUNCTION("""COMPUTED_VALUE"""),47.0)</f>
        <v>47</v>
      </c>
      <c r="B48" s="61" t="str">
        <f>IFERROR(__xludf.DUMMYFUNCTION("""COMPUTED_VALUE"""),"138")</f>
        <v>138</v>
      </c>
      <c r="C48" s="62" t="str">
        <f>IFERROR(__xludf.DUMMYFUNCTION("""COMPUTED_VALUE"""),"CARIMANTRAN")</f>
        <v>CARIMANTRAN</v>
      </c>
      <c r="D48" s="63" t="str">
        <f>IFERROR(__xludf.DUMMYFUNCTION("""COMPUTED_VALUE"""),"CLAIRE")</f>
        <v>CLAIRE</v>
      </c>
      <c r="E48" s="51" t="str">
        <f>IFERROR(__xludf.DUMMYFUNCTION("""COMPUTED_VALUE"""),"MF3")</f>
        <v>MF3</v>
      </c>
      <c r="F48" s="64">
        <f>IFERROR(__xludf.DUMMYFUNCTION("""COMPUTED_VALUE"""),5.0)</f>
        <v>5</v>
      </c>
      <c r="G48" s="52">
        <f>IFERROR(__xludf.DUMMYFUNCTION("""COMPUTED_VALUE"""),0.028206018552832956)</f>
        <v>0.02820601855</v>
      </c>
      <c r="H48" s="53">
        <f>IFERROR(__xludf.DUMMYFUNCTION("""COMPUTED_VALUE"""),0.005092592643689418)</f>
        <v>0.005092592644</v>
      </c>
      <c r="I48" s="53">
        <f>IFERROR(__xludf.DUMMYFUNCTION("""COMPUTED_VALUE"""),0.011527777822537236)</f>
        <v>0.01152777782</v>
      </c>
      <c r="J48" s="53">
        <f>IFERROR(__xludf.DUMMYFUNCTION("""COMPUTED_VALUE"""),0.01038194374764708)</f>
        <v>0.01038194375</v>
      </c>
      <c r="K48" s="54">
        <f>IFERROR(__xludf.DUMMYFUNCTION("""COMPUTED_VALUE"""),0.0012037043389592217)</f>
        <v>0.001203704339</v>
      </c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6"/>
      <c r="W48" s="56"/>
      <c r="X48" s="56"/>
      <c r="Y48" s="56"/>
      <c r="Z48" s="57"/>
      <c r="AA48" s="58"/>
      <c r="AB48" s="59"/>
    </row>
    <row r="49" ht="13.5" customHeight="1">
      <c r="A49" s="60">
        <f>IFERROR(__xludf.DUMMYFUNCTION("""COMPUTED_VALUE"""),48.0)</f>
        <v>48</v>
      </c>
      <c r="B49" s="61" t="str">
        <f>IFERROR(__xludf.DUMMYFUNCTION("""COMPUTED_VALUE"""),"98")</f>
        <v>98</v>
      </c>
      <c r="C49" s="62" t="str">
        <f>IFERROR(__xludf.DUMMYFUNCTION("""COMPUTED_VALUE"""),"DEJEAN")</f>
        <v>DEJEAN</v>
      </c>
      <c r="D49" s="63" t="str">
        <f>IFERROR(__xludf.DUMMYFUNCTION("""COMPUTED_VALUE"""),"LEA")</f>
        <v>LEA</v>
      </c>
      <c r="E49" s="51" t="str">
        <f>IFERROR(__xludf.DUMMYFUNCTION("""COMPUTED_VALUE"""),"SF2")</f>
        <v>SF2</v>
      </c>
      <c r="F49" s="64">
        <f>IFERROR(__xludf.DUMMYFUNCTION("""COMPUTED_VALUE"""),13.0)</f>
        <v>13</v>
      </c>
      <c r="G49" s="52">
        <f>IFERROR(__xludf.DUMMYFUNCTION("""COMPUTED_VALUE"""),0.028263889648335146)</f>
        <v>0.02826388965</v>
      </c>
      <c r="H49" s="53">
        <f>IFERROR(__xludf.DUMMYFUNCTION("""COMPUTED_VALUE"""),0.0040972222461836405)</f>
        <v>0.004097222246</v>
      </c>
      <c r="I49" s="53">
        <f>IFERROR(__xludf.DUMMYFUNCTION("""COMPUTED_VALUE"""),0.009583333408838138)</f>
        <v>0.009583333409</v>
      </c>
      <c r="J49" s="53">
        <f>IFERROR(__xludf.DUMMYFUNCTION("""COMPUTED_VALUE"""),0.013113426366333218)</f>
        <v>0.01311342637</v>
      </c>
      <c r="K49" s="54">
        <f>IFERROR(__xludf.DUMMYFUNCTION("""COMPUTED_VALUE"""),0.0014699076269801496)</f>
        <v>0.001469907627</v>
      </c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6"/>
      <c r="W49" s="56"/>
      <c r="X49" s="56"/>
      <c r="Y49" s="56"/>
      <c r="Z49" s="57"/>
      <c r="AA49" s="58"/>
      <c r="AB49" s="59"/>
    </row>
    <row r="50" ht="13.5" customHeight="1">
      <c r="A50" s="60">
        <f>IFERROR(__xludf.DUMMYFUNCTION("""COMPUTED_VALUE"""),49.0)</f>
        <v>49</v>
      </c>
      <c r="B50" s="61" t="str">
        <f>IFERROR(__xludf.DUMMYFUNCTION("""COMPUTED_VALUE"""),"199")</f>
        <v>199</v>
      </c>
      <c r="C50" s="62" t="str">
        <f>IFERROR(__xludf.DUMMYFUNCTION("""COMPUTED_VALUE"""),"LE HUËROU")</f>
        <v>LE HUËROU</v>
      </c>
      <c r="D50" s="63" t="str">
        <f>IFERROR(__xludf.DUMMYFUNCTION("""COMPUTED_VALUE"""),"MORGANE")</f>
        <v>MORGANE</v>
      </c>
      <c r="E50" s="51" t="str">
        <f>IFERROR(__xludf.DUMMYFUNCTION("""COMPUTED_VALUE"""),"SF3")</f>
        <v>SF3</v>
      </c>
      <c r="F50" s="64">
        <f>IFERROR(__xludf.DUMMYFUNCTION("""COMPUTED_VALUE"""),9.0)</f>
        <v>9</v>
      </c>
      <c r="G50" s="52">
        <f>IFERROR(__xludf.DUMMYFUNCTION("""COMPUTED_VALUE"""),0.02834490850448618)</f>
        <v>0.0283449085</v>
      </c>
      <c r="H50" s="53">
        <f>IFERROR(__xludf.DUMMYFUNCTION("""COMPUTED_VALUE"""),0.004085648222507913)</f>
        <v>0.004085648223</v>
      </c>
      <c r="I50" s="53">
        <f>IFERROR(__xludf.DUMMYFUNCTION("""COMPUTED_VALUE"""),0.01065972233441587)</f>
        <v>0.01065972233</v>
      </c>
      <c r="J50" s="53">
        <f>IFERROR(__xludf.DUMMYFUNCTION("""COMPUTED_VALUE"""),0.012256945260675233)</f>
        <v>0.01225694526</v>
      </c>
      <c r="K50" s="54">
        <f>IFERROR(__xludf.DUMMYFUNCTION("""COMPUTED_VALUE"""),0.0013425926868871644)</f>
        <v>0.001342592687</v>
      </c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6"/>
      <c r="W50" s="56"/>
      <c r="X50" s="56"/>
      <c r="Y50" s="56"/>
      <c r="Z50" s="57"/>
      <c r="AA50" s="58"/>
      <c r="AB50" s="59"/>
    </row>
    <row r="51" ht="13.5" customHeight="1">
      <c r="A51" s="60">
        <f>IFERROR(__xludf.DUMMYFUNCTION("""COMPUTED_VALUE"""),50.0)</f>
        <v>50</v>
      </c>
      <c r="B51" s="61" t="str">
        <f>IFERROR(__xludf.DUMMYFUNCTION("""COMPUTED_VALUE"""),"172")</f>
        <v>172</v>
      </c>
      <c r="C51" s="62" t="str">
        <f>IFERROR(__xludf.DUMMYFUNCTION("""COMPUTED_VALUE"""),"LE POËZELLER")</f>
        <v>LE POËZELLER</v>
      </c>
      <c r="D51" s="63" t="str">
        <f>IFERROR(__xludf.DUMMYFUNCTION("""COMPUTED_VALUE"""),"DIANE")</f>
        <v>DIANE</v>
      </c>
      <c r="E51" s="51" t="str">
        <f>IFERROR(__xludf.DUMMYFUNCTION("""COMPUTED_VALUE"""),"SF1")</f>
        <v>SF1</v>
      </c>
      <c r="F51" s="64">
        <f>IFERROR(__xludf.DUMMYFUNCTION("""COMPUTED_VALUE"""),6.0)</f>
        <v>6</v>
      </c>
      <c r="G51" s="52">
        <f>IFERROR(__xludf.DUMMYFUNCTION("""COMPUTED_VALUE"""),0.028368056671543605)</f>
        <v>0.02836805667</v>
      </c>
      <c r="H51" s="53">
        <f>IFERROR(__xludf.DUMMYFUNCTION("""COMPUTED_VALUE"""),0.005694444486177794)</f>
        <v>0.005694444486</v>
      </c>
      <c r="I51" s="53">
        <f>IFERROR(__xludf.DUMMYFUNCTION("""COMPUTED_VALUE"""),0.009131944458597139)</f>
        <v>0.009131944459</v>
      </c>
      <c r="J51" s="53">
        <f>IFERROR(__xludf.DUMMYFUNCTION("""COMPUTED_VALUE"""),0.011157407443914896)</f>
        <v>0.01115740744</v>
      </c>
      <c r="K51" s="54">
        <f>IFERROR(__xludf.DUMMYFUNCTION("""COMPUTED_VALUE"""),0.002384260282853776)</f>
        <v>0.002384260283</v>
      </c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6"/>
      <c r="W51" s="56"/>
      <c r="X51" s="56"/>
      <c r="Y51" s="56"/>
      <c r="Z51" s="57"/>
      <c r="AA51" s="58"/>
      <c r="AB51" s="59"/>
    </row>
    <row r="52" ht="13.5" customHeight="1">
      <c r="A52" s="60">
        <f>IFERROR(__xludf.DUMMYFUNCTION("""COMPUTED_VALUE"""),51.0)</f>
        <v>51</v>
      </c>
      <c r="B52" s="61" t="str">
        <f>IFERROR(__xludf.DUMMYFUNCTION("""COMPUTED_VALUE"""),"97")</f>
        <v>97</v>
      </c>
      <c r="C52" s="62" t="str">
        <f>IFERROR(__xludf.DUMMYFUNCTION("""COMPUTED_VALUE"""),"PIONTEK")</f>
        <v>PIONTEK</v>
      </c>
      <c r="D52" s="63" t="str">
        <f>IFERROR(__xludf.DUMMYFUNCTION("""COMPUTED_VALUE"""),"ANNE")</f>
        <v>ANNE</v>
      </c>
      <c r="E52" s="51" t="str">
        <f>IFERROR(__xludf.DUMMYFUNCTION("""COMPUTED_VALUE"""),"MF3")</f>
        <v>MF3</v>
      </c>
      <c r="F52" s="64">
        <f>IFERROR(__xludf.DUMMYFUNCTION("""COMPUTED_VALUE"""),6.0)</f>
        <v>6</v>
      </c>
      <c r="G52" s="52">
        <f>IFERROR(__xludf.DUMMYFUNCTION("""COMPUTED_VALUE"""),0.02847222250738921)</f>
        <v>0.02847222251</v>
      </c>
      <c r="H52" s="53">
        <f>IFERROR(__xludf.DUMMYFUNCTION("""COMPUTED_VALUE"""),0.005891203798880285)</f>
        <v>0.005891203799</v>
      </c>
      <c r="I52" s="53">
        <f>IFERROR(__xludf.DUMMYFUNCTION("""COMPUTED_VALUE"""),0.009571759303971234)</f>
        <v>0.009571759304</v>
      </c>
      <c r="J52" s="53">
        <f>IFERROR(__xludf.DUMMYFUNCTION("""COMPUTED_VALUE"""),0.011377314820804726)</f>
        <v>0.01137731482</v>
      </c>
      <c r="K52" s="54">
        <f>IFERROR(__xludf.DUMMYFUNCTION("""COMPUTED_VALUE"""),0.0016319445837329636)</f>
        <v>0.001631944584</v>
      </c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6"/>
      <c r="W52" s="56"/>
      <c r="X52" s="56"/>
      <c r="Y52" s="56"/>
      <c r="Z52" s="57"/>
      <c r="AA52" s="58"/>
      <c r="AB52" s="59"/>
    </row>
    <row r="53" ht="13.5" customHeight="1">
      <c r="A53" s="60">
        <f>IFERROR(__xludf.DUMMYFUNCTION("""COMPUTED_VALUE"""),52.0)</f>
        <v>52</v>
      </c>
      <c r="B53" s="61" t="str">
        <f>IFERROR(__xludf.DUMMYFUNCTION("""COMPUTED_VALUE"""),"152")</f>
        <v>152</v>
      </c>
      <c r="C53" s="62" t="str">
        <f>IFERROR(__xludf.DUMMYFUNCTION("""COMPUTED_VALUE"""),"PETIT")</f>
        <v>PETIT</v>
      </c>
      <c r="D53" s="63" t="str">
        <f>IFERROR(__xludf.DUMMYFUNCTION("""COMPUTED_VALUE"""),"LAURENE")</f>
        <v>LAURENE</v>
      </c>
      <c r="E53" s="51" t="str">
        <f>IFERROR(__xludf.DUMMYFUNCTION("""COMPUTED_VALUE"""),"SF2")</f>
        <v>SF2</v>
      </c>
      <c r="F53" s="64">
        <f>IFERROR(__xludf.DUMMYFUNCTION("""COMPUTED_VALUE"""),14.0)</f>
        <v>14</v>
      </c>
      <c r="G53" s="52">
        <f>IFERROR(__xludf.DUMMYFUNCTION("""COMPUTED_VALUE"""),0.029849537493109767)</f>
        <v>0.02984953749</v>
      </c>
      <c r="H53" s="53">
        <f>IFERROR(__xludf.DUMMYFUNCTION("""COMPUTED_VALUE"""),0.005486111169445932)</f>
        <v>0.005486111169</v>
      </c>
      <c r="I53" s="53">
        <f>IFERROR(__xludf.DUMMYFUNCTION("""COMPUTED_VALUE"""),0.01023148149054275)</f>
        <v>0.01023148149</v>
      </c>
      <c r="J53" s="53">
        <f>IFERROR(__xludf.DUMMYFUNCTION("""COMPUTED_VALUE"""),0.012870370738249034)</f>
        <v>0.01287037074</v>
      </c>
      <c r="K53" s="54">
        <f>IFERROR(__xludf.DUMMYFUNCTION("""COMPUTED_VALUE"""),0.0012615740948720517)</f>
        <v>0.001261574095</v>
      </c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6"/>
      <c r="W53" s="56"/>
      <c r="X53" s="56"/>
      <c r="Y53" s="56"/>
      <c r="Z53" s="57"/>
      <c r="AA53" s="58"/>
      <c r="AB53" s="59"/>
    </row>
    <row r="54" ht="13.5" customHeight="1">
      <c r="A54" s="60">
        <f>IFERROR(__xludf.DUMMYFUNCTION("""COMPUTED_VALUE"""),53.0)</f>
        <v>53</v>
      </c>
      <c r="B54" s="61" t="str">
        <f>IFERROR(__xludf.DUMMYFUNCTION("""COMPUTED_VALUE"""),"142")</f>
        <v>142</v>
      </c>
      <c r="C54" s="62" t="str">
        <f>IFERROR(__xludf.DUMMYFUNCTION("""COMPUTED_VALUE"""),"RAMADAN-ALBAN")</f>
        <v>RAMADAN-ALBAN</v>
      </c>
      <c r="D54" s="63" t="str">
        <f>IFERROR(__xludf.DUMMYFUNCTION("""COMPUTED_VALUE"""),"WENDY")</f>
        <v>WENDY</v>
      </c>
      <c r="E54" s="51" t="str">
        <f>IFERROR(__xludf.DUMMYFUNCTION("""COMPUTED_VALUE"""),"SF4")</f>
        <v>SF4</v>
      </c>
      <c r="F54" s="64">
        <f>IFERROR(__xludf.DUMMYFUNCTION("""COMPUTED_VALUE"""),5.0)</f>
        <v>5</v>
      </c>
      <c r="G54" s="52">
        <f>IFERROR(__xludf.DUMMYFUNCTION("""COMPUTED_VALUE"""),0.03067129689823295)</f>
        <v>0.0306712969</v>
      </c>
      <c r="H54" s="53">
        <f>IFERROR(__xludf.DUMMYFUNCTION("""COMPUTED_VALUE"""),0.0060995371156182965)</f>
        <v>0.006099537116</v>
      </c>
      <c r="I54" s="53">
        <f>IFERROR(__xludf.DUMMYFUNCTION("""COMPUTED_VALUE"""),0.010358796381237951)</f>
        <v>0.01035879638</v>
      </c>
      <c r="J54" s="53">
        <f>IFERROR(__xludf.DUMMYFUNCTION("""COMPUTED_VALUE"""),0.012326389217753711)</f>
        <v>0.01232638922</v>
      </c>
      <c r="K54" s="54">
        <f>IFERROR(__xludf.DUMMYFUNCTION("""COMPUTED_VALUE"""),0.001886574183622992)</f>
        <v>0.001886574184</v>
      </c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6"/>
      <c r="W54" s="56"/>
      <c r="X54" s="56"/>
      <c r="Y54" s="56"/>
      <c r="Z54" s="57"/>
      <c r="AA54" s="58"/>
      <c r="AB54" s="59"/>
    </row>
    <row r="55" ht="13.5" customHeight="1">
      <c r="A55" s="60" t="str">
        <f>IFERROR(__xludf.DUMMYFUNCTION("""COMPUTED_VALUE"""),"")</f>
        <v/>
      </c>
      <c r="B55" s="61" t="str">
        <f>IFERROR(__xludf.DUMMYFUNCTION("""COMPUTED_VALUE"""),"")</f>
        <v/>
      </c>
      <c r="C55" s="63" t="str">
        <f>IFERROR(__xludf.DUMMYFUNCTION("""COMPUTED_VALUE"""),"")</f>
        <v/>
      </c>
      <c r="D55" s="63" t="str">
        <f>IFERROR(__xludf.DUMMYFUNCTION("""COMPUTED_VALUE"""),"")</f>
        <v/>
      </c>
      <c r="E55" s="51" t="str">
        <f>IFERROR(__xludf.DUMMYFUNCTION("""COMPUTED_VALUE"""),"")</f>
        <v/>
      </c>
      <c r="F55" s="64" t="str">
        <f>IFERROR(__xludf.DUMMYFUNCTION("""COMPUTED_VALUE"""),"")</f>
        <v/>
      </c>
      <c r="G55" s="52" t="str">
        <f>IFERROR(__xludf.DUMMYFUNCTION("""COMPUTED_VALUE"""),"")</f>
        <v/>
      </c>
      <c r="H55" s="53" t="str">
        <f>IFERROR(__xludf.DUMMYFUNCTION("""COMPUTED_VALUE"""),"")</f>
        <v/>
      </c>
      <c r="I55" s="53" t="str">
        <f>IFERROR(__xludf.DUMMYFUNCTION("""COMPUTED_VALUE"""),"")</f>
        <v/>
      </c>
      <c r="J55" s="53" t="str">
        <f>IFERROR(__xludf.DUMMYFUNCTION("""COMPUTED_VALUE"""),"")</f>
        <v/>
      </c>
      <c r="K55" s="54" t="str">
        <f>IFERROR(__xludf.DUMMYFUNCTION("""COMPUTED_VALUE"""),"")</f>
        <v/>
      </c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6"/>
      <c r="W55" s="56"/>
      <c r="X55" s="56"/>
      <c r="Y55" s="56"/>
      <c r="Z55" s="57"/>
      <c r="AA55" s="58"/>
      <c r="AB55" s="59"/>
    </row>
    <row r="56" ht="13.5" customHeight="1">
      <c r="A56" s="60" t="str">
        <f>IFERROR(__xludf.DUMMYFUNCTION("""COMPUTED_VALUE"""),"")</f>
        <v/>
      </c>
      <c r="B56" s="61" t="str">
        <f>IFERROR(__xludf.DUMMYFUNCTION("""COMPUTED_VALUE"""),"")</f>
        <v/>
      </c>
      <c r="C56" s="63" t="str">
        <f>IFERROR(__xludf.DUMMYFUNCTION("""COMPUTED_VALUE"""),"")</f>
        <v/>
      </c>
      <c r="D56" s="63" t="str">
        <f>IFERROR(__xludf.DUMMYFUNCTION("""COMPUTED_VALUE"""),"")</f>
        <v/>
      </c>
      <c r="E56" s="51" t="str">
        <f>IFERROR(__xludf.DUMMYFUNCTION("""COMPUTED_VALUE"""),"")</f>
        <v/>
      </c>
      <c r="F56" s="64" t="str">
        <f>IFERROR(__xludf.DUMMYFUNCTION("""COMPUTED_VALUE"""),"")</f>
        <v/>
      </c>
      <c r="G56" s="52" t="str">
        <f>IFERROR(__xludf.DUMMYFUNCTION("""COMPUTED_VALUE"""),"")</f>
        <v/>
      </c>
      <c r="H56" s="53" t="str">
        <f>IFERROR(__xludf.DUMMYFUNCTION("""COMPUTED_VALUE"""),"")</f>
        <v/>
      </c>
      <c r="I56" s="53" t="str">
        <f>IFERROR(__xludf.DUMMYFUNCTION("""COMPUTED_VALUE"""),"")</f>
        <v/>
      </c>
      <c r="J56" s="53" t="str">
        <f>IFERROR(__xludf.DUMMYFUNCTION("""COMPUTED_VALUE"""),"")</f>
        <v/>
      </c>
      <c r="K56" s="54" t="str">
        <f>IFERROR(__xludf.DUMMYFUNCTION("""COMPUTED_VALUE"""),"")</f>
        <v/>
      </c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6"/>
      <c r="W56" s="56"/>
      <c r="X56" s="56"/>
      <c r="Y56" s="56"/>
      <c r="Z56" s="57"/>
      <c r="AA56" s="58"/>
      <c r="AB56" s="59"/>
    </row>
    <row r="57" ht="13.5" customHeight="1">
      <c r="A57" s="60" t="str">
        <f>IFERROR(__xludf.DUMMYFUNCTION("""COMPUTED_VALUE"""),"")</f>
        <v/>
      </c>
      <c r="B57" s="61" t="str">
        <f>IFERROR(__xludf.DUMMYFUNCTION("""COMPUTED_VALUE"""),"")</f>
        <v/>
      </c>
      <c r="C57" s="63" t="str">
        <f>IFERROR(__xludf.DUMMYFUNCTION("""COMPUTED_VALUE"""),"")</f>
        <v/>
      </c>
      <c r="D57" s="63" t="str">
        <f>IFERROR(__xludf.DUMMYFUNCTION("""COMPUTED_VALUE"""),"")</f>
        <v/>
      </c>
      <c r="E57" s="51" t="str">
        <f>IFERROR(__xludf.DUMMYFUNCTION("""COMPUTED_VALUE"""),"")</f>
        <v/>
      </c>
      <c r="F57" s="64" t="str">
        <f>IFERROR(__xludf.DUMMYFUNCTION("""COMPUTED_VALUE"""),"")</f>
        <v/>
      </c>
      <c r="G57" s="52" t="str">
        <f>IFERROR(__xludf.DUMMYFUNCTION("""COMPUTED_VALUE"""),"")</f>
        <v/>
      </c>
      <c r="H57" s="53" t="str">
        <f>IFERROR(__xludf.DUMMYFUNCTION("""COMPUTED_VALUE"""),"")</f>
        <v/>
      </c>
      <c r="I57" s="53" t="str">
        <f>IFERROR(__xludf.DUMMYFUNCTION("""COMPUTED_VALUE"""),"")</f>
        <v/>
      </c>
      <c r="J57" s="53" t="str">
        <f>IFERROR(__xludf.DUMMYFUNCTION("""COMPUTED_VALUE"""),"")</f>
        <v/>
      </c>
      <c r="K57" s="54" t="str">
        <f>IFERROR(__xludf.DUMMYFUNCTION("""COMPUTED_VALUE"""),"")</f>
        <v/>
      </c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6"/>
      <c r="W57" s="56"/>
      <c r="X57" s="56"/>
      <c r="Y57" s="56"/>
      <c r="Z57" s="57"/>
      <c r="AA57" s="58"/>
      <c r="AB57" s="59"/>
    </row>
    <row r="58" ht="13.5" customHeight="1">
      <c r="A58" s="60" t="str">
        <f>IFERROR(__xludf.DUMMYFUNCTION("""COMPUTED_VALUE"""),"")</f>
        <v/>
      </c>
      <c r="B58" s="61" t="str">
        <f>IFERROR(__xludf.DUMMYFUNCTION("""COMPUTED_VALUE"""),"")</f>
        <v/>
      </c>
      <c r="C58" s="63" t="str">
        <f>IFERROR(__xludf.DUMMYFUNCTION("""COMPUTED_VALUE"""),"")</f>
        <v/>
      </c>
      <c r="D58" s="63" t="str">
        <f>IFERROR(__xludf.DUMMYFUNCTION("""COMPUTED_VALUE"""),"")</f>
        <v/>
      </c>
      <c r="E58" s="51" t="str">
        <f>IFERROR(__xludf.DUMMYFUNCTION("""COMPUTED_VALUE"""),"")</f>
        <v/>
      </c>
      <c r="F58" s="64" t="str">
        <f>IFERROR(__xludf.DUMMYFUNCTION("""COMPUTED_VALUE"""),"")</f>
        <v/>
      </c>
      <c r="G58" s="52" t="str">
        <f>IFERROR(__xludf.DUMMYFUNCTION("""COMPUTED_VALUE"""),"")</f>
        <v/>
      </c>
      <c r="H58" s="53" t="str">
        <f>IFERROR(__xludf.DUMMYFUNCTION("""COMPUTED_VALUE"""),"")</f>
        <v/>
      </c>
      <c r="I58" s="53" t="str">
        <f>IFERROR(__xludf.DUMMYFUNCTION("""COMPUTED_VALUE"""),"")</f>
        <v/>
      </c>
      <c r="J58" s="53" t="str">
        <f>IFERROR(__xludf.DUMMYFUNCTION("""COMPUTED_VALUE"""),"")</f>
        <v/>
      </c>
      <c r="K58" s="54" t="str">
        <f>IFERROR(__xludf.DUMMYFUNCTION("""COMPUTED_VALUE"""),"")</f>
        <v/>
      </c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6"/>
      <c r="W58" s="56"/>
      <c r="X58" s="56"/>
      <c r="Y58" s="56"/>
      <c r="Z58" s="57"/>
      <c r="AA58" s="58"/>
      <c r="AB58" s="59"/>
    </row>
    <row r="59" ht="13.5" customHeight="1">
      <c r="A59" s="60" t="str">
        <f>IFERROR(__xludf.DUMMYFUNCTION("""COMPUTED_VALUE"""),"")</f>
        <v/>
      </c>
      <c r="B59" s="61" t="str">
        <f>IFERROR(__xludf.DUMMYFUNCTION("""COMPUTED_VALUE"""),"")</f>
        <v/>
      </c>
      <c r="C59" s="63" t="str">
        <f>IFERROR(__xludf.DUMMYFUNCTION("""COMPUTED_VALUE"""),"")</f>
        <v/>
      </c>
      <c r="D59" s="63" t="str">
        <f>IFERROR(__xludf.DUMMYFUNCTION("""COMPUTED_VALUE"""),"")</f>
        <v/>
      </c>
      <c r="E59" s="51" t="str">
        <f>IFERROR(__xludf.DUMMYFUNCTION("""COMPUTED_VALUE"""),"")</f>
        <v/>
      </c>
      <c r="F59" s="64" t="str">
        <f>IFERROR(__xludf.DUMMYFUNCTION("""COMPUTED_VALUE"""),"")</f>
        <v/>
      </c>
      <c r="G59" s="52" t="str">
        <f>IFERROR(__xludf.DUMMYFUNCTION("""COMPUTED_VALUE"""),"")</f>
        <v/>
      </c>
      <c r="H59" s="53" t="str">
        <f>IFERROR(__xludf.DUMMYFUNCTION("""COMPUTED_VALUE"""),"")</f>
        <v/>
      </c>
      <c r="I59" s="53" t="str">
        <f>IFERROR(__xludf.DUMMYFUNCTION("""COMPUTED_VALUE"""),"")</f>
        <v/>
      </c>
      <c r="J59" s="53" t="str">
        <f>IFERROR(__xludf.DUMMYFUNCTION("""COMPUTED_VALUE"""),"")</f>
        <v/>
      </c>
      <c r="K59" s="54" t="str">
        <f>IFERROR(__xludf.DUMMYFUNCTION("""COMPUTED_VALUE"""),"")</f>
        <v/>
      </c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6"/>
      <c r="W59" s="56"/>
      <c r="X59" s="56"/>
      <c r="Y59" s="56"/>
      <c r="Z59" s="57"/>
      <c r="AA59" s="58"/>
      <c r="AB59" s="59"/>
    </row>
    <row r="60" ht="13.5" customHeight="1">
      <c r="A60" s="60" t="str">
        <f>IFERROR(__xludf.DUMMYFUNCTION("""COMPUTED_VALUE"""),"")</f>
        <v/>
      </c>
      <c r="B60" s="61" t="str">
        <f>IFERROR(__xludf.DUMMYFUNCTION("""COMPUTED_VALUE"""),"")</f>
        <v/>
      </c>
      <c r="C60" s="63" t="str">
        <f>IFERROR(__xludf.DUMMYFUNCTION("""COMPUTED_VALUE"""),"")</f>
        <v/>
      </c>
      <c r="D60" s="63" t="str">
        <f>IFERROR(__xludf.DUMMYFUNCTION("""COMPUTED_VALUE"""),"")</f>
        <v/>
      </c>
      <c r="E60" s="51" t="str">
        <f>IFERROR(__xludf.DUMMYFUNCTION("""COMPUTED_VALUE"""),"")</f>
        <v/>
      </c>
      <c r="F60" s="64" t="str">
        <f>IFERROR(__xludf.DUMMYFUNCTION("""COMPUTED_VALUE"""),"")</f>
        <v/>
      </c>
      <c r="G60" s="52" t="str">
        <f>IFERROR(__xludf.DUMMYFUNCTION("""COMPUTED_VALUE"""),"")</f>
        <v/>
      </c>
      <c r="H60" s="53" t="str">
        <f>IFERROR(__xludf.DUMMYFUNCTION("""COMPUTED_VALUE"""),"")</f>
        <v/>
      </c>
      <c r="I60" s="53" t="str">
        <f>IFERROR(__xludf.DUMMYFUNCTION("""COMPUTED_VALUE"""),"")</f>
        <v/>
      </c>
      <c r="J60" s="53" t="str">
        <f>IFERROR(__xludf.DUMMYFUNCTION("""COMPUTED_VALUE"""),"")</f>
        <v/>
      </c>
      <c r="K60" s="54" t="str">
        <f>IFERROR(__xludf.DUMMYFUNCTION("""COMPUTED_VALUE"""),"")</f>
        <v/>
      </c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6"/>
      <c r="W60" s="56"/>
      <c r="X60" s="56"/>
      <c r="Y60" s="56"/>
      <c r="Z60" s="57"/>
      <c r="AA60" s="58"/>
      <c r="AB60" s="59"/>
    </row>
    <row r="61" ht="13.5" customHeight="1">
      <c r="A61" s="60" t="str">
        <f>IFERROR(__xludf.DUMMYFUNCTION("""COMPUTED_VALUE"""),"")</f>
        <v/>
      </c>
      <c r="B61" s="61" t="str">
        <f>IFERROR(__xludf.DUMMYFUNCTION("""COMPUTED_VALUE"""),"")</f>
        <v/>
      </c>
      <c r="C61" s="63" t="str">
        <f>IFERROR(__xludf.DUMMYFUNCTION("""COMPUTED_VALUE"""),"")</f>
        <v/>
      </c>
      <c r="D61" s="63" t="str">
        <f>IFERROR(__xludf.DUMMYFUNCTION("""COMPUTED_VALUE"""),"")</f>
        <v/>
      </c>
      <c r="E61" s="51" t="str">
        <f>IFERROR(__xludf.DUMMYFUNCTION("""COMPUTED_VALUE"""),"")</f>
        <v/>
      </c>
      <c r="F61" s="64" t="str">
        <f>IFERROR(__xludf.DUMMYFUNCTION("""COMPUTED_VALUE"""),"")</f>
        <v/>
      </c>
      <c r="G61" s="52" t="str">
        <f>IFERROR(__xludf.DUMMYFUNCTION("""COMPUTED_VALUE"""),"")</f>
        <v/>
      </c>
      <c r="H61" s="53" t="str">
        <f>IFERROR(__xludf.DUMMYFUNCTION("""COMPUTED_VALUE"""),"")</f>
        <v/>
      </c>
      <c r="I61" s="53" t="str">
        <f>IFERROR(__xludf.DUMMYFUNCTION("""COMPUTED_VALUE"""),"")</f>
        <v/>
      </c>
      <c r="J61" s="53" t="str">
        <f>IFERROR(__xludf.DUMMYFUNCTION("""COMPUTED_VALUE"""),"")</f>
        <v/>
      </c>
      <c r="K61" s="54" t="str">
        <f>IFERROR(__xludf.DUMMYFUNCTION("""COMPUTED_VALUE"""),"")</f>
        <v/>
      </c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6"/>
      <c r="W61" s="56"/>
      <c r="X61" s="56"/>
      <c r="Y61" s="56"/>
      <c r="Z61" s="57"/>
      <c r="AA61" s="58"/>
      <c r="AB61" s="59"/>
    </row>
    <row r="62" ht="13.5" customHeight="1">
      <c r="A62" s="60" t="str">
        <f>IFERROR(__xludf.DUMMYFUNCTION("""COMPUTED_VALUE"""),"")</f>
        <v/>
      </c>
      <c r="B62" s="61" t="str">
        <f>IFERROR(__xludf.DUMMYFUNCTION("""COMPUTED_VALUE"""),"")</f>
        <v/>
      </c>
      <c r="C62" s="63" t="str">
        <f>IFERROR(__xludf.DUMMYFUNCTION("""COMPUTED_VALUE"""),"")</f>
        <v/>
      </c>
      <c r="D62" s="63" t="str">
        <f>IFERROR(__xludf.DUMMYFUNCTION("""COMPUTED_VALUE"""),"")</f>
        <v/>
      </c>
      <c r="E62" s="51" t="str">
        <f>IFERROR(__xludf.DUMMYFUNCTION("""COMPUTED_VALUE"""),"")</f>
        <v/>
      </c>
      <c r="F62" s="64" t="str">
        <f>IFERROR(__xludf.DUMMYFUNCTION("""COMPUTED_VALUE"""),"")</f>
        <v/>
      </c>
      <c r="G62" s="52" t="str">
        <f>IFERROR(__xludf.DUMMYFUNCTION("""COMPUTED_VALUE"""),"")</f>
        <v/>
      </c>
      <c r="H62" s="53" t="str">
        <f>IFERROR(__xludf.DUMMYFUNCTION("""COMPUTED_VALUE"""),"")</f>
        <v/>
      </c>
      <c r="I62" s="53" t="str">
        <f>IFERROR(__xludf.DUMMYFUNCTION("""COMPUTED_VALUE"""),"")</f>
        <v/>
      </c>
      <c r="J62" s="53" t="str">
        <f>IFERROR(__xludf.DUMMYFUNCTION("""COMPUTED_VALUE"""),"")</f>
        <v/>
      </c>
      <c r="K62" s="54" t="str">
        <f>IFERROR(__xludf.DUMMYFUNCTION("""COMPUTED_VALUE"""),"")</f>
        <v/>
      </c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6"/>
      <c r="W62" s="56"/>
      <c r="X62" s="56"/>
      <c r="Y62" s="56"/>
      <c r="Z62" s="57"/>
      <c r="AA62" s="58"/>
      <c r="AB62" s="59"/>
    </row>
    <row r="63" ht="13.5" customHeight="1">
      <c r="A63" s="60" t="str">
        <f>IFERROR(__xludf.DUMMYFUNCTION("""COMPUTED_VALUE"""),"")</f>
        <v/>
      </c>
      <c r="B63" s="61" t="str">
        <f>IFERROR(__xludf.DUMMYFUNCTION("""COMPUTED_VALUE"""),"")</f>
        <v/>
      </c>
      <c r="C63" s="63" t="str">
        <f>IFERROR(__xludf.DUMMYFUNCTION("""COMPUTED_VALUE"""),"")</f>
        <v/>
      </c>
      <c r="D63" s="63" t="str">
        <f>IFERROR(__xludf.DUMMYFUNCTION("""COMPUTED_VALUE"""),"")</f>
        <v/>
      </c>
      <c r="E63" s="51" t="str">
        <f>IFERROR(__xludf.DUMMYFUNCTION("""COMPUTED_VALUE"""),"")</f>
        <v/>
      </c>
      <c r="F63" s="64" t="str">
        <f>IFERROR(__xludf.DUMMYFUNCTION("""COMPUTED_VALUE"""),"")</f>
        <v/>
      </c>
      <c r="G63" s="52" t="str">
        <f>IFERROR(__xludf.DUMMYFUNCTION("""COMPUTED_VALUE"""),"")</f>
        <v/>
      </c>
      <c r="H63" s="53" t="str">
        <f>IFERROR(__xludf.DUMMYFUNCTION("""COMPUTED_VALUE"""),"")</f>
        <v/>
      </c>
      <c r="I63" s="53" t="str">
        <f>IFERROR(__xludf.DUMMYFUNCTION("""COMPUTED_VALUE"""),"")</f>
        <v/>
      </c>
      <c r="J63" s="53" t="str">
        <f>IFERROR(__xludf.DUMMYFUNCTION("""COMPUTED_VALUE"""),"")</f>
        <v/>
      </c>
      <c r="K63" s="54" t="str">
        <f>IFERROR(__xludf.DUMMYFUNCTION("""COMPUTED_VALUE"""),"")</f>
        <v/>
      </c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6"/>
      <c r="W63" s="56"/>
      <c r="X63" s="56"/>
      <c r="Y63" s="56"/>
      <c r="Z63" s="57"/>
      <c r="AA63" s="58"/>
      <c r="AB63" s="59"/>
    </row>
    <row r="64" ht="13.5" customHeight="1">
      <c r="A64" s="60" t="str">
        <f>IFERROR(__xludf.DUMMYFUNCTION("""COMPUTED_VALUE"""),"")</f>
        <v/>
      </c>
      <c r="B64" s="61" t="str">
        <f>IFERROR(__xludf.DUMMYFUNCTION("""COMPUTED_VALUE"""),"")</f>
        <v/>
      </c>
      <c r="C64" s="63" t="str">
        <f>IFERROR(__xludf.DUMMYFUNCTION("""COMPUTED_VALUE"""),"")</f>
        <v/>
      </c>
      <c r="D64" s="63" t="str">
        <f>IFERROR(__xludf.DUMMYFUNCTION("""COMPUTED_VALUE"""),"")</f>
        <v/>
      </c>
      <c r="E64" s="51" t="str">
        <f>IFERROR(__xludf.DUMMYFUNCTION("""COMPUTED_VALUE"""),"")</f>
        <v/>
      </c>
      <c r="F64" s="64" t="str">
        <f>IFERROR(__xludf.DUMMYFUNCTION("""COMPUTED_VALUE"""),"")</f>
        <v/>
      </c>
      <c r="G64" s="52" t="str">
        <f>IFERROR(__xludf.DUMMYFUNCTION("""COMPUTED_VALUE"""),"")</f>
        <v/>
      </c>
      <c r="H64" s="53" t="str">
        <f>IFERROR(__xludf.DUMMYFUNCTION("""COMPUTED_VALUE"""),"")</f>
        <v/>
      </c>
      <c r="I64" s="53" t="str">
        <f>IFERROR(__xludf.DUMMYFUNCTION("""COMPUTED_VALUE"""),"")</f>
        <v/>
      </c>
      <c r="J64" s="53" t="str">
        <f>IFERROR(__xludf.DUMMYFUNCTION("""COMPUTED_VALUE"""),"")</f>
        <v/>
      </c>
      <c r="K64" s="54" t="str">
        <f>IFERROR(__xludf.DUMMYFUNCTION("""COMPUTED_VALUE"""),"")</f>
        <v/>
      </c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6"/>
      <c r="W64" s="56"/>
      <c r="X64" s="56"/>
      <c r="Y64" s="56"/>
      <c r="Z64" s="57"/>
      <c r="AA64" s="58"/>
      <c r="AB64" s="59"/>
    </row>
    <row r="65" ht="13.5" customHeight="1">
      <c r="A65" s="60" t="str">
        <f>IFERROR(__xludf.DUMMYFUNCTION("""COMPUTED_VALUE"""),"")</f>
        <v/>
      </c>
      <c r="B65" s="61" t="str">
        <f>IFERROR(__xludf.DUMMYFUNCTION("""COMPUTED_VALUE"""),"")</f>
        <v/>
      </c>
      <c r="C65" s="63" t="str">
        <f>IFERROR(__xludf.DUMMYFUNCTION("""COMPUTED_VALUE"""),"")</f>
        <v/>
      </c>
      <c r="D65" s="63" t="str">
        <f>IFERROR(__xludf.DUMMYFUNCTION("""COMPUTED_VALUE"""),"")</f>
        <v/>
      </c>
      <c r="E65" s="51" t="str">
        <f>IFERROR(__xludf.DUMMYFUNCTION("""COMPUTED_VALUE"""),"")</f>
        <v/>
      </c>
      <c r="F65" s="64" t="str">
        <f>IFERROR(__xludf.DUMMYFUNCTION("""COMPUTED_VALUE"""),"")</f>
        <v/>
      </c>
      <c r="G65" s="52" t="str">
        <f>IFERROR(__xludf.DUMMYFUNCTION("""COMPUTED_VALUE"""),"")</f>
        <v/>
      </c>
      <c r="H65" s="53" t="str">
        <f>IFERROR(__xludf.DUMMYFUNCTION("""COMPUTED_VALUE"""),"")</f>
        <v/>
      </c>
      <c r="I65" s="53" t="str">
        <f>IFERROR(__xludf.DUMMYFUNCTION("""COMPUTED_VALUE"""),"")</f>
        <v/>
      </c>
      <c r="J65" s="53" t="str">
        <f>IFERROR(__xludf.DUMMYFUNCTION("""COMPUTED_VALUE"""),"")</f>
        <v/>
      </c>
      <c r="K65" s="54" t="str">
        <f>IFERROR(__xludf.DUMMYFUNCTION("""COMPUTED_VALUE"""),"")</f>
        <v/>
      </c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6"/>
      <c r="W65" s="56"/>
      <c r="X65" s="56"/>
      <c r="Y65" s="56"/>
      <c r="Z65" s="57"/>
      <c r="AA65" s="58"/>
      <c r="AB65" s="59"/>
    </row>
    <row r="66" ht="13.5" customHeight="1">
      <c r="A66" s="60" t="str">
        <f>IFERROR(__xludf.DUMMYFUNCTION("""COMPUTED_VALUE"""),"")</f>
        <v/>
      </c>
      <c r="B66" s="64" t="str">
        <f>IFERROR(__xludf.DUMMYFUNCTION("""COMPUTED_VALUE"""),"")</f>
        <v/>
      </c>
      <c r="C66" s="63" t="str">
        <f>IFERROR(__xludf.DUMMYFUNCTION("""COMPUTED_VALUE"""),"")</f>
        <v/>
      </c>
      <c r="D66" s="63" t="str">
        <f>IFERROR(__xludf.DUMMYFUNCTION("""COMPUTED_VALUE"""),"")</f>
        <v/>
      </c>
      <c r="E66" s="51" t="str">
        <f>IFERROR(__xludf.DUMMYFUNCTION("""COMPUTED_VALUE"""),"")</f>
        <v/>
      </c>
      <c r="F66" s="64" t="str">
        <f>IFERROR(__xludf.DUMMYFUNCTION("""COMPUTED_VALUE"""),"")</f>
        <v/>
      </c>
      <c r="G66" s="52" t="str">
        <f>IFERROR(__xludf.DUMMYFUNCTION("""COMPUTED_VALUE"""),"")</f>
        <v/>
      </c>
      <c r="H66" s="53" t="str">
        <f>IFERROR(__xludf.DUMMYFUNCTION("""COMPUTED_VALUE"""),"")</f>
        <v/>
      </c>
      <c r="I66" s="53" t="str">
        <f>IFERROR(__xludf.DUMMYFUNCTION("""COMPUTED_VALUE"""),"")</f>
        <v/>
      </c>
      <c r="J66" s="53" t="str">
        <f>IFERROR(__xludf.DUMMYFUNCTION("""COMPUTED_VALUE"""),"")</f>
        <v/>
      </c>
      <c r="K66" s="54" t="str">
        <f>IFERROR(__xludf.DUMMYFUNCTION("""COMPUTED_VALUE"""),"")</f>
        <v/>
      </c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6"/>
      <c r="W66" s="56"/>
      <c r="X66" s="56"/>
      <c r="Y66" s="56"/>
      <c r="Z66" s="57"/>
      <c r="AA66" s="58"/>
      <c r="AB66" s="59"/>
    </row>
    <row r="67" ht="13.5" customHeight="1">
      <c r="A67" s="60" t="str">
        <f>IFERROR(__xludf.DUMMYFUNCTION("""COMPUTED_VALUE"""),"")</f>
        <v/>
      </c>
      <c r="B67" s="64" t="str">
        <f>IFERROR(__xludf.DUMMYFUNCTION("""COMPUTED_VALUE"""),"")</f>
        <v/>
      </c>
      <c r="C67" s="63" t="str">
        <f>IFERROR(__xludf.DUMMYFUNCTION("""COMPUTED_VALUE"""),"")</f>
        <v/>
      </c>
      <c r="D67" s="63" t="str">
        <f>IFERROR(__xludf.DUMMYFUNCTION("""COMPUTED_VALUE"""),"")</f>
        <v/>
      </c>
      <c r="E67" s="51" t="str">
        <f>IFERROR(__xludf.DUMMYFUNCTION("""COMPUTED_VALUE"""),"")</f>
        <v/>
      </c>
      <c r="F67" s="64" t="str">
        <f>IFERROR(__xludf.DUMMYFUNCTION("""COMPUTED_VALUE"""),"")</f>
        <v/>
      </c>
      <c r="G67" s="52" t="str">
        <f>IFERROR(__xludf.DUMMYFUNCTION("""COMPUTED_VALUE"""),"")</f>
        <v/>
      </c>
      <c r="H67" s="53" t="str">
        <f>IFERROR(__xludf.DUMMYFUNCTION("""COMPUTED_VALUE"""),"")</f>
        <v/>
      </c>
      <c r="I67" s="53" t="str">
        <f>IFERROR(__xludf.DUMMYFUNCTION("""COMPUTED_VALUE"""),"")</f>
        <v/>
      </c>
      <c r="J67" s="53" t="str">
        <f>IFERROR(__xludf.DUMMYFUNCTION("""COMPUTED_VALUE"""),"")</f>
        <v/>
      </c>
      <c r="K67" s="54" t="str">
        <f>IFERROR(__xludf.DUMMYFUNCTION("""COMPUTED_VALUE"""),"")</f>
        <v/>
      </c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6"/>
      <c r="W67" s="56"/>
      <c r="X67" s="56"/>
      <c r="Y67" s="56"/>
      <c r="Z67" s="57"/>
      <c r="AA67" s="58"/>
      <c r="AB67" s="59"/>
    </row>
    <row r="68" ht="13.5" customHeight="1">
      <c r="A68" s="60" t="str">
        <f>IFERROR(__xludf.DUMMYFUNCTION("""COMPUTED_VALUE"""),"")</f>
        <v/>
      </c>
      <c r="B68" s="64" t="str">
        <f>IFERROR(__xludf.DUMMYFUNCTION("""COMPUTED_VALUE"""),"")</f>
        <v/>
      </c>
      <c r="C68" s="63" t="str">
        <f>IFERROR(__xludf.DUMMYFUNCTION("""COMPUTED_VALUE"""),"")</f>
        <v/>
      </c>
      <c r="D68" s="63" t="str">
        <f>IFERROR(__xludf.DUMMYFUNCTION("""COMPUTED_VALUE"""),"")</f>
        <v/>
      </c>
      <c r="E68" s="51" t="str">
        <f>IFERROR(__xludf.DUMMYFUNCTION("""COMPUTED_VALUE"""),"")</f>
        <v/>
      </c>
      <c r="F68" s="64" t="str">
        <f>IFERROR(__xludf.DUMMYFUNCTION("""COMPUTED_VALUE"""),"")</f>
        <v/>
      </c>
      <c r="G68" s="52" t="str">
        <f>IFERROR(__xludf.DUMMYFUNCTION("""COMPUTED_VALUE"""),"")</f>
        <v/>
      </c>
      <c r="H68" s="53" t="str">
        <f>IFERROR(__xludf.DUMMYFUNCTION("""COMPUTED_VALUE"""),"")</f>
        <v/>
      </c>
      <c r="I68" s="53" t="str">
        <f>IFERROR(__xludf.DUMMYFUNCTION("""COMPUTED_VALUE"""),"")</f>
        <v/>
      </c>
      <c r="J68" s="53" t="str">
        <f>IFERROR(__xludf.DUMMYFUNCTION("""COMPUTED_VALUE"""),"")</f>
        <v/>
      </c>
      <c r="K68" s="54" t="str">
        <f>IFERROR(__xludf.DUMMYFUNCTION("""COMPUTED_VALUE"""),"")</f>
        <v/>
      </c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6"/>
      <c r="W68" s="56"/>
      <c r="X68" s="56"/>
      <c r="Y68" s="56"/>
      <c r="Z68" s="57"/>
      <c r="AA68" s="58"/>
      <c r="AB68" s="59"/>
    </row>
    <row r="69" ht="13.5" customHeight="1">
      <c r="A69" s="60" t="str">
        <f>IFERROR(__xludf.DUMMYFUNCTION("""COMPUTED_VALUE"""),"")</f>
        <v/>
      </c>
      <c r="B69" s="64" t="str">
        <f>IFERROR(__xludf.DUMMYFUNCTION("""COMPUTED_VALUE"""),"")</f>
        <v/>
      </c>
      <c r="C69" s="63" t="str">
        <f>IFERROR(__xludf.DUMMYFUNCTION("""COMPUTED_VALUE"""),"")</f>
        <v/>
      </c>
      <c r="D69" s="63" t="str">
        <f>IFERROR(__xludf.DUMMYFUNCTION("""COMPUTED_VALUE"""),"")</f>
        <v/>
      </c>
      <c r="E69" s="51" t="str">
        <f>IFERROR(__xludf.DUMMYFUNCTION("""COMPUTED_VALUE"""),"")</f>
        <v/>
      </c>
      <c r="F69" s="64" t="str">
        <f>IFERROR(__xludf.DUMMYFUNCTION("""COMPUTED_VALUE"""),"")</f>
        <v/>
      </c>
      <c r="G69" s="52" t="str">
        <f>IFERROR(__xludf.DUMMYFUNCTION("""COMPUTED_VALUE"""),"")</f>
        <v/>
      </c>
      <c r="H69" s="53" t="str">
        <f>IFERROR(__xludf.DUMMYFUNCTION("""COMPUTED_VALUE"""),"")</f>
        <v/>
      </c>
      <c r="I69" s="53" t="str">
        <f>IFERROR(__xludf.DUMMYFUNCTION("""COMPUTED_VALUE"""),"")</f>
        <v/>
      </c>
      <c r="J69" s="53" t="str">
        <f>IFERROR(__xludf.DUMMYFUNCTION("""COMPUTED_VALUE"""),"")</f>
        <v/>
      </c>
      <c r="K69" s="54" t="str">
        <f>IFERROR(__xludf.DUMMYFUNCTION("""COMPUTED_VALUE"""),"")</f>
        <v/>
      </c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6"/>
      <c r="W69" s="56"/>
      <c r="X69" s="56"/>
      <c r="Y69" s="56"/>
      <c r="Z69" s="57"/>
      <c r="AA69" s="58"/>
      <c r="AB69" s="59"/>
    </row>
    <row r="70" ht="13.5" customHeight="1">
      <c r="A70" s="60" t="str">
        <f>IFERROR(__xludf.DUMMYFUNCTION("""COMPUTED_VALUE"""),"")</f>
        <v/>
      </c>
      <c r="B70" s="64" t="str">
        <f>IFERROR(__xludf.DUMMYFUNCTION("""COMPUTED_VALUE"""),"")</f>
        <v/>
      </c>
      <c r="C70" s="63" t="str">
        <f>IFERROR(__xludf.DUMMYFUNCTION("""COMPUTED_VALUE"""),"")</f>
        <v/>
      </c>
      <c r="D70" s="63" t="str">
        <f>IFERROR(__xludf.DUMMYFUNCTION("""COMPUTED_VALUE"""),"")</f>
        <v/>
      </c>
      <c r="E70" s="51" t="str">
        <f>IFERROR(__xludf.DUMMYFUNCTION("""COMPUTED_VALUE"""),"")</f>
        <v/>
      </c>
      <c r="F70" s="64" t="str">
        <f>IFERROR(__xludf.DUMMYFUNCTION("""COMPUTED_VALUE"""),"")</f>
        <v/>
      </c>
      <c r="G70" s="52" t="str">
        <f>IFERROR(__xludf.DUMMYFUNCTION("""COMPUTED_VALUE"""),"")</f>
        <v/>
      </c>
      <c r="H70" s="53" t="str">
        <f>IFERROR(__xludf.DUMMYFUNCTION("""COMPUTED_VALUE"""),"")</f>
        <v/>
      </c>
      <c r="I70" s="53" t="str">
        <f>IFERROR(__xludf.DUMMYFUNCTION("""COMPUTED_VALUE"""),"")</f>
        <v/>
      </c>
      <c r="J70" s="53" t="str">
        <f>IFERROR(__xludf.DUMMYFUNCTION("""COMPUTED_VALUE"""),"")</f>
        <v/>
      </c>
      <c r="K70" s="54" t="str">
        <f>IFERROR(__xludf.DUMMYFUNCTION("""COMPUTED_VALUE"""),"")</f>
        <v/>
      </c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6"/>
      <c r="W70" s="56"/>
      <c r="X70" s="56"/>
      <c r="Y70" s="56"/>
      <c r="Z70" s="57"/>
      <c r="AA70" s="58"/>
      <c r="AB70" s="59"/>
    </row>
    <row r="71" ht="13.5" customHeight="1">
      <c r="A71" s="60" t="str">
        <f>IFERROR(__xludf.DUMMYFUNCTION("""COMPUTED_VALUE"""),"")</f>
        <v/>
      </c>
      <c r="B71" s="64" t="str">
        <f>IFERROR(__xludf.DUMMYFUNCTION("""COMPUTED_VALUE"""),"")</f>
        <v/>
      </c>
      <c r="C71" s="63" t="str">
        <f>IFERROR(__xludf.DUMMYFUNCTION("""COMPUTED_VALUE"""),"")</f>
        <v/>
      </c>
      <c r="D71" s="63" t="str">
        <f>IFERROR(__xludf.DUMMYFUNCTION("""COMPUTED_VALUE"""),"")</f>
        <v/>
      </c>
      <c r="E71" s="51" t="str">
        <f>IFERROR(__xludf.DUMMYFUNCTION("""COMPUTED_VALUE"""),"")</f>
        <v/>
      </c>
      <c r="F71" s="64" t="str">
        <f>IFERROR(__xludf.DUMMYFUNCTION("""COMPUTED_VALUE"""),"")</f>
        <v/>
      </c>
      <c r="G71" s="52" t="str">
        <f>IFERROR(__xludf.DUMMYFUNCTION("""COMPUTED_VALUE"""),"")</f>
        <v/>
      </c>
      <c r="H71" s="53" t="str">
        <f>IFERROR(__xludf.DUMMYFUNCTION("""COMPUTED_VALUE"""),"")</f>
        <v/>
      </c>
      <c r="I71" s="53" t="str">
        <f>IFERROR(__xludf.DUMMYFUNCTION("""COMPUTED_VALUE"""),"")</f>
        <v/>
      </c>
      <c r="J71" s="53" t="str">
        <f>IFERROR(__xludf.DUMMYFUNCTION("""COMPUTED_VALUE"""),"")</f>
        <v/>
      </c>
      <c r="K71" s="54" t="str">
        <f>IFERROR(__xludf.DUMMYFUNCTION("""COMPUTED_VALUE"""),"")</f>
        <v/>
      </c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6"/>
      <c r="W71" s="56"/>
      <c r="X71" s="56"/>
      <c r="Y71" s="56"/>
      <c r="Z71" s="57"/>
      <c r="AA71" s="58"/>
      <c r="AB71" s="59"/>
    </row>
    <row r="72" ht="13.5" customHeight="1">
      <c r="A72" s="60" t="str">
        <f>IFERROR(__xludf.DUMMYFUNCTION("""COMPUTED_VALUE"""),"")</f>
        <v/>
      </c>
      <c r="B72" s="64" t="str">
        <f>IFERROR(__xludf.DUMMYFUNCTION("""COMPUTED_VALUE"""),"")</f>
        <v/>
      </c>
      <c r="C72" s="63" t="str">
        <f>IFERROR(__xludf.DUMMYFUNCTION("""COMPUTED_VALUE"""),"")</f>
        <v/>
      </c>
      <c r="D72" s="63" t="str">
        <f>IFERROR(__xludf.DUMMYFUNCTION("""COMPUTED_VALUE"""),"")</f>
        <v/>
      </c>
      <c r="E72" s="51" t="str">
        <f>IFERROR(__xludf.DUMMYFUNCTION("""COMPUTED_VALUE"""),"")</f>
        <v/>
      </c>
      <c r="F72" s="64" t="str">
        <f>IFERROR(__xludf.DUMMYFUNCTION("""COMPUTED_VALUE"""),"")</f>
        <v/>
      </c>
      <c r="G72" s="52" t="str">
        <f>IFERROR(__xludf.DUMMYFUNCTION("""COMPUTED_VALUE"""),"")</f>
        <v/>
      </c>
      <c r="H72" s="53" t="str">
        <f>IFERROR(__xludf.DUMMYFUNCTION("""COMPUTED_VALUE"""),"")</f>
        <v/>
      </c>
      <c r="I72" s="53" t="str">
        <f>IFERROR(__xludf.DUMMYFUNCTION("""COMPUTED_VALUE"""),"")</f>
        <v/>
      </c>
      <c r="J72" s="53" t="str">
        <f>IFERROR(__xludf.DUMMYFUNCTION("""COMPUTED_VALUE"""),"")</f>
        <v/>
      </c>
      <c r="K72" s="54" t="str">
        <f>IFERROR(__xludf.DUMMYFUNCTION("""COMPUTED_VALUE"""),"")</f>
        <v/>
      </c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6"/>
      <c r="W72" s="56"/>
      <c r="X72" s="56"/>
      <c r="Y72" s="56"/>
      <c r="Z72" s="57"/>
      <c r="AA72" s="58"/>
      <c r="AB72" s="59"/>
    </row>
    <row r="73" ht="13.5" customHeight="1">
      <c r="A73" s="60" t="str">
        <f>IFERROR(__xludf.DUMMYFUNCTION("""COMPUTED_VALUE"""),"")</f>
        <v/>
      </c>
      <c r="B73" s="64" t="str">
        <f>IFERROR(__xludf.DUMMYFUNCTION("""COMPUTED_VALUE"""),"")</f>
        <v/>
      </c>
      <c r="C73" s="63" t="str">
        <f>IFERROR(__xludf.DUMMYFUNCTION("""COMPUTED_VALUE"""),"")</f>
        <v/>
      </c>
      <c r="D73" s="63" t="str">
        <f>IFERROR(__xludf.DUMMYFUNCTION("""COMPUTED_VALUE"""),"")</f>
        <v/>
      </c>
      <c r="E73" s="51" t="str">
        <f>IFERROR(__xludf.DUMMYFUNCTION("""COMPUTED_VALUE"""),"")</f>
        <v/>
      </c>
      <c r="F73" s="64" t="str">
        <f>IFERROR(__xludf.DUMMYFUNCTION("""COMPUTED_VALUE"""),"")</f>
        <v/>
      </c>
      <c r="G73" s="52" t="str">
        <f>IFERROR(__xludf.DUMMYFUNCTION("""COMPUTED_VALUE"""),"")</f>
        <v/>
      </c>
      <c r="H73" s="53" t="str">
        <f>IFERROR(__xludf.DUMMYFUNCTION("""COMPUTED_VALUE"""),"")</f>
        <v/>
      </c>
      <c r="I73" s="53" t="str">
        <f>IFERROR(__xludf.DUMMYFUNCTION("""COMPUTED_VALUE"""),"")</f>
        <v/>
      </c>
      <c r="J73" s="53" t="str">
        <f>IFERROR(__xludf.DUMMYFUNCTION("""COMPUTED_VALUE"""),"")</f>
        <v/>
      </c>
      <c r="K73" s="54" t="str">
        <f>IFERROR(__xludf.DUMMYFUNCTION("""COMPUTED_VALUE"""),"")</f>
        <v/>
      </c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6"/>
      <c r="W73" s="56"/>
      <c r="X73" s="56"/>
      <c r="Y73" s="56"/>
      <c r="Z73" s="57"/>
      <c r="AA73" s="58"/>
      <c r="AB73" s="59"/>
    </row>
    <row r="74" ht="13.5" customHeight="1">
      <c r="A74" s="60" t="str">
        <f>IFERROR(__xludf.DUMMYFUNCTION("""COMPUTED_VALUE"""),"")</f>
        <v/>
      </c>
      <c r="B74" s="64" t="str">
        <f>IFERROR(__xludf.DUMMYFUNCTION("""COMPUTED_VALUE"""),"")</f>
        <v/>
      </c>
      <c r="C74" s="63" t="str">
        <f>IFERROR(__xludf.DUMMYFUNCTION("""COMPUTED_VALUE"""),"")</f>
        <v/>
      </c>
      <c r="D74" s="63" t="str">
        <f>IFERROR(__xludf.DUMMYFUNCTION("""COMPUTED_VALUE"""),"")</f>
        <v/>
      </c>
      <c r="E74" s="51" t="str">
        <f>IFERROR(__xludf.DUMMYFUNCTION("""COMPUTED_VALUE"""),"")</f>
        <v/>
      </c>
      <c r="F74" s="64" t="str">
        <f>IFERROR(__xludf.DUMMYFUNCTION("""COMPUTED_VALUE"""),"")</f>
        <v/>
      </c>
      <c r="G74" s="52" t="str">
        <f>IFERROR(__xludf.DUMMYFUNCTION("""COMPUTED_VALUE"""),"")</f>
        <v/>
      </c>
      <c r="H74" s="53" t="str">
        <f>IFERROR(__xludf.DUMMYFUNCTION("""COMPUTED_VALUE"""),"")</f>
        <v/>
      </c>
      <c r="I74" s="53" t="str">
        <f>IFERROR(__xludf.DUMMYFUNCTION("""COMPUTED_VALUE"""),"")</f>
        <v/>
      </c>
      <c r="J74" s="53" t="str">
        <f>IFERROR(__xludf.DUMMYFUNCTION("""COMPUTED_VALUE"""),"")</f>
        <v/>
      </c>
      <c r="K74" s="54" t="str">
        <f>IFERROR(__xludf.DUMMYFUNCTION("""COMPUTED_VALUE"""),"")</f>
        <v/>
      </c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6"/>
      <c r="W74" s="56"/>
      <c r="X74" s="56"/>
      <c r="Y74" s="56"/>
      <c r="Z74" s="57"/>
      <c r="AA74" s="58"/>
      <c r="AB74" s="59"/>
    </row>
    <row r="75" ht="13.5" customHeight="1">
      <c r="A75" s="60" t="str">
        <f>IFERROR(__xludf.DUMMYFUNCTION("""COMPUTED_VALUE"""),"")</f>
        <v/>
      </c>
      <c r="B75" s="64" t="str">
        <f>IFERROR(__xludf.DUMMYFUNCTION("""COMPUTED_VALUE"""),"")</f>
        <v/>
      </c>
      <c r="C75" s="63" t="str">
        <f>IFERROR(__xludf.DUMMYFUNCTION("""COMPUTED_VALUE"""),"")</f>
        <v/>
      </c>
      <c r="D75" s="63" t="str">
        <f>IFERROR(__xludf.DUMMYFUNCTION("""COMPUTED_VALUE"""),"")</f>
        <v/>
      </c>
      <c r="E75" s="51" t="str">
        <f>IFERROR(__xludf.DUMMYFUNCTION("""COMPUTED_VALUE"""),"")</f>
        <v/>
      </c>
      <c r="F75" s="64" t="str">
        <f>IFERROR(__xludf.DUMMYFUNCTION("""COMPUTED_VALUE"""),"")</f>
        <v/>
      </c>
      <c r="G75" s="52" t="str">
        <f>IFERROR(__xludf.DUMMYFUNCTION("""COMPUTED_VALUE"""),"")</f>
        <v/>
      </c>
      <c r="H75" s="53" t="str">
        <f>IFERROR(__xludf.DUMMYFUNCTION("""COMPUTED_VALUE"""),"")</f>
        <v/>
      </c>
      <c r="I75" s="53" t="str">
        <f>IFERROR(__xludf.DUMMYFUNCTION("""COMPUTED_VALUE"""),"")</f>
        <v/>
      </c>
      <c r="J75" s="53" t="str">
        <f>IFERROR(__xludf.DUMMYFUNCTION("""COMPUTED_VALUE"""),"")</f>
        <v/>
      </c>
      <c r="K75" s="54" t="str">
        <f>IFERROR(__xludf.DUMMYFUNCTION("""COMPUTED_VALUE"""),"")</f>
        <v/>
      </c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6"/>
      <c r="W75" s="56"/>
      <c r="X75" s="56"/>
      <c r="Y75" s="56"/>
      <c r="Z75" s="57"/>
      <c r="AA75" s="58"/>
      <c r="AB75" s="59"/>
    </row>
    <row r="76" ht="13.5" customHeight="1">
      <c r="A76" s="60" t="str">
        <f>IFERROR(__xludf.DUMMYFUNCTION("""COMPUTED_VALUE"""),"")</f>
        <v/>
      </c>
      <c r="B76" s="64" t="str">
        <f>IFERROR(__xludf.DUMMYFUNCTION("""COMPUTED_VALUE"""),"")</f>
        <v/>
      </c>
      <c r="C76" s="63" t="str">
        <f>IFERROR(__xludf.DUMMYFUNCTION("""COMPUTED_VALUE"""),"")</f>
        <v/>
      </c>
      <c r="D76" s="63" t="str">
        <f>IFERROR(__xludf.DUMMYFUNCTION("""COMPUTED_VALUE"""),"")</f>
        <v/>
      </c>
      <c r="E76" s="51" t="str">
        <f>IFERROR(__xludf.DUMMYFUNCTION("""COMPUTED_VALUE"""),"")</f>
        <v/>
      </c>
      <c r="F76" s="64" t="str">
        <f>IFERROR(__xludf.DUMMYFUNCTION("""COMPUTED_VALUE"""),"")</f>
        <v/>
      </c>
      <c r="G76" s="52" t="str">
        <f>IFERROR(__xludf.DUMMYFUNCTION("""COMPUTED_VALUE"""),"")</f>
        <v/>
      </c>
      <c r="H76" s="53" t="str">
        <f>IFERROR(__xludf.DUMMYFUNCTION("""COMPUTED_VALUE"""),"")</f>
        <v/>
      </c>
      <c r="I76" s="53" t="str">
        <f>IFERROR(__xludf.DUMMYFUNCTION("""COMPUTED_VALUE"""),"")</f>
        <v/>
      </c>
      <c r="J76" s="53" t="str">
        <f>IFERROR(__xludf.DUMMYFUNCTION("""COMPUTED_VALUE"""),"")</f>
        <v/>
      </c>
      <c r="K76" s="54" t="str">
        <f>IFERROR(__xludf.DUMMYFUNCTION("""COMPUTED_VALUE"""),"")</f>
        <v/>
      </c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6"/>
      <c r="W76" s="56"/>
      <c r="X76" s="56"/>
      <c r="Y76" s="56"/>
      <c r="Z76" s="57"/>
      <c r="AA76" s="58"/>
      <c r="AB76" s="59"/>
    </row>
    <row r="77" ht="13.5" customHeight="1">
      <c r="A77" s="60" t="str">
        <f>IFERROR(__xludf.DUMMYFUNCTION("""COMPUTED_VALUE"""),"")</f>
        <v/>
      </c>
      <c r="B77" s="64" t="str">
        <f>IFERROR(__xludf.DUMMYFUNCTION("""COMPUTED_VALUE"""),"")</f>
        <v/>
      </c>
      <c r="C77" s="63" t="str">
        <f>IFERROR(__xludf.DUMMYFUNCTION("""COMPUTED_VALUE"""),"")</f>
        <v/>
      </c>
      <c r="D77" s="63" t="str">
        <f>IFERROR(__xludf.DUMMYFUNCTION("""COMPUTED_VALUE"""),"")</f>
        <v/>
      </c>
      <c r="E77" s="51" t="str">
        <f>IFERROR(__xludf.DUMMYFUNCTION("""COMPUTED_VALUE"""),"")</f>
        <v/>
      </c>
      <c r="F77" s="64" t="str">
        <f>IFERROR(__xludf.DUMMYFUNCTION("""COMPUTED_VALUE"""),"")</f>
        <v/>
      </c>
      <c r="G77" s="52" t="str">
        <f>IFERROR(__xludf.DUMMYFUNCTION("""COMPUTED_VALUE"""),"")</f>
        <v/>
      </c>
      <c r="H77" s="53" t="str">
        <f>IFERROR(__xludf.DUMMYFUNCTION("""COMPUTED_VALUE"""),"")</f>
        <v/>
      </c>
      <c r="I77" s="53" t="str">
        <f>IFERROR(__xludf.DUMMYFUNCTION("""COMPUTED_VALUE"""),"")</f>
        <v/>
      </c>
      <c r="J77" s="53" t="str">
        <f>IFERROR(__xludf.DUMMYFUNCTION("""COMPUTED_VALUE"""),"")</f>
        <v/>
      </c>
      <c r="K77" s="54" t="str">
        <f>IFERROR(__xludf.DUMMYFUNCTION("""COMPUTED_VALUE"""),"")</f>
        <v/>
      </c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6"/>
      <c r="W77" s="56"/>
      <c r="X77" s="56"/>
      <c r="Y77" s="56"/>
      <c r="Z77" s="57"/>
      <c r="AA77" s="58"/>
      <c r="AB77" s="59"/>
    </row>
    <row r="78" ht="13.5" customHeight="1">
      <c r="A78" s="60" t="str">
        <f>IFERROR(__xludf.DUMMYFUNCTION("""COMPUTED_VALUE"""),"")</f>
        <v/>
      </c>
      <c r="B78" s="64" t="str">
        <f>IFERROR(__xludf.DUMMYFUNCTION("""COMPUTED_VALUE"""),"")</f>
        <v/>
      </c>
      <c r="C78" s="63" t="str">
        <f>IFERROR(__xludf.DUMMYFUNCTION("""COMPUTED_VALUE"""),"")</f>
        <v/>
      </c>
      <c r="D78" s="63" t="str">
        <f>IFERROR(__xludf.DUMMYFUNCTION("""COMPUTED_VALUE"""),"")</f>
        <v/>
      </c>
      <c r="E78" s="51" t="str">
        <f>IFERROR(__xludf.DUMMYFUNCTION("""COMPUTED_VALUE"""),"")</f>
        <v/>
      </c>
      <c r="F78" s="64" t="str">
        <f>IFERROR(__xludf.DUMMYFUNCTION("""COMPUTED_VALUE"""),"")</f>
        <v/>
      </c>
      <c r="G78" s="52" t="str">
        <f>IFERROR(__xludf.DUMMYFUNCTION("""COMPUTED_VALUE"""),"")</f>
        <v/>
      </c>
      <c r="H78" s="53" t="str">
        <f>IFERROR(__xludf.DUMMYFUNCTION("""COMPUTED_VALUE"""),"")</f>
        <v/>
      </c>
      <c r="I78" s="53" t="str">
        <f>IFERROR(__xludf.DUMMYFUNCTION("""COMPUTED_VALUE"""),"")</f>
        <v/>
      </c>
      <c r="J78" s="53" t="str">
        <f>IFERROR(__xludf.DUMMYFUNCTION("""COMPUTED_VALUE"""),"")</f>
        <v/>
      </c>
      <c r="K78" s="54" t="str">
        <f>IFERROR(__xludf.DUMMYFUNCTION("""COMPUTED_VALUE"""),"")</f>
        <v/>
      </c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6"/>
      <c r="W78" s="56"/>
      <c r="X78" s="56"/>
      <c r="Y78" s="56"/>
      <c r="Z78" s="57"/>
      <c r="AA78" s="58"/>
      <c r="AB78" s="59"/>
    </row>
    <row r="79" ht="13.5" customHeight="1">
      <c r="A79" s="60" t="str">
        <f>IFERROR(__xludf.DUMMYFUNCTION("""COMPUTED_VALUE"""),"")</f>
        <v/>
      </c>
      <c r="B79" s="64" t="str">
        <f>IFERROR(__xludf.DUMMYFUNCTION("""COMPUTED_VALUE"""),"")</f>
        <v/>
      </c>
      <c r="C79" s="63" t="str">
        <f>IFERROR(__xludf.DUMMYFUNCTION("""COMPUTED_VALUE"""),"")</f>
        <v/>
      </c>
      <c r="D79" s="63" t="str">
        <f>IFERROR(__xludf.DUMMYFUNCTION("""COMPUTED_VALUE"""),"")</f>
        <v/>
      </c>
      <c r="E79" s="51" t="str">
        <f>IFERROR(__xludf.DUMMYFUNCTION("""COMPUTED_VALUE"""),"")</f>
        <v/>
      </c>
      <c r="F79" s="64" t="str">
        <f>IFERROR(__xludf.DUMMYFUNCTION("""COMPUTED_VALUE"""),"")</f>
        <v/>
      </c>
      <c r="G79" s="52" t="str">
        <f>IFERROR(__xludf.DUMMYFUNCTION("""COMPUTED_VALUE"""),"")</f>
        <v/>
      </c>
      <c r="H79" s="53" t="str">
        <f>IFERROR(__xludf.DUMMYFUNCTION("""COMPUTED_VALUE"""),"")</f>
        <v/>
      </c>
      <c r="I79" s="53" t="str">
        <f>IFERROR(__xludf.DUMMYFUNCTION("""COMPUTED_VALUE"""),"")</f>
        <v/>
      </c>
      <c r="J79" s="53" t="str">
        <f>IFERROR(__xludf.DUMMYFUNCTION("""COMPUTED_VALUE"""),"")</f>
        <v/>
      </c>
      <c r="K79" s="54" t="str">
        <f>IFERROR(__xludf.DUMMYFUNCTION("""COMPUTED_VALUE"""),"")</f>
        <v/>
      </c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6"/>
      <c r="W79" s="56"/>
      <c r="X79" s="56"/>
      <c r="Y79" s="56"/>
      <c r="Z79" s="57"/>
      <c r="AA79" s="58"/>
      <c r="AB79" s="59"/>
    </row>
    <row r="80" ht="13.5" customHeight="1">
      <c r="A80" s="60" t="str">
        <f>IFERROR(__xludf.DUMMYFUNCTION("""COMPUTED_VALUE"""),"")</f>
        <v/>
      </c>
      <c r="B80" s="64" t="str">
        <f>IFERROR(__xludf.DUMMYFUNCTION("""COMPUTED_VALUE"""),"")</f>
        <v/>
      </c>
      <c r="C80" s="63" t="str">
        <f>IFERROR(__xludf.DUMMYFUNCTION("""COMPUTED_VALUE"""),"")</f>
        <v/>
      </c>
      <c r="D80" s="63" t="str">
        <f>IFERROR(__xludf.DUMMYFUNCTION("""COMPUTED_VALUE"""),"")</f>
        <v/>
      </c>
      <c r="E80" s="51" t="str">
        <f>IFERROR(__xludf.DUMMYFUNCTION("""COMPUTED_VALUE"""),"")</f>
        <v/>
      </c>
      <c r="F80" s="64" t="str">
        <f>IFERROR(__xludf.DUMMYFUNCTION("""COMPUTED_VALUE"""),"")</f>
        <v/>
      </c>
      <c r="G80" s="52" t="str">
        <f>IFERROR(__xludf.DUMMYFUNCTION("""COMPUTED_VALUE"""),"")</f>
        <v/>
      </c>
      <c r="H80" s="53" t="str">
        <f>IFERROR(__xludf.DUMMYFUNCTION("""COMPUTED_VALUE"""),"")</f>
        <v/>
      </c>
      <c r="I80" s="53" t="str">
        <f>IFERROR(__xludf.DUMMYFUNCTION("""COMPUTED_VALUE"""),"")</f>
        <v/>
      </c>
      <c r="J80" s="53" t="str">
        <f>IFERROR(__xludf.DUMMYFUNCTION("""COMPUTED_VALUE"""),"")</f>
        <v/>
      </c>
      <c r="K80" s="54" t="str">
        <f>IFERROR(__xludf.DUMMYFUNCTION("""COMPUTED_VALUE"""),"")</f>
        <v/>
      </c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6"/>
      <c r="W80" s="56"/>
      <c r="X80" s="56"/>
      <c r="Y80" s="56"/>
      <c r="Z80" s="57"/>
      <c r="AA80" s="58"/>
      <c r="AB80" s="59"/>
    </row>
    <row r="81" ht="13.5" customHeight="1">
      <c r="A81" s="60" t="str">
        <f>IFERROR(__xludf.DUMMYFUNCTION("""COMPUTED_VALUE"""),"")</f>
        <v/>
      </c>
      <c r="B81" s="64" t="str">
        <f>IFERROR(__xludf.DUMMYFUNCTION("""COMPUTED_VALUE"""),"")</f>
        <v/>
      </c>
      <c r="C81" s="63" t="str">
        <f>IFERROR(__xludf.DUMMYFUNCTION("""COMPUTED_VALUE"""),"")</f>
        <v/>
      </c>
      <c r="D81" s="63" t="str">
        <f>IFERROR(__xludf.DUMMYFUNCTION("""COMPUTED_VALUE"""),"")</f>
        <v/>
      </c>
      <c r="E81" s="51" t="str">
        <f>IFERROR(__xludf.DUMMYFUNCTION("""COMPUTED_VALUE"""),"")</f>
        <v/>
      </c>
      <c r="F81" s="64" t="str">
        <f>IFERROR(__xludf.DUMMYFUNCTION("""COMPUTED_VALUE"""),"")</f>
        <v/>
      </c>
      <c r="G81" s="52" t="str">
        <f>IFERROR(__xludf.DUMMYFUNCTION("""COMPUTED_VALUE"""),"")</f>
        <v/>
      </c>
      <c r="H81" s="53" t="str">
        <f>IFERROR(__xludf.DUMMYFUNCTION("""COMPUTED_VALUE"""),"")</f>
        <v/>
      </c>
      <c r="I81" s="53" t="str">
        <f>IFERROR(__xludf.DUMMYFUNCTION("""COMPUTED_VALUE"""),"")</f>
        <v/>
      </c>
      <c r="J81" s="53" t="str">
        <f>IFERROR(__xludf.DUMMYFUNCTION("""COMPUTED_VALUE"""),"")</f>
        <v/>
      </c>
      <c r="K81" s="54" t="str">
        <f>IFERROR(__xludf.DUMMYFUNCTION("""COMPUTED_VALUE"""),"")</f>
        <v/>
      </c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6"/>
      <c r="W81" s="56"/>
      <c r="X81" s="56"/>
      <c r="Y81" s="56"/>
      <c r="Z81" s="57"/>
      <c r="AA81" s="58"/>
      <c r="AB81" s="59"/>
    </row>
    <row r="82" ht="13.5" customHeight="1">
      <c r="A82" s="60" t="str">
        <f>IFERROR(__xludf.DUMMYFUNCTION("""COMPUTED_VALUE"""),"")</f>
        <v/>
      </c>
      <c r="B82" s="64" t="str">
        <f>IFERROR(__xludf.DUMMYFUNCTION("""COMPUTED_VALUE"""),"")</f>
        <v/>
      </c>
      <c r="C82" s="63" t="str">
        <f>IFERROR(__xludf.DUMMYFUNCTION("""COMPUTED_VALUE"""),"")</f>
        <v/>
      </c>
      <c r="D82" s="63" t="str">
        <f>IFERROR(__xludf.DUMMYFUNCTION("""COMPUTED_VALUE"""),"")</f>
        <v/>
      </c>
      <c r="E82" s="51" t="str">
        <f>IFERROR(__xludf.DUMMYFUNCTION("""COMPUTED_VALUE"""),"")</f>
        <v/>
      </c>
      <c r="F82" s="64" t="str">
        <f>IFERROR(__xludf.DUMMYFUNCTION("""COMPUTED_VALUE"""),"")</f>
        <v/>
      </c>
      <c r="G82" s="52" t="str">
        <f>IFERROR(__xludf.DUMMYFUNCTION("""COMPUTED_VALUE"""),"")</f>
        <v/>
      </c>
      <c r="H82" s="53" t="str">
        <f>IFERROR(__xludf.DUMMYFUNCTION("""COMPUTED_VALUE"""),"")</f>
        <v/>
      </c>
      <c r="I82" s="53" t="str">
        <f>IFERROR(__xludf.DUMMYFUNCTION("""COMPUTED_VALUE"""),"")</f>
        <v/>
      </c>
      <c r="J82" s="53" t="str">
        <f>IFERROR(__xludf.DUMMYFUNCTION("""COMPUTED_VALUE"""),"")</f>
        <v/>
      </c>
      <c r="K82" s="54" t="str">
        <f>IFERROR(__xludf.DUMMYFUNCTION("""COMPUTED_VALUE"""),"")</f>
        <v/>
      </c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6"/>
      <c r="W82" s="56"/>
      <c r="X82" s="56"/>
      <c r="Y82" s="56"/>
      <c r="Z82" s="57"/>
      <c r="AA82" s="58"/>
      <c r="AB82" s="59"/>
    </row>
    <row r="83" ht="13.5" customHeight="1">
      <c r="A83" s="60" t="str">
        <f>IFERROR(__xludf.DUMMYFUNCTION("""COMPUTED_VALUE"""),"")</f>
        <v/>
      </c>
      <c r="B83" s="64" t="str">
        <f>IFERROR(__xludf.DUMMYFUNCTION("""COMPUTED_VALUE"""),"")</f>
        <v/>
      </c>
      <c r="C83" s="63" t="str">
        <f>IFERROR(__xludf.DUMMYFUNCTION("""COMPUTED_VALUE"""),"")</f>
        <v/>
      </c>
      <c r="D83" s="63" t="str">
        <f>IFERROR(__xludf.DUMMYFUNCTION("""COMPUTED_VALUE"""),"")</f>
        <v/>
      </c>
      <c r="E83" s="51" t="str">
        <f>IFERROR(__xludf.DUMMYFUNCTION("""COMPUTED_VALUE"""),"")</f>
        <v/>
      </c>
      <c r="F83" s="64" t="str">
        <f>IFERROR(__xludf.DUMMYFUNCTION("""COMPUTED_VALUE"""),"")</f>
        <v/>
      </c>
      <c r="G83" s="52" t="str">
        <f>IFERROR(__xludf.DUMMYFUNCTION("""COMPUTED_VALUE"""),"")</f>
        <v/>
      </c>
      <c r="H83" s="53" t="str">
        <f>IFERROR(__xludf.DUMMYFUNCTION("""COMPUTED_VALUE"""),"")</f>
        <v/>
      </c>
      <c r="I83" s="53" t="str">
        <f>IFERROR(__xludf.DUMMYFUNCTION("""COMPUTED_VALUE"""),"")</f>
        <v/>
      </c>
      <c r="J83" s="53" t="str">
        <f>IFERROR(__xludf.DUMMYFUNCTION("""COMPUTED_VALUE"""),"")</f>
        <v/>
      </c>
      <c r="K83" s="54" t="str">
        <f>IFERROR(__xludf.DUMMYFUNCTION("""COMPUTED_VALUE"""),"")</f>
        <v/>
      </c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6"/>
      <c r="W83" s="56"/>
      <c r="X83" s="56"/>
      <c r="Y83" s="56"/>
      <c r="Z83" s="57"/>
      <c r="AA83" s="58"/>
      <c r="AB83" s="59"/>
    </row>
    <row r="84" ht="13.5" customHeight="1">
      <c r="A84" s="60" t="str">
        <f>IFERROR(__xludf.DUMMYFUNCTION("""COMPUTED_VALUE"""),"")</f>
        <v/>
      </c>
      <c r="B84" s="64" t="str">
        <f>IFERROR(__xludf.DUMMYFUNCTION("""COMPUTED_VALUE"""),"")</f>
        <v/>
      </c>
      <c r="C84" s="63" t="str">
        <f>IFERROR(__xludf.DUMMYFUNCTION("""COMPUTED_VALUE"""),"")</f>
        <v/>
      </c>
      <c r="D84" s="63" t="str">
        <f>IFERROR(__xludf.DUMMYFUNCTION("""COMPUTED_VALUE"""),"")</f>
        <v/>
      </c>
      <c r="E84" s="51" t="str">
        <f>IFERROR(__xludf.DUMMYFUNCTION("""COMPUTED_VALUE"""),"")</f>
        <v/>
      </c>
      <c r="F84" s="64" t="str">
        <f>IFERROR(__xludf.DUMMYFUNCTION("""COMPUTED_VALUE"""),"")</f>
        <v/>
      </c>
      <c r="G84" s="52" t="str">
        <f>IFERROR(__xludf.DUMMYFUNCTION("""COMPUTED_VALUE"""),"")</f>
        <v/>
      </c>
      <c r="H84" s="53" t="str">
        <f>IFERROR(__xludf.DUMMYFUNCTION("""COMPUTED_VALUE"""),"")</f>
        <v/>
      </c>
      <c r="I84" s="53" t="str">
        <f>IFERROR(__xludf.DUMMYFUNCTION("""COMPUTED_VALUE"""),"")</f>
        <v/>
      </c>
      <c r="J84" s="53" t="str">
        <f>IFERROR(__xludf.DUMMYFUNCTION("""COMPUTED_VALUE"""),"")</f>
        <v/>
      </c>
      <c r="K84" s="54" t="str">
        <f>IFERROR(__xludf.DUMMYFUNCTION("""COMPUTED_VALUE"""),"")</f>
        <v/>
      </c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6"/>
      <c r="W84" s="56"/>
      <c r="X84" s="56"/>
      <c r="Y84" s="56"/>
      <c r="Z84" s="57"/>
      <c r="AA84" s="58"/>
      <c r="AB84" s="59"/>
    </row>
    <row r="85" ht="13.5" customHeight="1">
      <c r="A85" s="60" t="str">
        <f>IFERROR(__xludf.DUMMYFUNCTION("""COMPUTED_VALUE"""),"")</f>
        <v/>
      </c>
      <c r="B85" s="64" t="str">
        <f>IFERROR(__xludf.DUMMYFUNCTION("""COMPUTED_VALUE"""),"")</f>
        <v/>
      </c>
      <c r="C85" s="63" t="str">
        <f>IFERROR(__xludf.DUMMYFUNCTION("""COMPUTED_VALUE"""),"")</f>
        <v/>
      </c>
      <c r="D85" s="63" t="str">
        <f>IFERROR(__xludf.DUMMYFUNCTION("""COMPUTED_VALUE"""),"")</f>
        <v/>
      </c>
      <c r="E85" s="51" t="str">
        <f>IFERROR(__xludf.DUMMYFUNCTION("""COMPUTED_VALUE"""),"")</f>
        <v/>
      </c>
      <c r="F85" s="64" t="str">
        <f>IFERROR(__xludf.DUMMYFUNCTION("""COMPUTED_VALUE"""),"")</f>
        <v/>
      </c>
      <c r="G85" s="52" t="str">
        <f>IFERROR(__xludf.DUMMYFUNCTION("""COMPUTED_VALUE"""),"")</f>
        <v/>
      </c>
      <c r="H85" s="53" t="str">
        <f>IFERROR(__xludf.DUMMYFUNCTION("""COMPUTED_VALUE"""),"")</f>
        <v/>
      </c>
      <c r="I85" s="53" t="str">
        <f>IFERROR(__xludf.DUMMYFUNCTION("""COMPUTED_VALUE"""),"")</f>
        <v/>
      </c>
      <c r="J85" s="53" t="str">
        <f>IFERROR(__xludf.DUMMYFUNCTION("""COMPUTED_VALUE"""),"")</f>
        <v/>
      </c>
      <c r="K85" s="54" t="str">
        <f>IFERROR(__xludf.DUMMYFUNCTION("""COMPUTED_VALUE"""),"")</f>
        <v/>
      </c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6"/>
      <c r="W85" s="56"/>
      <c r="X85" s="56"/>
      <c r="Y85" s="56"/>
      <c r="Z85" s="57"/>
      <c r="AA85" s="58"/>
      <c r="AB85" s="59"/>
    </row>
    <row r="86" ht="13.5" customHeight="1">
      <c r="A86" s="60" t="str">
        <f>IFERROR(__xludf.DUMMYFUNCTION("""COMPUTED_VALUE"""),"")</f>
        <v/>
      </c>
      <c r="B86" s="64" t="str">
        <f>IFERROR(__xludf.DUMMYFUNCTION("""COMPUTED_VALUE"""),"")</f>
        <v/>
      </c>
      <c r="C86" s="63" t="str">
        <f>IFERROR(__xludf.DUMMYFUNCTION("""COMPUTED_VALUE"""),"")</f>
        <v/>
      </c>
      <c r="D86" s="63" t="str">
        <f>IFERROR(__xludf.DUMMYFUNCTION("""COMPUTED_VALUE"""),"")</f>
        <v/>
      </c>
      <c r="E86" s="51" t="str">
        <f>IFERROR(__xludf.DUMMYFUNCTION("""COMPUTED_VALUE"""),"")</f>
        <v/>
      </c>
      <c r="F86" s="64" t="str">
        <f>IFERROR(__xludf.DUMMYFUNCTION("""COMPUTED_VALUE"""),"")</f>
        <v/>
      </c>
      <c r="G86" s="52" t="str">
        <f>IFERROR(__xludf.DUMMYFUNCTION("""COMPUTED_VALUE"""),"")</f>
        <v/>
      </c>
      <c r="H86" s="53" t="str">
        <f>IFERROR(__xludf.DUMMYFUNCTION("""COMPUTED_VALUE"""),"")</f>
        <v/>
      </c>
      <c r="I86" s="53" t="str">
        <f>IFERROR(__xludf.DUMMYFUNCTION("""COMPUTED_VALUE"""),"")</f>
        <v/>
      </c>
      <c r="J86" s="53" t="str">
        <f>IFERROR(__xludf.DUMMYFUNCTION("""COMPUTED_VALUE"""),"")</f>
        <v/>
      </c>
      <c r="K86" s="54" t="str">
        <f>IFERROR(__xludf.DUMMYFUNCTION("""COMPUTED_VALUE"""),"")</f>
        <v/>
      </c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6"/>
      <c r="W86" s="56"/>
      <c r="X86" s="56"/>
      <c r="Y86" s="56"/>
      <c r="Z86" s="57"/>
      <c r="AA86" s="58"/>
      <c r="AB86" s="59"/>
    </row>
    <row r="87" ht="13.5" customHeight="1">
      <c r="A87" s="60" t="str">
        <f>IFERROR(__xludf.DUMMYFUNCTION("""COMPUTED_VALUE"""),"")</f>
        <v/>
      </c>
      <c r="B87" s="64" t="str">
        <f>IFERROR(__xludf.DUMMYFUNCTION("""COMPUTED_VALUE"""),"")</f>
        <v/>
      </c>
      <c r="C87" s="63" t="str">
        <f>IFERROR(__xludf.DUMMYFUNCTION("""COMPUTED_VALUE"""),"")</f>
        <v/>
      </c>
      <c r="D87" s="63" t="str">
        <f>IFERROR(__xludf.DUMMYFUNCTION("""COMPUTED_VALUE"""),"")</f>
        <v/>
      </c>
      <c r="E87" s="51" t="str">
        <f>IFERROR(__xludf.DUMMYFUNCTION("""COMPUTED_VALUE"""),"")</f>
        <v/>
      </c>
      <c r="F87" s="64" t="str">
        <f>IFERROR(__xludf.DUMMYFUNCTION("""COMPUTED_VALUE"""),"")</f>
        <v/>
      </c>
      <c r="G87" s="52" t="str">
        <f>IFERROR(__xludf.DUMMYFUNCTION("""COMPUTED_VALUE"""),"")</f>
        <v/>
      </c>
      <c r="H87" s="53" t="str">
        <f>IFERROR(__xludf.DUMMYFUNCTION("""COMPUTED_VALUE"""),"")</f>
        <v/>
      </c>
      <c r="I87" s="53" t="str">
        <f>IFERROR(__xludf.DUMMYFUNCTION("""COMPUTED_VALUE"""),"")</f>
        <v/>
      </c>
      <c r="J87" s="53" t="str">
        <f>IFERROR(__xludf.DUMMYFUNCTION("""COMPUTED_VALUE"""),"")</f>
        <v/>
      </c>
      <c r="K87" s="54" t="str">
        <f>IFERROR(__xludf.DUMMYFUNCTION("""COMPUTED_VALUE"""),"")</f>
        <v/>
      </c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6"/>
      <c r="W87" s="56"/>
      <c r="X87" s="56"/>
      <c r="Y87" s="56"/>
      <c r="Z87" s="57"/>
      <c r="AA87" s="58"/>
      <c r="AB87" s="59"/>
    </row>
    <row r="88" ht="13.5" customHeight="1">
      <c r="A88" s="60" t="str">
        <f>IFERROR(__xludf.DUMMYFUNCTION("""COMPUTED_VALUE"""),"")</f>
        <v/>
      </c>
      <c r="B88" s="64" t="str">
        <f>IFERROR(__xludf.DUMMYFUNCTION("""COMPUTED_VALUE"""),"")</f>
        <v/>
      </c>
      <c r="C88" s="63" t="str">
        <f>IFERROR(__xludf.DUMMYFUNCTION("""COMPUTED_VALUE"""),"")</f>
        <v/>
      </c>
      <c r="D88" s="63" t="str">
        <f>IFERROR(__xludf.DUMMYFUNCTION("""COMPUTED_VALUE"""),"")</f>
        <v/>
      </c>
      <c r="E88" s="51" t="str">
        <f>IFERROR(__xludf.DUMMYFUNCTION("""COMPUTED_VALUE"""),"")</f>
        <v/>
      </c>
      <c r="F88" s="64" t="str">
        <f>IFERROR(__xludf.DUMMYFUNCTION("""COMPUTED_VALUE"""),"")</f>
        <v/>
      </c>
      <c r="G88" s="52" t="str">
        <f>IFERROR(__xludf.DUMMYFUNCTION("""COMPUTED_VALUE"""),"")</f>
        <v/>
      </c>
      <c r="H88" s="53" t="str">
        <f>IFERROR(__xludf.DUMMYFUNCTION("""COMPUTED_VALUE"""),"")</f>
        <v/>
      </c>
      <c r="I88" s="53" t="str">
        <f>IFERROR(__xludf.DUMMYFUNCTION("""COMPUTED_VALUE"""),"")</f>
        <v/>
      </c>
      <c r="J88" s="53" t="str">
        <f>IFERROR(__xludf.DUMMYFUNCTION("""COMPUTED_VALUE"""),"")</f>
        <v/>
      </c>
      <c r="K88" s="54" t="str">
        <f>IFERROR(__xludf.DUMMYFUNCTION("""COMPUTED_VALUE"""),"")</f>
        <v/>
      </c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6"/>
      <c r="W88" s="56"/>
      <c r="X88" s="56"/>
      <c r="Y88" s="56"/>
      <c r="Z88" s="57"/>
      <c r="AA88" s="58"/>
      <c r="AB88" s="59"/>
    </row>
    <row r="89" ht="13.5" customHeight="1">
      <c r="A89" s="60" t="str">
        <f>IFERROR(__xludf.DUMMYFUNCTION("""COMPUTED_VALUE"""),"")</f>
        <v/>
      </c>
      <c r="B89" s="64" t="str">
        <f>IFERROR(__xludf.DUMMYFUNCTION("""COMPUTED_VALUE"""),"")</f>
        <v/>
      </c>
      <c r="C89" s="63" t="str">
        <f>IFERROR(__xludf.DUMMYFUNCTION("""COMPUTED_VALUE"""),"")</f>
        <v/>
      </c>
      <c r="D89" s="63" t="str">
        <f>IFERROR(__xludf.DUMMYFUNCTION("""COMPUTED_VALUE"""),"")</f>
        <v/>
      </c>
      <c r="E89" s="51" t="str">
        <f>IFERROR(__xludf.DUMMYFUNCTION("""COMPUTED_VALUE"""),"")</f>
        <v/>
      </c>
      <c r="F89" s="64" t="str">
        <f>IFERROR(__xludf.DUMMYFUNCTION("""COMPUTED_VALUE"""),"")</f>
        <v/>
      </c>
      <c r="G89" s="52" t="str">
        <f>IFERROR(__xludf.DUMMYFUNCTION("""COMPUTED_VALUE"""),"")</f>
        <v/>
      </c>
      <c r="H89" s="53" t="str">
        <f>IFERROR(__xludf.DUMMYFUNCTION("""COMPUTED_VALUE"""),"")</f>
        <v/>
      </c>
      <c r="I89" s="53" t="str">
        <f>IFERROR(__xludf.DUMMYFUNCTION("""COMPUTED_VALUE"""),"")</f>
        <v/>
      </c>
      <c r="J89" s="53" t="str">
        <f>IFERROR(__xludf.DUMMYFUNCTION("""COMPUTED_VALUE"""),"")</f>
        <v/>
      </c>
      <c r="K89" s="54" t="str">
        <f>IFERROR(__xludf.DUMMYFUNCTION("""COMPUTED_VALUE"""),"")</f>
        <v/>
      </c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6"/>
      <c r="W89" s="56"/>
      <c r="X89" s="56"/>
      <c r="Y89" s="56"/>
      <c r="Z89" s="57"/>
      <c r="AA89" s="58"/>
      <c r="AB89" s="59"/>
    </row>
    <row r="90" ht="13.5" customHeight="1">
      <c r="A90" s="60" t="str">
        <f>IFERROR(__xludf.DUMMYFUNCTION("""COMPUTED_VALUE"""),"")</f>
        <v/>
      </c>
      <c r="B90" s="64" t="str">
        <f>IFERROR(__xludf.DUMMYFUNCTION("""COMPUTED_VALUE"""),"")</f>
        <v/>
      </c>
      <c r="C90" s="63" t="str">
        <f>IFERROR(__xludf.DUMMYFUNCTION("""COMPUTED_VALUE"""),"")</f>
        <v/>
      </c>
      <c r="D90" s="63" t="str">
        <f>IFERROR(__xludf.DUMMYFUNCTION("""COMPUTED_VALUE"""),"")</f>
        <v/>
      </c>
      <c r="E90" s="51" t="str">
        <f>IFERROR(__xludf.DUMMYFUNCTION("""COMPUTED_VALUE"""),"")</f>
        <v/>
      </c>
      <c r="F90" s="64" t="str">
        <f>IFERROR(__xludf.DUMMYFUNCTION("""COMPUTED_VALUE"""),"")</f>
        <v/>
      </c>
      <c r="G90" s="52" t="str">
        <f>IFERROR(__xludf.DUMMYFUNCTION("""COMPUTED_VALUE"""),"")</f>
        <v/>
      </c>
      <c r="H90" s="53" t="str">
        <f>IFERROR(__xludf.DUMMYFUNCTION("""COMPUTED_VALUE"""),"")</f>
        <v/>
      </c>
      <c r="I90" s="53" t="str">
        <f>IFERROR(__xludf.DUMMYFUNCTION("""COMPUTED_VALUE"""),"")</f>
        <v/>
      </c>
      <c r="J90" s="53" t="str">
        <f>IFERROR(__xludf.DUMMYFUNCTION("""COMPUTED_VALUE"""),"")</f>
        <v/>
      </c>
      <c r="K90" s="54" t="str">
        <f>IFERROR(__xludf.DUMMYFUNCTION("""COMPUTED_VALUE"""),"")</f>
        <v/>
      </c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6"/>
      <c r="W90" s="56"/>
      <c r="X90" s="56"/>
      <c r="Y90" s="56"/>
      <c r="Z90" s="57"/>
      <c r="AA90" s="58"/>
      <c r="AB90" s="59"/>
    </row>
    <row r="91" ht="13.5" customHeight="1">
      <c r="A91" s="60" t="str">
        <f>IFERROR(__xludf.DUMMYFUNCTION("""COMPUTED_VALUE"""),"")</f>
        <v/>
      </c>
      <c r="B91" s="64" t="str">
        <f>IFERROR(__xludf.DUMMYFUNCTION("""COMPUTED_VALUE"""),"")</f>
        <v/>
      </c>
      <c r="C91" s="63" t="str">
        <f>IFERROR(__xludf.DUMMYFUNCTION("""COMPUTED_VALUE"""),"")</f>
        <v/>
      </c>
      <c r="D91" s="63" t="str">
        <f>IFERROR(__xludf.DUMMYFUNCTION("""COMPUTED_VALUE"""),"")</f>
        <v/>
      </c>
      <c r="E91" s="51" t="str">
        <f>IFERROR(__xludf.DUMMYFUNCTION("""COMPUTED_VALUE"""),"")</f>
        <v/>
      </c>
      <c r="F91" s="64" t="str">
        <f>IFERROR(__xludf.DUMMYFUNCTION("""COMPUTED_VALUE"""),"")</f>
        <v/>
      </c>
      <c r="G91" s="52" t="str">
        <f>IFERROR(__xludf.DUMMYFUNCTION("""COMPUTED_VALUE"""),"")</f>
        <v/>
      </c>
      <c r="H91" s="53" t="str">
        <f>IFERROR(__xludf.DUMMYFUNCTION("""COMPUTED_VALUE"""),"")</f>
        <v/>
      </c>
      <c r="I91" s="53" t="str">
        <f>IFERROR(__xludf.DUMMYFUNCTION("""COMPUTED_VALUE"""),"")</f>
        <v/>
      </c>
      <c r="J91" s="53" t="str">
        <f>IFERROR(__xludf.DUMMYFUNCTION("""COMPUTED_VALUE"""),"")</f>
        <v/>
      </c>
      <c r="K91" s="54" t="str">
        <f>IFERROR(__xludf.DUMMYFUNCTION("""COMPUTED_VALUE"""),"")</f>
        <v/>
      </c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6"/>
      <c r="W91" s="56"/>
      <c r="X91" s="56"/>
      <c r="Y91" s="56"/>
      <c r="Z91" s="57"/>
      <c r="AA91" s="58"/>
      <c r="AB91" s="59"/>
    </row>
    <row r="92" ht="13.5" customHeight="1">
      <c r="A92" s="60" t="str">
        <f>IFERROR(__xludf.DUMMYFUNCTION("""COMPUTED_VALUE"""),"")</f>
        <v/>
      </c>
      <c r="B92" s="64" t="str">
        <f>IFERROR(__xludf.DUMMYFUNCTION("""COMPUTED_VALUE"""),"")</f>
        <v/>
      </c>
      <c r="C92" s="63" t="str">
        <f>IFERROR(__xludf.DUMMYFUNCTION("""COMPUTED_VALUE"""),"")</f>
        <v/>
      </c>
      <c r="D92" s="63" t="str">
        <f>IFERROR(__xludf.DUMMYFUNCTION("""COMPUTED_VALUE"""),"")</f>
        <v/>
      </c>
      <c r="E92" s="51" t="str">
        <f>IFERROR(__xludf.DUMMYFUNCTION("""COMPUTED_VALUE"""),"")</f>
        <v/>
      </c>
      <c r="F92" s="64" t="str">
        <f>IFERROR(__xludf.DUMMYFUNCTION("""COMPUTED_VALUE"""),"")</f>
        <v/>
      </c>
      <c r="G92" s="52" t="str">
        <f>IFERROR(__xludf.DUMMYFUNCTION("""COMPUTED_VALUE"""),"")</f>
        <v/>
      </c>
      <c r="H92" s="53" t="str">
        <f>IFERROR(__xludf.DUMMYFUNCTION("""COMPUTED_VALUE"""),"")</f>
        <v/>
      </c>
      <c r="I92" s="53" t="str">
        <f>IFERROR(__xludf.DUMMYFUNCTION("""COMPUTED_VALUE"""),"")</f>
        <v/>
      </c>
      <c r="J92" s="53" t="str">
        <f>IFERROR(__xludf.DUMMYFUNCTION("""COMPUTED_VALUE"""),"")</f>
        <v/>
      </c>
      <c r="K92" s="54" t="str">
        <f>IFERROR(__xludf.DUMMYFUNCTION("""COMPUTED_VALUE"""),"")</f>
        <v/>
      </c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6"/>
      <c r="W92" s="56"/>
      <c r="X92" s="56"/>
      <c r="Y92" s="56"/>
      <c r="Z92" s="57"/>
      <c r="AA92" s="58"/>
      <c r="AB92" s="59"/>
    </row>
    <row r="93" ht="13.5" customHeight="1">
      <c r="A93" s="60" t="str">
        <f>IFERROR(__xludf.DUMMYFUNCTION("""COMPUTED_VALUE"""),"")</f>
        <v/>
      </c>
      <c r="B93" s="64" t="str">
        <f>IFERROR(__xludf.DUMMYFUNCTION("""COMPUTED_VALUE"""),"")</f>
        <v/>
      </c>
      <c r="C93" s="63" t="str">
        <f>IFERROR(__xludf.DUMMYFUNCTION("""COMPUTED_VALUE"""),"")</f>
        <v/>
      </c>
      <c r="D93" s="63" t="str">
        <f>IFERROR(__xludf.DUMMYFUNCTION("""COMPUTED_VALUE"""),"")</f>
        <v/>
      </c>
      <c r="E93" s="51" t="str">
        <f>IFERROR(__xludf.DUMMYFUNCTION("""COMPUTED_VALUE"""),"")</f>
        <v/>
      </c>
      <c r="F93" s="64" t="str">
        <f>IFERROR(__xludf.DUMMYFUNCTION("""COMPUTED_VALUE"""),"")</f>
        <v/>
      </c>
      <c r="G93" s="52" t="str">
        <f>IFERROR(__xludf.DUMMYFUNCTION("""COMPUTED_VALUE"""),"")</f>
        <v/>
      </c>
      <c r="H93" s="53" t="str">
        <f>IFERROR(__xludf.DUMMYFUNCTION("""COMPUTED_VALUE"""),"")</f>
        <v/>
      </c>
      <c r="I93" s="53" t="str">
        <f>IFERROR(__xludf.DUMMYFUNCTION("""COMPUTED_VALUE"""),"")</f>
        <v/>
      </c>
      <c r="J93" s="53" t="str">
        <f>IFERROR(__xludf.DUMMYFUNCTION("""COMPUTED_VALUE"""),"")</f>
        <v/>
      </c>
      <c r="K93" s="54" t="str">
        <f>IFERROR(__xludf.DUMMYFUNCTION("""COMPUTED_VALUE"""),"")</f>
        <v/>
      </c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6"/>
      <c r="W93" s="56"/>
      <c r="X93" s="56"/>
      <c r="Y93" s="56"/>
      <c r="Z93" s="57"/>
      <c r="AA93" s="58"/>
      <c r="AB93" s="59"/>
    </row>
    <row r="94" ht="13.5" customHeight="1">
      <c r="A94" s="60" t="str">
        <f>IFERROR(__xludf.DUMMYFUNCTION("""COMPUTED_VALUE"""),"")</f>
        <v/>
      </c>
      <c r="B94" s="64" t="str">
        <f>IFERROR(__xludf.DUMMYFUNCTION("""COMPUTED_VALUE"""),"")</f>
        <v/>
      </c>
      <c r="C94" s="63" t="str">
        <f>IFERROR(__xludf.DUMMYFUNCTION("""COMPUTED_VALUE"""),"")</f>
        <v/>
      </c>
      <c r="D94" s="63" t="str">
        <f>IFERROR(__xludf.DUMMYFUNCTION("""COMPUTED_VALUE"""),"")</f>
        <v/>
      </c>
      <c r="E94" s="51" t="str">
        <f>IFERROR(__xludf.DUMMYFUNCTION("""COMPUTED_VALUE"""),"")</f>
        <v/>
      </c>
      <c r="F94" s="64" t="str">
        <f>IFERROR(__xludf.DUMMYFUNCTION("""COMPUTED_VALUE"""),"")</f>
        <v/>
      </c>
      <c r="G94" s="52" t="str">
        <f>IFERROR(__xludf.DUMMYFUNCTION("""COMPUTED_VALUE"""),"")</f>
        <v/>
      </c>
      <c r="H94" s="53" t="str">
        <f>IFERROR(__xludf.DUMMYFUNCTION("""COMPUTED_VALUE"""),"")</f>
        <v/>
      </c>
      <c r="I94" s="53" t="str">
        <f>IFERROR(__xludf.DUMMYFUNCTION("""COMPUTED_VALUE"""),"")</f>
        <v/>
      </c>
      <c r="J94" s="53" t="str">
        <f>IFERROR(__xludf.DUMMYFUNCTION("""COMPUTED_VALUE"""),"")</f>
        <v/>
      </c>
      <c r="K94" s="54" t="str">
        <f>IFERROR(__xludf.DUMMYFUNCTION("""COMPUTED_VALUE"""),"")</f>
        <v/>
      </c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6"/>
      <c r="W94" s="56"/>
      <c r="X94" s="56"/>
      <c r="Y94" s="56"/>
      <c r="Z94" s="57"/>
      <c r="AA94" s="58"/>
      <c r="AB94" s="59"/>
    </row>
    <row r="95" ht="13.5" customHeight="1">
      <c r="A95" s="60" t="str">
        <f>IFERROR(__xludf.DUMMYFUNCTION("""COMPUTED_VALUE"""),"")</f>
        <v/>
      </c>
      <c r="B95" s="64" t="str">
        <f>IFERROR(__xludf.DUMMYFUNCTION("""COMPUTED_VALUE"""),"")</f>
        <v/>
      </c>
      <c r="C95" s="63" t="str">
        <f>IFERROR(__xludf.DUMMYFUNCTION("""COMPUTED_VALUE"""),"")</f>
        <v/>
      </c>
      <c r="D95" s="63" t="str">
        <f>IFERROR(__xludf.DUMMYFUNCTION("""COMPUTED_VALUE"""),"")</f>
        <v/>
      </c>
      <c r="E95" s="51" t="str">
        <f>IFERROR(__xludf.DUMMYFUNCTION("""COMPUTED_VALUE"""),"")</f>
        <v/>
      </c>
      <c r="F95" s="64" t="str">
        <f>IFERROR(__xludf.DUMMYFUNCTION("""COMPUTED_VALUE"""),"")</f>
        <v/>
      </c>
      <c r="G95" s="52" t="str">
        <f>IFERROR(__xludf.DUMMYFUNCTION("""COMPUTED_VALUE"""),"")</f>
        <v/>
      </c>
      <c r="H95" s="53" t="str">
        <f>IFERROR(__xludf.DUMMYFUNCTION("""COMPUTED_VALUE"""),"")</f>
        <v/>
      </c>
      <c r="I95" s="53" t="str">
        <f>IFERROR(__xludf.DUMMYFUNCTION("""COMPUTED_VALUE"""),"")</f>
        <v/>
      </c>
      <c r="J95" s="53" t="str">
        <f>IFERROR(__xludf.DUMMYFUNCTION("""COMPUTED_VALUE"""),"")</f>
        <v/>
      </c>
      <c r="K95" s="54" t="str">
        <f>IFERROR(__xludf.DUMMYFUNCTION("""COMPUTED_VALUE"""),"")</f>
        <v/>
      </c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6"/>
      <c r="W95" s="56"/>
      <c r="X95" s="56"/>
      <c r="Y95" s="56"/>
      <c r="Z95" s="57"/>
      <c r="AA95" s="58"/>
      <c r="AB95" s="59"/>
    </row>
    <row r="96" ht="13.5" customHeight="1">
      <c r="A96" s="60" t="str">
        <f>IFERROR(__xludf.DUMMYFUNCTION("""COMPUTED_VALUE"""),"")</f>
        <v/>
      </c>
      <c r="B96" s="64" t="str">
        <f>IFERROR(__xludf.DUMMYFUNCTION("""COMPUTED_VALUE"""),"")</f>
        <v/>
      </c>
      <c r="C96" s="63" t="str">
        <f>IFERROR(__xludf.DUMMYFUNCTION("""COMPUTED_VALUE"""),"")</f>
        <v/>
      </c>
      <c r="D96" s="63" t="str">
        <f>IFERROR(__xludf.DUMMYFUNCTION("""COMPUTED_VALUE"""),"")</f>
        <v/>
      </c>
      <c r="E96" s="51" t="str">
        <f>IFERROR(__xludf.DUMMYFUNCTION("""COMPUTED_VALUE"""),"")</f>
        <v/>
      </c>
      <c r="F96" s="64" t="str">
        <f>IFERROR(__xludf.DUMMYFUNCTION("""COMPUTED_VALUE"""),"")</f>
        <v/>
      </c>
      <c r="G96" s="52" t="str">
        <f>IFERROR(__xludf.DUMMYFUNCTION("""COMPUTED_VALUE"""),"")</f>
        <v/>
      </c>
      <c r="H96" s="53" t="str">
        <f>IFERROR(__xludf.DUMMYFUNCTION("""COMPUTED_VALUE"""),"")</f>
        <v/>
      </c>
      <c r="I96" s="53" t="str">
        <f>IFERROR(__xludf.DUMMYFUNCTION("""COMPUTED_VALUE"""),"")</f>
        <v/>
      </c>
      <c r="J96" s="53" t="str">
        <f>IFERROR(__xludf.DUMMYFUNCTION("""COMPUTED_VALUE"""),"")</f>
        <v/>
      </c>
      <c r="K96" s="54" t="str">
        <f>IFERROR(__xludf.DUMMYFUNCTION("""COMPUTED_VALUE"""),"")</f>
        <v/>
      </c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6"/>
      <c r="W96" s="56"/>
      <c r="X96" s="56"/>
      <c r="Y96" s="56"/>
      <c r="Z96" s="57"/>
      <c r="AA96" s="58"/>
      <c r="AB96" s="59"/>
    </row>
    <row r="97" ht="13.5" customHeight="1">
      <c r="A97" s="60" t="str">
        <f>IFERROR(__xludf.DUMMYFUNCTION("""COMPUTED_VALUE"""),"")</f>
        <v/>
      </c>
      <c r="B97" s="64" t="str">
        <f>IFERROR(__xludf.DUMMYFUNCTION("""COMPUTED_VALUE"""),"")</f>
        <v/>
      </c>
      <c r="C97" s="63" t="str">
        <f>IFERROR(__xludf.DUMMYFUNCTION("""COMPUTED_VALUE"""),"")</f>
        <v/>
      </c>
      <c r="D97" s="63" t="str">
        <f>IFERROR(__xludf.DUMMYFUNCTION("""COMPUTED_VALUE"""),"")</f>
        <v/>
      </c>
      <c r="E97" s="51" t="str">
        <f>IFERROR(__xludf.DUMMYFUNCTION("""COMPUTED_VALUE"""),"")</f>
        <v/>
      </c>
      <c r="F97" s="64" t="str">
        <f>IFERROR(__xludf.DUMMYFUNCTION("""COMPUTED_VALUE"""),"")</f>
        <v/>
      </c>
      <c r="G97" s="52" t="str">
        <f>IFERROR(__xludf.DUMMYFUNCTION("""COMPUTED_VALUE"""),"")</f>
        <v/>
      </c>
      <c r="H97" s="53" t="str">
        <f>IFERROR(__xludf.DUMMYFUNCTION("""COMPUTED_VALUE"""),"")</f>
        <v/>
      </c>
      <c r="I97" s="53" t="str">
        <f>IFERROR(__xludf.DUMMYFUNCTION("""COMPUTED_VALUE"""),"")</f>
        <v/>
      </c>
      <c r="J97" s="53" t="str">
        <f>IFERROR(__xludf.DUMMYFUNCTION("""COMPUTED_VALUE"""),"")</f>
        <v/>
      </c>
      <c r="K97" s="54" t="str">
        <f>IFERROR(__xludf.DUMMYFUNCTION("""COMPUTED_VALUE"""),"")</f>
        <v/>
      </c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6"/>
      <c r="W97" s="56"/>
      <c r="X97" s="56"/>
      <c r="Y97" s="56"/>
      <c r="Z97" s="57"/>
      <c r="AA97" s="58"/>
      <c r="AB97" s="59"/>
    </row>
    <row r="98" ht="13.5" customHeight="1">
      <c r="A98" s="60" t="str">
        <f>IFERROR(__xludf.DUMMYFUNCTION("""COMPUTED_VALUE"""),"")</f>
        <v/>
      </c>
      <c r="B98" s="64" t="str">
        <f>IFERROR(__xludf.DUMMYFUNCTION("""COMPUTED_VALUE"""),"")</f>
        <v/>
      </c>
      <c r="C98" s="63" t="str">
        <f>IFERROR(__xludf.DUMMYFUNCTION("""COMPUTED_VALUE"""),"")</f>
        <v/>
      </c>
      <c r="D98" s="63" t="str">
        <f>IFERROR(__xludf.DUMMYFUNCTION("""COMPUTED_VALUE"""),"")</f>
        <v/>
      </c>
      <c r="E98" s="51" t="str">
        <f>IFERROR(__xludf.DUMMYFUNCTION("""COMPUTED_VALUE"""),"")</f>
        <v/>
      </c>
      <c r="F98" s="64" t="str">
        <f>IFERROR(__xludf.DUMMYFUNCTION("""COMPUTED_VALUE"""),"")</f>
        <v/>
      </c>
      <c r="G98" s="52" t="str">
        <f>IFERROR(__xludf.DUMMYFUNCTION("""COMPUTED_VALUE"""),"")</f>
        <v/>
      </c>
      <c r="H98" s="53" t="str">
        <f>IFERROR(__xludf.DUMMYFUNCTION("""COMPUTED_VALUE"""),"")</f>
        <v/>
      </c>
      <c r="I98" s="53" t="str">
        <f>IFERROR(__xludf.DUMMYFUNCTION("""COMPUTED_VALUE"""),"")</f>
        <v/>
      </c>
      <c r="J98" s="53" t="str">
        <f>IFERROR(__xludf.DUMMYFUNCTION("""COMPUTED_VALUE"""),"")</f>
        <v/>
      </c>
      <c r="K98" s="54" t="str">
        <f>IFERROR(__xludf.DUMMYFUNCTION("""COMPUTED_VALUE"""),"")</f>
        <v/>
      </c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6"/>
      <c r="W98" s="56"/>
      <c r="X98" s="56"/>
      <c r="Y98" s="56"/>
      <c r="Z98" s="57"/>
      <c r="AA98" s="58"/>
      <c r="AB98" s="59"/>
    </row>
    <row r="99" ht="13.5" customHeight="1">
      <c r="A99" s="60" t="str">
        <f>IFERROR(__xludf.DUMMYFUNCTION("""COMPUTED_VALUE"""),"")</f>
        <v/>
      </c>
      <c r="B99" s="64" t="str">
        <f>IFERROR(__xludf.DUMMYFUNCTION("""COMPUTED_VALUE"""),"")</f>
        <v/>
      </c>
      <c r="C99" s="63" t="str">
        <f>IFERROR(__xludf.DUMMYFUNCTION("""COMPUTED_VALUE"""),"")</f>
        <v/>
      </c>
      <c r="D99" s="63" t="str">
        <f>IFERROR(__xludf.DUMMYFUNCTION("""COMPUTED_VALUE"""),"")</f>
        <v/>
      </c>
      <c r="E99" s="51" t="str">
        <f>IFERROR(__xludf.DUMMYFUNCTION("""COMPUTED_VALUE"""),"")</f>
        <v/>
      </c>
      <c r="F99" s="64" t="str">
        <f>IFERROR(__xludf.DUMMYFUNCTION("""COMPUTED_VALUE"""),"")</f>
        <v/>
      </c>
      <c r="G99" s="52" t="str">
        <f>IFERROR(__xludf.DUMMYFUNCTION("""COMPUTED_VALUE"""),"")</f>
        <v/>
      </c>
      <c r="H99" s="53" t="str">
        <f>IFERROR(__xludf.DUMMYFUNCTION("""COMPUTED_VALUE"""),"")</f>
        <v/>
      </c>
      <c r="I99" s="53" t="str">
        <f>IFERROR(__xludf.DUMMYFUNCTION("""COMPUTED_VALUE"""),"")</f>
        <v/>
      </c>
      <c r="J99" s="53" t="str">
        <f>IFERROR(__xludf.DUMMYFUNCTION("""COMPUTED_VALUE"""),"")</f>
        <v/>
      </c>
      <c r="K99" s="54" t="str">
        <f>IFERROR(__xludf.DUMMYFUNCTION("""COMPUTED_VALUE"""),"")</f>
        <v/>
      </c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6"/>
      <c r="W99" s="56"/>
      <c r="X99" s="56"/>
      <c r="Y99" s="56"/>
      <c r="Z99" s="57"/>
      <c r="AA99" s="58"/>
      <c r="AB99" s="59"/>
    </row>
    <row r="100" ht="13.5" customHeight="1">
      <c r="A100" s="60" t="str">
        <f>IFERROR(__xludf.DUMMYFUNCTION("""COMPUTED_VALUE"""),"")</f>
        <v/>
      </c>
      <c r="B100" s="64" t="str">
        <f>IFERROR(__xludf.DUMMYFUNCTION("""COMPUTED_VALUE"""),"")</f>
        <v/>
      </c>
      <c r="C100" s="63" t="str">
        <f>IFERROR(__xludf.DUMMYFUNCTION("""COMPUTED_VALUE"""),"")</f>
        <v/>
      </c>
      <c r="D100" s="63" t="str">
        <f>IFERROR(__xludf.DUMMYFUNCTION("""COMPUTED_VALUE"""),"")</f>
        <v/>
      </c>
      <c r="E100" s="51" t="str">
        <f>IFERROR(__xludf.DUMMYFUNCTION("""COMPUTED_VALUE"""),"")</f>
        <v/>
      </c>
      <c r="F100" s="64" t="str">
        <f>IFERROR(__xludf.DUMMYFUNCTION("""COMPUTED_VALUE"""),"")</f>
        <v/>
      </c>
      <c r="G100" s="52" t="str">
        <f>IFERROR(__xludf.DUMMYFUNCTION("""COMPUTED_VALUE"""),"")</f>
        <v/>
      </c>
      <c r="H100" s="53" t="str">
        <f>IFERROR(__xludf.DUMMYFUNCTION("""COMPUTED_VALUE"""),"")</f>
        <v/>
      </c>
      <c r="I100" s="53" t="str">
        <f>IFERROR(__xludf.DUMMYFUNCTION("""COMPUTED_VALUE"""),"")</f>
        <v/>
      </c>
      <c r="J100" s="53" t="str">
        <f>IFERROR(__xludf.DUMMYFUNCTION("""COMPUTED_VALUE"""),"")</f>
        <v/>
      </c>
      <c r="K100" s="54" t="str">
        <f>IFERROR(__xludf.DUMMYFUNCTION("""COMPUTED_VALUE"""),"")</f>
        <v/>
      </c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6"/>
      <c r="W100" s="56"/>
      <c r="X100" s="56"/>
      <c r="Y100" s="56"/>
      <c r="Z100" s="57"/>
      <c r="AA100" s="58"/>
      <c r="AB100" s="59"/>
    </row>
    <row r="101" ht="13.5" customHeight="1">
      <c r="A101" s="60" t="str">
        <f>IFERROR(__xludf.DUMMYFUNCTION("""COMPUTED_VALUE"""),"")</f>
        <v/>
      </c>
      <c r="B101" s="64" t="str">
        <f>IFERROR(__xludf.DUMMYFUNCTION("""COMPUTED_VALUE"""),"")</f>
        <v/>
      </c>
      <c r="C101" s="63" t="str">
        <f>IFERROR(__xludf.DUMMYFUNCTION("""COMPUTED_VALUE"""),"")</f>
        <v/>
      </c>
      <c r="D101" s="63" t="str">
        <f>IFERROR(__xludf.DUMMYFUNCTION("""COMPUTED_VALUE"""),"")</f>
        <v/>
      </c>
      <c r="E101" s="51" t="str">
        <f>IFERROR(__xludf.DUMMYFUNCTION("""COMPUTED_VALUE"""),"")</f>
        <v/>
      </c>
      <c r="F101" s="64" t="str">
        <f>IFERROR(__xludf.DUMMYFUNCTION("""COMPUTED_VALUE"""),"")</f>
        <v/>
      </c>
      <c r="G101" s="52" t="str">
        <f>IFERROR(__xludf.DUMMYFUNCTION("""COMPUTED_VALUE"""),"")</f>
        <v/>
      </c>
      <c r="H101" s="53" t="str">
        <f>IFERROR(__xludf.DUMMYFUNCTION("""COMPUTED_VALUE"""),"")</f>
        <v/>
      </c>
      <c r="I101" s="53" t="str">
        <f>IFERROR(__xludf.DUMMYFUNCTION("""COMPUTED_VALUE"""),"")</f>
        <v/>
      </c>
      <c r="J101" s="53" t="str">
        <f>IFERROR(__xludf.DUMMYFUNCTION("""COMPUTED_VALUE"""),"")</f>
        <v/>
      </c>
      <c r="K101" s="54" t="str">
        <f>IFERROR(__xludf.DUMMYFUNCTION("""COMPUTED_VALUE"""),"")</f>
        <v/>
      </c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6"/>
      <c r="W101" s="56"/>
      <c r="X101" s="56"/>
      <c r="Y101" s="56"/>
      <c r="Z101" s="57"/>
      <c r="AA101" s="58"/>
      <c r="AB101" s="59"/>
    </row>
    <row r="102" ht="13.5" customHeight="1">
      <c r="A102" s="60" t="str">
        <f>IFERROR(__xludf.DUMMYFUNCTION("""COMPUTED_VALUE"""),"")</f>
        <v/>
      </c>
      <c r="B102" s="64" t="str">
        <f>IFERROR(__xludf.DUMMYFUNCTION("""COMPUTED_VALUE"""),"")</f>
        <v/>
      </c>
      <c r="C102" s="63" t="str">
        <f>IFERROR(__xludf.DUMMYFUNCTION("""COMPUTED_VALUE"""),"")</f>
        <v/>
      </c>
      <c r="D102" s="63" t="str">
        <f>IFERROR(__xludf.DUMMYFUNCTION("""COMPUTED_VALUE"""),"")</f>
        <v/>
      </c>
      <c r="E102" s="51" t="str">
        <f>IFERROR(__xludf.DUMMYFUNCTION("""COMPUTED_VALUE"""),"")</f>
        <v/>
      </c>
      <c r="F102" s="64" t="str">
        <f>IFERROR(__xludf.DUMMYFUNCTION("""COMPUTED_VALUE"""),"")</f>
        <v/>
      </c>
      <c r="G102" s="52" t="str">
        <f>IFERROR(__xludf.DUMMYFUNCTION("""COMPUTED_VALUE"""),"")</f>
        <v/>
      </c>
      <c r="H102" s="53" t="str">
        <f>IFERROR(__xludf.DUMMYFUNCTION("""COMPUTED_VALUE"""),"")</f>
        <v/>
      </c>
      <c r="I102" s="53" t="str">
        <f>IFERROR(__xludf.DUMMYFUNCTION("""COMPUTED_VALUE"""),"")</f>
        <v/>
      </c>
      <c r="J102" s="53" t="str">
        <f>IFERROR(__xludf.DUMMYFUNCTION("""COMPUTED_VALUE"""),"")</f>
        <v/>
      </c>
      <c r="K102" s="54" t="str">
        <f>IFERROR(__xludf.DUMMYFUNCTION("""COMPUTED_VALUE"""),"")</f>
        <v/>
      </c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6"/>
      <c r="W102" s="56"/>
      <c r="X102" s="56"/>
      <c r="Y102" s="56"/>
      <c r="Z102" s="57"/>
      <c r="AA102" s="58"/>
      <c r="AB102" s="59"/>
    </row>
    <row r="103" ht="13.5" customHeight="1">
      <c r="A103" s="60" t="str">
        <f>IFERROR(__xludf.DUMMYFUNCTION("""COMPUTED_VALUE"""),"")</f>
        <v/>
      </c>
      <c r="B103" s="64" t="str">
        <f>IFERROR(__xludf.DUMMYFUNCTION("""COMPUTED_VALUE"""),"")</f>
        <v/>
      </c>
      <c r="C103" s="63" t="str">
        <f>IFERROR(__xludf.DUMMYFUNCTION("""COMPUTED_VALUE"""),"")</f>
        <v/>
      </c>
      <c r="D103" s="63" t="str">
        <f>IFERROR(__xludf.DUMMYFUNCTION("""COMPUTED_VALUE"""),"")</f>
        <v/>
      </c>
      <c r="E103" s="51" t="str">
        <f>IFERROR(__xludf.DUMMYFUNCTION("""COMPUTED_VALUE"""),"")</f>
        <v/>
      </c>
      <c r="F103" s="64" t="str">
        <f>IFERROR(__xludf.DUMMYFUNCTION("""COMPUTED_VALUE"""),"")</f>
        <v/>
      </c>
      <c r="G103" s="52" t="str">
        <f>IFERROR(__xludf.DUMMYFUNCTION("""COMPUTED_VALUE"""),"")</f>
        <v/>
      </c>
      <c r="H103" s="53" t="str">
        <f>IFERROR(__xludf.DUMMYFUNCTION("""COMPUTED_VALUE"""),"")</f>
        <v/>
      </c>
      <c r="I103" s="53" t="str">
        <f>IFERROR(__xludf.DUMMYFUNCTION("""COMPUTED_VALUE"""),"")</f>
        <v/>
      </c>
      <c r="J103" s="53" t="str">
        <f>IFERROR(__xludf.DUMMYFUNCTION("""COMPUTED_VALUE"""),"")</f>
        <v/>
      </c>
      <c r="K103" s="54" t="str">
        <f>IFERROR(__xludf.DUMMYFUNCTION("""COMPUTED_VALUE"""),"")</f>
        <v/>
      </c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6"/>
      <c r="W103" s="56"/>
      <c r="X103" s="56"/>
      <c r="Y103" s="56"/>
      <c r="Z103" s="57"/>
      <c r="AA103" s="58"/>
      <c r="AB103" s="59"/>
    </row>
    <row r="104" ht="13.5" customHeight="1">
      <c r="A104" s="60" t="str">
        <f>IFERROR(__xludf.DUMMYFUNCTION("""COMPUTED_VALUE"""),"")</f>
        <v/>
      </c>
      <c r="B104" s="64" t="str">
        <f>IFERROR(__xludf.DUMMYFUNCTION("""COMPUTED_VALUE"""),"")</f>
        <v/>
      </c>
      <c r="C104" s="63" t="str">
        <f>IFERROR(__xludf.DUMMYFUNCTION("""COMPUTED_VALUE"""),"")</f>
        <v/>
      </c>
      <c r="D104" s="63" t="str">
        <f>IFERROR(__xludf.DUMMYFUNCTION("""COMPUTED_VALUE"""),"")</f>
        <v/>
      </c>
      <c r="E104" s="51" t="str">
        <f>IFERROR(__xludf.DUMMYFUNCTION("""COMPUTED_VALUE"""),"")</f>
        <v/>
      </c>
      <c r="F104" s="64" t="str">
        <f>IFERROR(__xludf.DUMMYFUNCTION("""COMPUTED_VALUE"""),"")</f>
        <v/>
      </c>
      <c r="G104" s="52" t="str">
        <f>IFERROR(__xludf.DUMMYFUNCTION("""COMPUTED_VALUE"""),"")</f>
        <v/>
      </c>
      <c r="H104" s="53" t="str">
        <f>IFERROR(__xludf.DUMMYFUNCTION("""COMPUTED_VALUE"""),"")</f>
        <v/>
      </c>
      <c r="I104" s="53" t="str">
        <f>IFERROR(__xludf.DUMMYFUNCTION("""COMPUTED_VALUE"""),"")</f>
        <v/>
      </c>
      <c r="J104" s="53" t="str">
        <f>IFERROR(__xludf.DUMMYFUNCTION("""COMPUTED_VALUE"""),"")</f>
        <v/>
      </c>
      <c r="K104" s="54" t="str">
        <f>IFERROR(__xludf.DUMMYFUNCTION("""COMPUTED_VALUE"""),"")</f>
        <v/>
      </c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6"/>
      <c r="W104" s="56"/>
      <c r="X104" s="56"/>
      <c r="Y104" s="56"/>
      <c r="Z104" s="57"/>
      <c r="AA104" s="58"/>
      <c r="AB104" s="59"/>
    </row>
    <row r="105" ht="13.5" customHeight="1">
      <c r="A105" s="60" t="str">
        <f>IFERROR(__xludf.DUMMYFUNCTION("""COMPUTED_VALUE"""),"")</f>
        <v/>
      </c>
      <c r="B105" s="64" t="str">
        <f>IFERROR(__xludf.DUMMYFUNCTION("""COMPUTED_VALUE"""),"")</f>
        <v/>
      </c>
      <c r="C105" s="63" t="str">
        <f>IFERROR(__xludf.DUMMYFUNCTION("""COMPUTED_VALUE"""),"")</f>
        <v/>
      </c>
      <c r="D105" s="63" t="str">
        <f>IFERROR(__xludf.DUMMYFUNCTION("""COMPUTED_VALUE"""),"")</f>
        <v/>
      </c>
      <c r="E105" s="51" t="str">
        <f>IFERROR(__xludf.DUMMYFUNCTION("""COMPUTED_VALUE"""),"")</f>
        <v/>
      </c>
      <c r="F105" s="64" t="str">
        <f>IFERROR(__xludf.DUMMYFUNCTION("""COMPUTED_VALUE"""),"")</f>
        <v/>
      </c>
      <c r="G105" s="52" t="str">
        <f>IFERROR(__xludf.DUMMYFUNCTION("""COMPUTED_VALUE"""),"")</f>
        <v/>
      </c>
      <c r="H105" s="53" t="str">
        <f>IFERROR(__xludf.DUMMYFUNCTION("""COMPUTED_VALUE"""),"")</f>
        <v/>
      </c>
      <c r="I105" s="53" t="str">
        <f>IFERROR(__xludf.DUMMYFUNCTION("""COMPUTED_VALUE"""),"")</f>
        <v/>
      </c>
      <c r="J105" s="53" t="str">
        <f>IFERROR(__xludf.DUMMYFUNCTION("""COMPUTED_VALUE"""),"")</f>
        <v/>
      </c>
      <c r="K105" s="54" t="str">
        <f>IFERROR(__xludf.DUMMYFUNCTION("""COMPUTED_VALUE"""),"")</f>
        <v/>
      </c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6"/>
      <c r="W105" s="56"/>
      <c r="X105" s="56"/>
      <c r="Y105" s="56"/>
      <c r="Z105" s="57"/>
      <c r="AA105" s="58"/>
      <c r="AB105" s="59"/>
    </row>
    <row r="106" ht="13.5" customHeight="1">
      <c r="A106" s="60" t="str">
        <f>IFERROR(__xludf.DUMMYFUNCTION("""COMPUTED_VALUE"""),"")</f>
        <v/>
      </c>
      <c r="B106" s="64" t="str">
        <f>IFERROR(__xludf.DUMMYFUNCTION("""COMPUTED_VALUE"""),"")</f>
        <v/>
      </c>
      <c r="C106" s="63" t="str">
        <f>IFERROR(__xludf.DUMMYFUNCTION("""COMPUTED_VALUE"""),"")</f>
        <v/>
      </c>
      <c r="D106" s="63" t="str">
        <f>IFERROR(__xludf.DUMMYFUNCTION("""COMPUTED_VALUE"""),"")</f>
        <v/>
      </c>
      <c r="E106" s="51" t="str">
        <f>IFERROR(__xludf.DUMMYFUNCTION("""COMPUTED_VALUE"""),"")</f>
        <v/>
      </c>
      <c r="F106" s="64" t="str">
        <f>IFERROR(__xludf.DUMMYFUNCTION("""COMPUTED_VALUE"""),"")</f>
        <v/>
      </c>
      <c r="G106" s="52" t="str">
        <f>IFERROR(__xludf.DUMMYFUNCTION("""COMPUTED_VALUE"""),"")</f>
        <v/>
      </c>
      <c r="H106" s="53" t="str">
        <f>IFERROR(__xludf.DUMMYFUNCTION("""COMPUTED_VALUE"""),"")</f>
        <v/>
      </c>
      <c r="I106" s="53" t="str">
        <f>IFERROR(__xludf.DUMMYFUNCTION("""COMPUTED_VALUE"""),"")</f>
        <v/>
      </c>
      <c r="J106" s="53" t="str">
        <f>IFERROR(__xludf.DUMMYFUNCTION("""COMPUTED_VALUE"""),"")</f>
        <v/>
      </c>
      <c r="K106" s="54" t="str">
        <f>IFERROR(__xludf.DUMMYFUNCTION("""COMPUTED_VALUE"""),"")</f>
        <v/>
      </c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6"/>
      <c r="W106" s="56"/>
      <c r="X106" s="56"/>
      <c r="Y106" s="56"/>
      <c r="Z106" s="57"/>
      <c r="AA106" s="58"/>
      <c r="AB106" s="59"/>
    </row>
    <row r="107" ht="13.5" customHeight="1">
      <c r="A107" s="60" t="str">
        <f>IFERROR(__xludf.DUMMYFUNCTION("""COMPUTED_VALUE"""),"")</f>
        <v/>
      </c>
      <c r="B107" s="64" t="str">
        <f>IFERROR(__xludf.DUMMYFUNCTION("""COMPUTED_VALUE"""),"")</f>
        <v/>
      </c>
      <c r="C107" s="63" t="str">
        <f>IFERROR(__xludf.DUMMYFUNCTION("""COMPUTED_VALUE"""),"")</f>
        <v/>
      </c>
      <c r="D107" s="63" t="str">
        <f>IFERROR(__xludf.DUMMYFUNCTION("""COMPUTED_VALUE"""),"")</f>
        <v/>
      </c>
      <c r="E107" s="51" t="str">
        <f>IFERROR(__xludf.DUMMYFUNCTION("""COMPUTED_VALUE"""),"")</f>
        <v/>
      </c>
      <c r="F107" s="64" t="str">
        <f>IFERROR(__xludf.DUMMYFUNCTION("""COMPUTED_VALUE"""),"")</f>
        <v/>
      </c>
      <c r="G107" s="52" t="str">
        <f>IFERROR(__xludf.DUMMYFUNCTION("""COMPUTED_VALUE"""),"")</f>
        <v/>
      </c>
      <c r="H107" s="53" t="str">
        <f>IFERROR(__xludf.DUMMYFUNCTION("""COMPUTED_VALUE"""),"")</f>
        <v/>
      </c>
      <c r="I107" s="53" t="str">
        <f>IFERROR(__xludf.DUMMYFUNCTION("""COMPUTED_VALUE"""),"")</f>
        <v/>
      </c>
      <c r="J107" s="53" t="str">
        <f>IFERROR(__xludf.DUMMYFUNCTION("""COMPUTED_VALUE"""),"")</f>
        <v/>
      </c>
      <c r="K107" s="54" t="str">
        <f>IFERROR(__xludf.DUMMYFUNCTION("""COMPUTED_VALUE"""),"")</f>
        <v/>
      </c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6"/>
      <c r="W107" s="56"/>
      <c r="X107" s="56"/>
      <c r="Y107" s="56"/>
      <c r="Z107" s="57"/>
      <c r="AA107" s="58"/>
      <c r="AB107" s="59"/>
    </row>
    <row r="108" ht="13.5" customHeight="1">
      <c r="A108" s="60" t="str">
        <f>IFERROR(__xludf.DUMMYFUNCTION("""COMPUTED_VALUE"""),"")</f>
        <v/>
      </c>
      <c r="B108" s="64" t="str">
        <f>IFERROR(__xludf.DUMMYFUNCTION("""COMPUTED_VALUE"""),"")</f>
        <v/>
      </c>
      <c r="C108" s="63" t="str">
        <f>IFERROR(__xludf.DUMMYFUNCTION("""COMPUTED_VALUE"""),"")</f>
        <v/>
      </c>
      <c r="D108" s="63" t="str">
        <f>IFERROR(__xludf.DUMMYFUNCTION("""COMPUTED_VALUE"""),"")</f>
        <v/>
      </c>
      <c r="E108" s="51" t="str">
        <f>IFERROR(__xludf.DUMMYFUNCTION("""COMPUTED_VALUE"""),"")</f>
        <v/>
      </c>
      <c r="F108" s="64" t="str">
        <f>IFERROR(__xludf.DUMMYFUNCTION("""COMPUTED_VALUE"""),"")</f>
        <v/>
      </c>
      <c r="G108" s="52" t="str">
        <f>IFERROR(__xludf.DUMMYFUNCTION("""COMPUTED_VALUE"""),"")</f>
        <v/>
      </c>
      <c r="H108" s="53" t="str">
        <f>IFERROR(__xludf.DUMMYFUNCTION("""COMPUTED_VALUE"""),"")</f>
        <v/>
      </c>
      <c r="I108" s="53" t="str">
        <f>IFERROR(__xludf.DUMMYFUNCTION("""COMPUTED_VALUE"""),"")</f>
        <v/>
      </c>
      <c r="J108" s="53" t="str">
        <f>IFERROR(__xludf.DUMMYFUNCTION("""COMPUTED_VALUE"""),"")</f>
        <v/>
      </c>
      <c r="K108" s="54" t="str">
        <f>IFERROR(__xludf.DUMMYFUNCTION("""COMPUTED_VALUE"""),"")</f>
        <v/>
      </c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6"/>
      <c r="W108" s="56"/>
      <c r="X108" s="56"/>
      <c r="Y108" s="56"/>
      <c r="Z108" s="57"/>
      <c r="AA108" s="58"/>
      <c r="AB108" s="59"/>
    </row>
    <row r="109" ht="13.5" customHeight="1">
      <c r="A109" s="60" t="str">
        <f>IFERROR(__xludf.DUMMYFUNCTION("""COMPUTED_VALUE"""),"")</f>
        <v/>
      </c>
      <c r="B109" s="64" t="str">
        <f>IFERROR(__xludf.DUMMYFUNCTION("""COMPUTED_VALUE"""),"")</f>
        <v/>
      </c>
      <c r="C109" s="63" t="str">
        <f>IFERROR(__xludf.DUMMYFUNCTION("""COMPUTED_VALUE"""),"")</f>
        <v/>
      </c>
      <c r="D109" s="63" t="str">
        <f>IFERROR(__xludf.DUMMYFUNCTION("""COMPUTED_VALUE"""),"")</f>
        <v/>
      </c>
      <c r="E109" s="51" t="str">
        <f>IFERROR(__xludf.DUMMYFUNCTION("""COMPUTED_VALUE"""),"")</f>
        <v/>
      </c>
      <c r="F109" s="64" t="str">
        <f>IFERROR(__xludf.DUMMYFUNCTION("""COMPUTED_VALUE"""),"")</f>
        <v/>
      </c>
      <c r="G109" s="52" t="str">
        <f>IFERROR(__xludf.DUMMYFUNCTION("""COMPUTED_VALUE"""),"")</f>
        <v/>
      </c>
      <c r="H109" s="53" t="str">
        <f>IFERROR(__xludf.DUMMYFUNCTION("""COMPUTED_VALUE"""),"")</f>
        <v/>
      </c>
      <c r="I109" s="53" t="str">
        <f>IFERROR(__xludf.DUMMYFUNCTION("""COMPUTED_VALUE"""),"")</f>
        <v/>
      </c>
      <c r="J109" s="53" t="str">
        <f>IFERROR(__xludf.DUMMYFUNCTION("""COMPUTED_VALUE"""),"")</f>
        <v/>
      </c>
      <c r="K109" s="54" t="str">
        <f>IFERROR(__xludf.DUMMYFUNCTION("""COMPUTED_VALUE"""),"")</f>
        <v/>
      </c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6"/>
      <c r="W109" s="56"/>
      <c r="X109" s="56"/>
      <c r="Y109" s="56"/>
      <c r="Z109" s="57"/>
      <c r="AA109" s="58"/>
      <c r="AB109" s="59"/>
    </row>
    <row r="110" ht="13.5" customHeight="1">
      <c r="A110" s="60" t="str">
        <f>IFERROR(__xludf.DUMMYFUNCTION("""COMPUTED_VALUE"""),"")</f>
        <v/>
      </c>
      <c r="B110" s="64" t="str">
        <f>IFERROR(__xludf.DUMMYFUNCTION("""COMPUTED_VALUE"""),"")</f>
        <v/>
      </c>
      <c r="C110" s="63" t="str">
        <f>IFERROR(__xludf.DUMMYFUNCTION("""COMPUTED_VALUE"""),"")</f>
        <v/>
      </c>
      <c r="D110" s="63" t="str">
        <f>IFERROR(__xludf.DUMMYFUNCTION("""COMPUTED_VALUE"""),"")</f>
        <v/>
      </c>
      <c r="E110" s="51" t="str">
        <f>IFERROR(__xludf.DUMMYFUNCTION("""COMPUTED_VALUE"""),"")</f>
        <v/>
      </c>
      <c r="F110" s="64" t="str">
        <f>IFERROR(__xludf.DUMMYFUNCTION("""COMPUTED_VALUE"""),"")</f>
        <v/>
      </c>
      <c r="G110" s="52" t="str">
        <f>IFERROR(__xludf.DUMMYFUNCTION("""COMPUTED_VALUE"""),"")</f>
        <v/>
      </c>
      <c r="H110" s="53" t="str">
        <f>IFERROR(__xludf.DUMMYFUNCTION("""COMPUTED_VALUE"""),"")</f>
        <v/>
      </c>
      <c r="I110" s="53" t="str">
        <f>IFERROR(__xludf.DUMMYFUNCTION("""COMPUTED_VALUE"""),"")</f>
        <v/>
      </c>
      <c r="J110" s="53" t="str">
        <f>IFERROR(__xludf.DUMMYFUNCTION("""COMPUTED_VALUE"""),"")</f>
        <v/>
      </c>
      <c r="K110" s="54" t="str">
        <f>IFERROR(__xludf.DUMMYFUNCTION("""COMPUTED_VALUE"""),"")</f>
        <v/>
      </c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6"/>
      <c r="W110" s="56"/>
      <c r="X110" s="56"/>
      <c r="Y110" s="56"/>
      <c r="Z110" s="57"/>
      <c r="AA110" s="58"/>
      <c r="AB110" s="59"/>
    </row>
    <row r="111" ht="13.5" customHeight="1">
      <c r="A111" s="60" t="str">
        <f>IFERROR(__xludf.DUMMYFUNCTION("""COMPUTED_VALUE"""),"")</f>
        <v/>
      </c>
      <c r="B111" s="64" t="str">
        <f>IFERROR(__xludf.DUMMYFUNCTION("""COMPUTED_VALUE"""),"")</f>
        <v/>
      </c>
      <c r="C111" s="63" t="str">
        <f>IFERROR(__xludf.DUMMYFUNCTION("""COMPUTED_VALUE"""),"")</f>
        <v/>
      </c>
      <c r="D111" s="63" t="str">
        <f>IFERROR(__xludf.DUMMYFUNCTION("""COMPUTED_VALUE"""),"")</f>
        <v/>
      </c>
      <c r="E111" s="51" t="str">
        <f>IFERROR(__xludf.DUMMYFUNCTION("""COMPUTED_VALUE"""),"")</f>
        <v/>
      </c>
      <c r="F111" s="64" t="str">
        <f>IFERROR(__xludf.DUMMYFUNCTION("""COMPUTED_VALUE"""),"")</f>
        <v/>
      </c>
      <c r="G111" s="52" t="str">
        <f>IFERROR(__xludf.DUMMYFUNCTION("""COMPUTED_VALUE"""),"")</f>
        <v/>
      </c>
      <c r="H111" s="53" t="str">
        <f>IFERROR(__xludf.DUMMYFUNCTION("""COMPUTED_VALUE"""),"")</f>
        <v/>
      </c>
      <c r="I111" s="53" t="str">
        <f>IFERROR(__xludf.DUMMYFUNCTION("""COMPUTED_VALUE"""),"")</f>
        <v/>
      </c>
      <c r="J111" s="53" t="str">
        <f>IFERROR(__xludf.DUMMYFUNCTION("""COMPUTED_VALUE"""),"")</f>
        <v/>
      </c>
      <c r="K111" s="54" t="str">
        <f>IFERROR(__xludf.DUMMYFUNCTION("""COMPUTED_VALUE"""),"")</f>
        <v/>
      </c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6"/>
      <c r="W111" s="56"/>
      <c r="X111" s="56"/>
      <c r="Y111" s="56"/>
      <c r="Z111" s="57"/>
      <c r="AA111" s="58"/>
      <c r="AB111" s="59"/>
    </row>
    <row r="112" ht="13.5" customHeight="1">
      <c r="A112" s="60" t="str">
        <f>IFERROR(__xludf.DUMMYFUNCTION("""COMPUTED_VALUE"""),"")</f>
        <v/>
      </c>
      <c r="B112" s="64" t="str">
        <f>IFERROR(__xludf.DUMMYFUNCTION("""COMPUTED_VALUE"""),"")</f>
        <v/>
      </c>
      <c r="C112" s="63" t="str">
        <f>IFERROR(__xludf.DUMMYFUNCTION("""COMPUTED_VALUE"""),"")</f>
        <v/>
      </c>
      <c r="D112" s="63" t="str">
        <f>IFERROR(__xludf.DUMMYFUNCTION("""COMPUTED_VALUE"""),"")</f>
        <v/>
      </c>
      <c r="E112" s="51" t="str">
        <f>IFERROR(__xludf.DUMMYFUNCTION("""COMPUTED_VALUE"""),"")</f>
        <v/>
      </c>
      <c r="F112" s="64" t="str">
        <f>IFERROR(__xludf.DUMMYFUNCTION("""COMPUTED_VALUE"""),"")</f>
        <v/>
      </c>
      <c r="G112" s="52" t="str">
        <f>IFERROR(__xludf.DUMMYFUNCTION("""COMPUTED_VALUE"""),"")</f>
        <v/>
      </c>
      <c r="H112" s="53" t="str">
        <f>IFERROR(__xludf.DUMMYFUNCTION("""COMPUTED_VALUE"""),"")</f>
        <v/>
      </c>
      <c r="I112" s="53" t="str">
        <f>IFERROR(__xludf.DUMMYFUNCTION("""COMPUTED_VALUE"""),"")</f>
        <v/>
      </c>
      <c r="J112" s="53" t="str">
        <f>IFERROR(__xludf.DUMMYFUNCTION("""COMPUTED_VALUE"""),"")</f>
        <v/>
      </c>
      <c r="K112" s="54" t="str">
        <f>IFERROR(__xludf.DUMMYFUNCTION("""COMPUTED_VALUE"""),"")</f>
        <v/>
      </c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6"/>
      <c r="W112" s="56"/>
      <c r="X112" s="56"/>
      <c r="Y112" s="56"/>
      <c r="Z112" s="57"/>
      <c r="AA112" s="58"/>
      <c r="AB112" s="59"/>
    </row>
    <row r="113" ht="13.5" customHeight="1">
      <c r="A113" s="60" t="str">
        <f>IFERROR(__xludf.DUMMYFUNCTION("""COMPUTED_VALUE"""),"")</f>
        <v/>
      </c>
      <c r="B113" s="64" t="str">
        <f>IFERROR(__xludf.DUMMYFUNCTION("""COMPUTED_VALUE"""),"")</f>
        <v/>
      </c>
      <c r="C113" s="63" t="str">
        <f>IFERROR(__xludf.DUMMYFUNCTION("""COMPUTED_VALUE"""),"")</f>
        <v/>
      </c>
      <c r="D113" s="63" t="str">
        <f>IFERROR(__xludf.DUMMYFUNCTION("""COMPUTED_VALUE"""),"")</f>
        <v/>
      </c>
      <c r="E113" s="51" t="str">
        <f>IFERROR(__xludf.DUMMYFUNCTION("""COMPUTED_VALUE"""),"")</f>
        <v/>
      </c>
      <c r="F113" s="64" t="str">
        <f>IFERROR(__xludf.DUMMYFUNCTION("""COMPUTED_VALUE"""),"")</f>
        <v/>
      </c>
      <c r="G113" s="52" t="str">
        <f>IFERROR(__xludf.DUMMYFUNCTION("""COMPUTED_VALUE"""),"")</f>
        <v/>
      </c>
      <c r="H113" s="53" t="str">
        <f>IFERROR(__xludf.DUMMYFUNCTION("""COMPUTED_VALUE"""),"")</f>
        <v/>
      </c>
      <c r="I113" s="53" t="str">
        <f>IFERROR(__xludf.DUMMYFUNCTION("""COMPUTED_VALUE"""),"")</f>
        <v/>
      </c>
      <c r="J113" s="53" t="str">
        <f>IFERROR(__xludf.DUMMYFUNCTION("""COMPUTED_VALUE"""),"")</f>
        <v/>
      </c>
      <c r="K113" s="54" t="str">
        <f>IFERROR(__xludf.DUMMYFUNCTION("""COMPUTED_VALUE"""),"")</f>
        <v/>
      </c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6"/>
      <c r="W113" s="56"/>
      <c r="X113" s="56"/>
      <c r="Y113" s="56"/>
      <c r="Z113" s="57"/>
      <c r="AA113" s="58"/>
      <c r="AB113" s="59"/>
    </row>
    <row r="114" ht="13.5" customHeight="1">
      <c r="A114" s="60" t="str">
        <f>IFERROR(__xludf.DUMMYFUNCTION("""COMPUTED_VALUE"""),"")</f>
        <v/>
      </c>
      <c r="B114" s="64" t="str">
        <f>IFERROR(__xludf.DUMMYFUNCTION("""COMPUTED_VALUE"""),"")</f>
        <v/>
      </c>
      <c r="C114" s="63" t="str">
        <f>IFERROR(__xludf.DUMMYFUNCTION("""COMPUTED_VALUE"""),"")</f>
        <v/>
      </c>
      <c r="D114" s="63" t="str">
        <f>IFERROR(__xludf.DUMMYFUNCTION("""COMPUTED_VALUE"""),"")</f>
        <v/>
      </c>
      <c r="E114" s="51" t="str">
        <f>IFERROR(__xludf.DUMMYFUNCTION("""COMPUTED_VALUE"""),"")</f>
        <v/>
      </c>
      <c r="F114" s="64" t="str">
        <f>IFERROR(__xludf.DUMMYFUNCTION("""COMPUTED_VALUE"""),"")</f>
        <v/>
      </c>
      <c r="G114" s="52" t="str">
        <f>IFERROR(__xludf.DUMMYFUNCTION("""COMPUTED_VALUE"""),"")</f>
        <v/>
      </c>
      <c r="H114" s="53" t="str">
        <f>IFERROR(__xludf.DUMMYFUNCTION("""COMPUTED_VALUE"""),"")</f>
        <v/>
      </c>
      <c r="I114" s="53" t="str">
        <f>IFERROR(__xludf.DUMMYFUNCTION("""COMPUTED_VALUE"""),"")</f>
        <v/>
      </c>
      <c r="J114" s="53" t="str">
        <f>IFERROR(__xludf.DUMMYFUNCTION("""COMPUTED_VALUE"""),"")</f>
        <v/>
      </c>
      <c r="K114" s="54" t="str">
        <f>IFERROR(__xludf.DUMMYFUNCTION("""COMPUTED_VALUE"""),"")</f>
        <v/>
      </c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6"/>
      <c r="W114" s="56"/>
      <c r="X114" s="56"/>
      <c r="Y114" s="56"/>
      <c r="Z114" s="57"/>
      <c r="AA114" s="58"/>
      <c r="AB114" s="59"/>
    </row>
    <row r="115" ht="13.5" customHeight="1">
      <c r="A115" s="60" t="str">
        <f>IFERROR(__xludf.DUMMYFUNCTION("""COMPUTED_VALUE"""),"")</f>
        <v/>
      </c>
      <c r="B115" s="64" t="str">
        <f>IFERROR(__xludf.DUMMYFUNCTION("""COMPUTED_VALUE"""),"")</f>
        <v/>
      </c>
      <c r="C115" s="63" t="str">
        <f>IFERROR(__xludf.DUMMYFUNCTION("""COMPUTED_VALUE"""),"")</f>
        <v/>
      </c>
      <c r="D115" s="63" t="str">
        <f>IFERROR(__xludf.DUMMYFUNCTION("""COMPUTED_VALUE"""),"")</f>
        <v/>
      </c>
      <c r="E115" s="51" t="str">
        <f>IFERROR(__xludf.DUMMYFUNCTION("""COMPUTED_VALUE"""),"")</f>
        <v/>
      </c>
      <c r="F115" s="64" t="str">
        <f>IFERROR(__xludf.DUMMYFUNCTION("""COMPUTED_VALUE"""),"")</f>
        <v/>
      </c>
      <c r="G115" s="52" t="str">
        <f>IFERROR(__xludf.DUMMYFUNCTION("""COMPUTED_VALUE"""),"")</f>
        <v/>
      </c>
      <c r="H115" s="53" t="str">
        <f>IFERROR(__xludf.DUMMYFUNCTION("""COMPUTED_VALUE"""),"")</f>
        <v/>
      </c>
      <c r="I115" s="53" t="str">
        <f>IFERROR(__xludf.DUMMYFUNCTION("""COMPUTED_VALUE"""),"")</f>
        <v/>
      </c>
      <c r="J115" s="53" t="str">
        <f>IFERROR(__xludf.DUMMYFUNCTION("""COMPUTED_VALUE"""),"")</f>
        <v/>
      </c>
      <c r="K115" s="54" t="str">
        <f>IFERROR(__xludf.DUMMYFUNCTION("""COMPUTED_VALUE"""),"")</f>
        <v/>
      </c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6"/>
      <c r="W115" s="56"/>
      <c r="X115" s="56"/>
      <c r="Y115" s="56"/>
      <c r="Z115" s="57"/>
      <c r="AA115" s="58"/>
      <c r="AB115" s="59"/>
    </row>
    <row r="116" ht="13.5" customHeight="1">
      <c r="A116" s="60" t="str">
        <f>IFERROR(__xludf.DUMMYFUNCTION("""COMPUTED_VALUE"""),"")</f>
        <v/>
      </c>
      <c r="B116" s="64" t="str">
        <f>IFERROR(__xludf.DUMMYFUNCTION("""COMPUTED_VALUE"""),"")</f>
        <v/>
      </c>
      <c r="C116" s="63" t="str">
        <f>IFERROR(__xludf.DUMMYFUNCTION("""COMPUTED_VALUE"""),"")</f>
        <v/>
      </c>
      <c r="D116" s="63" t="str">
        <f>IFERROR(__xludf.DUMMYFUNCTION("""COMPUTED_VALUE"""),"")</f>
        <v/>
      </c>
      <c r="E116" s="51" t="str">
        <f>IFERROR(__xludf.DUMMYFUNCTION("""COMPUTED_VALUE"""),"")</f>
        <v/>
      </c>
      <c r="F116" s="64" t="str">
        <f>IFERROR(__xludf.DUMMYFUNCTION("""COMPUTED_VALUE"""),"")</f>
        <v/>
      </c>
      <c r="G116" s="52" t="str">
        <f>IFERROR(__xludf.DUMMYFUNCTION("""COMPUTED_VALUE"""),"")</f>
        <v/>
      </c>
      <c r="H116" s="53" t="str">
        <f>IFERROR(__xludf.DUMMYFUNCTION("""COMPUTED_VALUE"""),"")</f>
        <v/>
      </c>
      <c r="I116" s="53" t="str">
        <f>IFERROR(__xludf.DUMMYFUNCTION("""COMPUTED_VALUE"""),"")</f>
        <v/>
      </c>
      <c r="J116" s="53" t="str">
        <f>IFERROR(__xludf.DUMMYFUNCTION("""COMPUTED_VALUE"""),"")</f>
        <v/>
      </c>
      <c r="K116" s="54" t="str">
        <f>IFERROR(__xludf.DUMMYFUNCTION("""COMPUTED_VALUE"""),"")</f>
        <v/>
      </c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6"/>
      <c r="W116" s="56"/>
      <c r="X116" s="56"/>
      <c r="Y116" s="56"/>
      <c r="Z116" s="57"/>
      <c r="AA116" s="58"/>
      <c r="AB116" s="59"/>
    </row>
    <row r="117" ht="13.5" customHeight="1">
      <c r="A117" s="60" t="str">
        <f>IFERROR(__xludf.DUMMYFUNCTION("""COMPUTED_VALUE"""),"")</f>
        <v/>
      </c>
      <c r="B117" s="64" t="str">
        <f>IFERROR(__xludf.DUMMYFUNCTION("""COMPUTED_VALUE"""),"")</f>
        <v/>
      </c>
      <c r="C117" s="63" t="str">
        <f>IFERROR(__xludf.DUMMYFUNCTION("""COMPUTED_VALUE"""),"")</f>
        <v/>
      </c>
      <c r="D117" s="63" t="str">
        <f>IFERROR(__xludf.DUMMYFUNCTION("""COMPUTED_VALUE"""),"")</f>
        <v/>
      </c>
      <c r="E117" s="51" t="str">
        <f>IFERROR(__xludf.DUMMYFUNCTION("""COMPUTED_VALUE"""),"")</f>
        <v/>
      </c>
      <c r="F117" s="64" t="str">
        <f>IFERROR(__xludf.DUMMYFUNCTION("""COMPUTED_VALUE"""),"")</f>
        <v/>
      </c>
      <c r="G117" s="52" t="str">
        <f>IFERROR(__xludf.DUMMYFUNCTION("""COMPUTED_VALUE"""),"")</f>
        <v/>
      </c>
      <c r="H117" s="53" t="str">
        <f>IFERROR(__xludf.DUMMYFUNCTION("""COMPUTED_VALUE"""),"")</f>
        <v/>
      </c>
      <c r="I117" s="53" t="str">
        <f>IFERROR(__xludf.DUMMYFUNCTION("""COMPUTED_VALUE"""),"")</f>
        <v/>
      </c>
      <c r="J117" s="53" t="str">
        <f>IFERROR(__xludf.DUMMYFUNCTION("""COMPUTED_VALUE"""),"")</f>
        <v/>
      </c>
      <c r="K117" s="54" t="str">
        <f>IFERROR(__xludf.DUMMYFUNCTION("""COMPUTED_VALUE"""),"")</f>
        <v/>
      </c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6"/>
      <c r="W117" s="56"/>
      <c r="X117" s="56"/>
      <c r="Y117" s="56"/>
      <c r="Z117" s="57"/>
      <c r="AA117" s="58"/>
      <c r="AB117" s="59"/>
    </row>
    <row r="118" ht="13.5" customHeight="1">
      <c r="A118" s="60" t="str">
        <f>IFERROR(__xludf.DUMMYFUNCTION("""COMPUTED_VALUE"""),"")</f>
        <v/>
      </c>
      <c r="B118" s="64" t="str">
        <f>IFERROR(__xludf.DUMMYFUNCTION("""COMPUTED_VALUE"""),"")</f>
        <v/>
      </c>
      <c r="C118" s="63" t="str">
        <f>IFERROR(__xludf.DUMMYFUNCTION("""COMPUTED_VALUE"""),"")</f>
        <v/>
      </c>
      <c r="D118" s="63" t="str">
        <f>IFERROR(__xludf.DUMMYFUNCTION("""COMPUTED_VALUE"""),"")</f>
        <v/>
      </c>
      <c r="E118" s="51" t="str">
        <f>IFERROR(__xludf.DUMMYFUNCTION("""COMPUTED_VALUE"""),"")</f>
        <v/>
      </c>
      <c r="F118" s="64" t="str">
        <f>IFERROR(__xludf.DUMMYFUNCTION("""COMPUTED_VALUE"""),"")</f>
        <v/>
      </c>
      <c r="G118" s="52" t="str">
        <f>IFERROR(__xludf.DUMMYFUNCTION("""COMPUTED_VALUE"""),"")</f>
        <v/>
      </c>
      <c r="H118" s="53" t="str">
        <f>IFERROR(__xludf.DUMMYFUNCTION("""COMPUTED_VALUE"""),"")</f>
        <v/>
      </c>
      <c r="I118" s="53" t="str">
        <f>IFERROR(__xludf.DUMMYFUNCTION("""COMPUTED_VALUE"""),"")</f>
        <v/>
      </c>
      <c r="J118" s="53" t="str">
        <f>IFERROR(__xludf.DUMMYFUNCTION("""COMPUTED_VALUE"""),"")</f>
        <v/>
      </c>
      <c r="K118" s="54" t="str">
        <f>IFERROR(__xludf.DUMMYFUNCTION("""COMPUTED_VALUE"""),"")</f>
        <v/>
      </c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6"/>
      <c r="W118" s="56"/>
      <c r="X118" s="56"/>
      <c r="Y118" s="56"/>
      <c r="Z118" s="57"/>
      <c r="AA118" s="58"/>
      <c r="AB118" s="59"/>
    </row>
    <row r="119" ht="13.5" customHeight="1">
      <c r="A119" s="60" t="str">
        <f>IFERROR(__xludf.DUMMYFUNCTION("""COMPUTED_VALUE"""),"")</f>
        <v/>
      </c>
      <c r="B119" s="64" t="str">
        <f>IFERROR(__xludf.DUMMYFUNCTION("""COMPUTED_VALUE"""),"")</f>
        <v/>
      </c>
      <c r="C119" s="63" t="str">
        <f>IFERROR(__xludf.DUMMYFUNCTION("""COMPUTED_VALUE"""),"")</f>
        <v/>
      </c>
      <c r="D119" s="63" t="str">
        <f>IFERROR(__xludf.DUMMYFUNCTION("""COMPUTED_VALUE"""),"")</f>
        <v/>
      </c>
      <c r="E119" s="51" t="str">
        <f>IFERROR(__xludf.DUMMYFUNCTION("""COMPUTED_VALUE"""),"")</f>
        <v/>
      </c>
      <c r="F119" s="64" t="str">
        <f>IFERROR(__xludf.DUMMYFUNCTION("""COMPUTED_VALUE"""),"")</f>
        <v/>
      </c>
      <c r="G119" s="52" t="str">
        <f>IFERROR(__xludf.DUMMYFUNCTION("""COMPUTED_VALUE"""),"")</f>
        <v/>
      </c>
      <c r="H119" s="53" t="str">
        <f>IFERROR(__xludf.DUMMYFUNCTION("""COMPUTED_VALUE"""),"")</f>
        <v/>
      </c>
      <c r="I119" s="53" t="str">
        <f>IFERROR(__xludf.DUMMYFUNCTION("""COMPUTED_VALUE"""),"")</f>
        <v/>
      </c>
      <c r="J119" s="53" t="str">
        <f>IFERROR(__xludf.DUMMYFUNCTION("""COMPUTED_VALUE"""),"")</f>
        <v/>
      </c>
      <c r="K119" s="54" t="str">
        <f>IFERROR(__xludf.DUMMYFUNCTION("""COMPUTED_VALUE"""),"")</f>
        <v/>
      </c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6"/>
      <c r="W119" s="56"/>
      <c r="X119" s="56"/>
      <c r="Y119" s="56"/>
      <c r="Z119" s="57"/>
      <c r="AA119" s="58"/>
      <c r="AB119" s="59"/>
    </row>
    <row r="120" ht="13.5" customHeight="1">
      <c r="A120" s="60" t="str">
        <f>IFERROR(__xludf.DUMMYFUNCTION("""COMPUTED_VALUE"""),"")</f>
        <v/>
      </c>
      <c r="B120" s="64" t="str">
        <f>IFERROR(__xludf.DUMMYFUNCTION("""COMPUTED_VALUE"""),"")</f>
        <v/>
      </c>
      <c r="C120" s="63" t="str">
        <f>IFERROR(__xludf.DUMMYFUNCTION("""COMPUTED_VALUE"""),"")</f>
        <v/>
      </c>
      <c r="D120" s="63" t="str">
        <f>IFERROR(__xludf.DUMMYFUNCTION("""COMPUTED_VALUE"""),"")</f>
        <v/>
      </c>
      <c r="E120" s="51" t="str">
        <f>IFERROR(__xludf.DUMMYFUNCTION("""COMPUTED_VALUE"""),"")</f>
        <v/>
      </c>
      <c r="F120" s="64" t="str">
        <f>IFERROR(__xludf.DUMMYFUNCTION("""COMPUTED_VALUE"""),"")</f>
        <v/>
      </c>
      <c r="G120" s="52" t="str">
        <f>IFERROR(__xludf.DUMMYFUNCTION("""COMPUTED_VALUE"""),"")</f>
        <v/>
      </c>
      <c r="H120" s="53" t="str">
        <f>IFERROR(__xludf.DUMMYFUNCTION("""COMPUTED_VALUE"""),"")</f>
        <v/>
      </c>
      <c r="I120" s="53" t="str">
        <f>IFERROR(__xludf.DUMMYFUNCTION("""COMPUTED_VALUE"""),"")</f>
        <v/>
      </c>
      <c r="J120" s="53" t="str">
        <f>IFERROR(__xludf.DUMMYFUNCTION("""COMPUTED_VALUE"""),"")</f>
        <v/>
      </c>
      <c r="K120" s="54" t="str">
        <f>IFERROR(__xludf.DUMMYFUNCTION("""COMPUTED_VALUE"""),"")</f>
        <v/>
      </c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6"/>
      <c r="W120" s="56"/>
      <c r="X120" s="56"/>
      <c r="Y120" s="56"/>
      <c r="Z120" s="57"/>
      <c r="AA120" s="58"/>
      <c r="AB120" s="59"/>
    </row>
    <row r="121" ht="13.5" customHeight="1">
      <c r="A121" s="60" t="str">
        <f>IFERROR(__xludf.DUMMYFUNCTION("""COMPUTED_VALUE"""),"")</f>
        <v/>
      </c>
      <c r="B121" s="64" t="str">
        <f>IFERROR(__xludf.DUMMYFUNCTION("""COMPUTED_VALUE"""),"")</f>
        <v/>
      </c>
      <c r="C121" s="63" t="str">
        <f>IFERROR(__xludf.DUMMYFUNCTION("""COMPUTED_VALUE"""),"")</f>
        <v/>
      </c>
      <c r="D121" s="63" t="str">
        <f>IFERROR(__xludf.DUMMYFUNCTION("""COMPUTED_VALUE"""),"")</f>
        <v/>
      </c>
      <c r="E121" s="51" t="str">
        <f>IFERROR(__xludf.DUMMYFUNCTION("""COMPUTED_VALUE"""),"")</f>
        <v/>
      </c>
      <c r="F121" s="64" t="str">
        <f>IFERROR(__xludf.DUMMYFUNCTION("""COMPUTED_VALUE"""),"")</f>
        <v/>
      </c>
      <c r="G121" s="52" t="str">
        <f>IFERROR(__xludf.DUMMYFUNCTION("""COMPUTED_VALUE"""),"")</f>
        <v/>
      </c>
      <c r="H121" s="53" t="str">
        <f>IFERROR(__xludf.DUMMYFUNCTION("""COMPUTED_VALUE"""),"")</f>
        <v/>
      </c>
      <c r="I121" s="53" t="str">
        <f>IFERROR(__xludf.DUMMYFUNCTION("""COMPUTED_VALUE"""),"")</f>
        <v/>
      </c>
      <c r="J121" s="53" t="str">
        <f>IFERROR(__xludf.DUMMYFUNCTION("""COMPUTED_VALUE"""),"")</f>
        <v/>
      </c>
      <c r="K121" s="54" t="str">
        <f>IFERROR(__xludf.DUMMYFUNCTION("""COMPUTED_VALUE"""),"")</f>
        <v/>
      </c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6"/>
      <c r="W121" s="56"/>
      <c r="X121" s="56"/>
      <c r="Y121" s="56"/>
      <c r="Z121" s="57"/>
      <c r="AA121" s="58"/>
      <c r="AB121" s="59"/>
    </row>
    <row r="122" ht="13.5" customHeight="1">
      <c r="A122" s="60" t="str">
        <f>IFERROR(__xludf.DUMMYFUNCTION("""COMPUTED_VALUE"""),"")</f>
        <v/>
      </c>
      <c r="B122" s="64" t="str">
        <f>IFERROR(__xludf.DUMMYFUNCTION("""COMPUTED_VALUE"""),"")</f>
        <v/>
      </c>
      <c r="C122" s="63" t="str">
        <f>IFERROR(__xludf.DUMMYFUNCTION("""COMPUTED_VALUE"""),"")</f>
        <v/>
      </c>
      <c r="D122" s="63" t="str">
        <f>IFERROR(__xludf.DUMMYFUNCTION("""COMPUTED_VALUE"""),"")</f>
        <v/>
      </c>
      <c r="E122" s="51" t="str">
        <f>IFERROR(__xludf.DUMMYFUNCTION("""COMPUTED_VALUE"""),"")</f>
        <v/>
      </c>
      <c r="F122" s="64" t="str">
        <f>IFERROR(__xludf.DUMMYFUNCTION("""COMPUTED_VALUE"""),"")</f>
        <v/>
      </c>
      <c r="G122" s="52" t="str">
        <f>IFERROR(__xludf.DUMMYFUNCTION("""COMPUTED_VALUE"""),"")</f>
        <v/>
      </c>
      <c r="H122" s="53" t="str">
        <f>IFERROR(__xludf.DUMMYFUNCTION("""COMPUTED_VALUE"""),"")</f>
        <v/>
      </c>
      <c r="I122" s="53" t="str">
        <f>IFERROR(__xludf.DUMMYFUNCTION("""COMPUTED_VALUE"""),"")</f>
        <v/>
      </c>
      <c r="J122" s="53" t="str">
        <f>IFERROR(__xludf.DUMMYFUNCTION("""COMPUTED_VALUE"""),"")</f>
        <v/>
      </c>
      <c r="K122" s="54" t="str">
        <f>IFERROR(__xludf.DUMMYFUNCTION("""COMPUTED_VALUE"""),"")</f>
        <v/>
      </c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6"/>
      <c r="W122" s="56"/>
      <c r="X122" s="56"/>
      <c r="Y122" s="56"/>
      <c r="Z122" s="57"/>
      <c r="AA122" s="58"/>
      <c r="AB122" s="59"/>
    </row>
    <row r="123" ht="13.5" customHeight="1">
      <c r="A123" s="60" t="str">
        <f>IFERROR(__xludf.DUMMYFUNCTION("""COMPUTED_VALUE"""),"")</f>
        <v/>
      </c>
      <c r="B123" s="64" t="str">
        <f>IFERROR(__xludf.DUMMYFUNCTION("""COMPUTED_VALUE"""),"")</f>
        <v/>
      </c>
      <c r="C123" s="63" t="str">
        <f>IFERROR(__xludf.DUMMYFUNCTION("""COMPUTED_VALUE"""),"")</f>
        <v/>
      </c>
      <c r="D123" s="63" t="str">
        <f>IFERROR(__xludf.DUMMYFUNCTION("""COMPUTED_VALUE"""),"")</f>
        <v/>
      </c>
      <c r="E123" s="51" t="str">
        <f>IFERROR(__xludf.DUMMYFUNCTION("""COMPUTED_VALUE"""),"")</f>
        <v/>
      </c>
      <c r="F123" s="64" t="str">
        <f>IFERROR(__xludf.DUMMYFUNCTION("""COMPUTED_VALUE"""),"")</f>
        <v/>
      </c>
      <c r="G123" s="52" t="str">
        <f>IFERROR(__xludf.DUMMYFUNCTION("""COMPUTED_VALUE"""),"")</f>
        <v/>
      </c>
      <c r="H123" s="53" t="str">
        <f>IFERROR(__xludf.DUMMYFUNCTION("""COMPUTED_VALUE"""),"")</f>
        <v/>
      </c>
      <c r="I123" s="53" t="str">
        <f>IFERROR(__xludf.DUMMYFUNCTION("""COMPUTED_VALUE"""),"")</f>
        <v/>
      </c>
      <c r="J123" s="53" t="str">
        <f>IFERROR(__xludf.DUMMYFUNCTION("""COMPUTED_VALUE"""),"")</f>
        <v/>
      </c>
      <c r="K123" s="54" t="str">
        <f>IFERROR(__xludf.DUMMYFUNCTION("""COMPUTED_VALUE"""),"")</f>
        <v/>
      </c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6"/>
      <c r="W123" s="56"/>
      <c r="X123" s="56"/>
      <c r="Y123" s="56"/>
      <c r="Z123" s="57"/>
      <c r="AA123" s="58"/>
      <c r="AB123" s="59"/>
    </row>
    <row r="124" ht="13.5" customHeight="1">
      <c r="A124" s="60" t="str">
        <f>IFERROR(__xludf.DUMMYFUNCTION("""COMPUTED_VALUE"""),"")</f>
        <v/>
      </c>
      <c r="B124" s="64" t="str">
        <f>IFERROR(__xludf.DUMMYFUNCTION("""COMPUTED_VALUE"""),"")</f>
        <v/>
      </c>
      <c r="C124" s="63" t="str">
        <f>IFERROR(__xludf.DUMMYFUNCTION("""COMPUTED_VALUE"""),"")</f>
        <v/>
      </c>
      <c r="D124" s="63" t="str">
        <f>IFERROR(__xludf.DUMMYFUNCTION("""COMPUTED_VALUE"""),"")</f>
        <v/>
      </c>
      <c r="E124" s="51" t="str">
        <f>IFERROR(__xludf.DUMMYFUNCTION("""COMPUTED_VALUE"""),"")</f>
        <v/>
      </c>
      <c r="F124" s="64" t="str">
        <f>IFERROR(__xludf.DUMMYFUNCTION("""COMPUTED_VALUE"""),"")</f>
        <v/>
      </c>
      <c r="G124" s="52" t="str">
        <f>IFERROR(__xludf.DUMMYFUNCTION("""COMPUTED_VALUE"""),"")</f>
        <v/>
      </c>
      <c r="H124" s="53" t="str">
        <f>IFERROR(__xludf.DUMMYFUNCTION("""COMPUTED_VALUE"""),"")</f>
        <v/>
      </c>
      <c r="I124" s="53" t="str">
        <f>IFERROR(__xludf.DUMMYFUNCTION("""COMPUTED_VALUE"""),"")</f>
        <v/>
      </c>
      <c r="J124" s="53" t="str">
        <f>IFERROR(__xludf.DUMMYFUNCTION("""COMPUTED_VALUE"""),"")</f>
        <v/>
      </c>
      <c r="K124" s="54" t="str">
        <f>IFERROR(__xludf.DUMMYFUNCTION("""COMPUTED_VALUE"""),"")</f>
        <v/>
      </c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6"/>
      <c r="W124" s="56"/>
      <c r="X124" s="56"/>
      <c r="Y124" s="56"/>
      <c r="Z124" s="57"/>
      <c r="AA124" s="58"/>
      <c r="AB124" s="59"/>
    </row>
    <row r="125" ht="13.5" customHeight="1">
      <c r="A125" s="60" t="str">
        <f>IFERROR(__xludf.DUMMYFUNCTION("""COMPUTED_VALUE"""),"")</f>
        <v/>
      </c>
      <c r="B125" s="64" t="str">
        <f>IFERROR(__xludf.DUMMYFUNCTION("""COMPUTED_VALUE"""),"")</f>
        <v/>
      </c>
      <c r="C125" s="63" t="str">
        <f>IFERROR(__xludf.DUMMYFUNCTION("""COMPUTED_VALUE"""),"")</f>
        <v/>
      </c>
      <c r="D125" s="63" t="str">
        <f>IFERROR(__xludf.DUMMYFUNCTION("""COMPUTED_VALUE"""),"")</f>
        <v/>
      </c>
      <c r="E125" s="51" t="str">
        <f>IFERROR(__xludf.DUMMYFUNCTION("""COMPUTED_VALUE"""),"")</f>
        <v/>
      </c>
      <c r="F125" s="64" t="str">
        <f>IFERROR(__xludf.DUMMYFUNCTION("""COMPUTED_VALUE"""),"")</f>
        <v/>
      </c>
      <c r="G125" s="52" t="str">
        <f>IFERROR(__xludf.DUMMYFUNCTION("""COMPUTED_VALUE"""),"")</f>
        <v/>
      </c>
      <c r="H125" s="53" t="str">
        <f>IFERROR(__xludf.DUMMYFUNCTION("""COMPUTED_VALUE"""),"")</f>
        <v/>
      </c>
      <c r="I125" s="53" t="str">
        <f>IFERROR(__xludf.DUMMYFUNCTION("""COMPUTED_VALUE"""),"")</f>
        <v/>
      </c>
      <c r="J125" s="53" t="str">
        <f>IFERROR(__xludf.DUMMYFUNCTION("""COMPUTED_VALUE"""),"")</f>
        <v/>
      </c>
      <c r="K125" s="54" t="str">
        <f>IFERROR(__xludf.DUMMYFUNCTION("""COMPUTED_VALUE"""),"")</f>
        <v/>
      </c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6"/>
      <c r="W125" s="56"/>
      <c r="X125" s="56"/>
      <c r="Y125" s="56"/>
      <c r="Z125" s="57"/>
      <c r="AA125" s="58"/>
      <c r="AB125" s="59"/>
    </row>
    <row r="126" ht="13.5" customHeight="1">
      <c r="A126" s="60" t="str">
        <f>IFERROR(__xludf.DUMMYFUNCTION("""COMPUTED_VALUE"""),"")</f>
        <v/>
      </c>
      <c r="B126" s="64" t="str">
        <f>IFERROR(__xludf.DUMMYFUNCTION("""COMPUTED_VALUE"""),"")</f>
        <v/>
      </c>
      <c r="C126" s="63" t="str">
        <f>IFERROR(__xludf.DUMMYFUNCTION("""COMPUTED_VALUE"""),"")</f>
        <v/>
      </c>
      <c r="D126" s="63" t="str">
        <f>IFERROR(__xludf.DUMMYFUNCTION("""COMPUTED_VALUE"""),"")</f>
        <v/>
      </c>
      <c r="E126" s="51" t="str">
        <f>IFERROR(__xludf.DUMMYFUNCTION("""COMPUTED_VALUE"""),"")</f>
        <v/>
      </c>
      <c r="F126" s="64" t="str">
        <f>IFERROR(__xludf.DUMMYFUNCTION("""COMPUTED_VALUE"""),"")</f>
        <v/>
      </c>
      <c r="G126" s="52" t="str">
        <f>IFERROR(__xludf.DUMMYFUNCTION("""COMPUTED_VALUE"""),"")</f>
        <v/>
      </c>
      <c r="H126" s="53" t="str">
        <f>IFERROR(__xludf.DUMMYFUNCTION("""COMPUTED_VALUE"""),"")</f>
        <v/>
      </c>
      <c r="I126" s="53" t="str">
        <f>IFERROR(__xludf.DUMMYFUNCTION("""COMPUTED_VALUE"""),"")</f>
        <v/>
      </c>
      <c r="J126" s="53" t="str">
        <f>IFERROR(__xludf.DUMMYFUNCTION("""COMPUTED_VALUE"""),"")</f>
        <v/>
      </c>
      <c r="K126" s="54" t="str">
        <f>IFERROR(__xludf.DUMMYFUNCTION("""COMPUTED_VALUE"""),"")</f>
        <v/>
      </c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6"/>
      <c r="W126" s="56"/>
      <c r="X126" s="56"/>
      <c r="Y126" s="56"/>
      <c r="Z126" s="57"/>
      <c r="AA126" s="58"/>
      <c r="AB126" s="59"/>
    </row>
    <row r="127" ht="13.5" customHeight="1">
      <c r="A127" s="60" t="str">
        <f>IFERROR(__xludf.DUMMYFUNCTION("""COMPUTED_VALUE"""),"")</f>
        <v/>
      </c>
      <c r="B127" s="64" t="str">
        <f>IFERROR(__xludf.DUMMYFUNCTION("""COMPUTED_VALUE"""),"")</f>
        <v/>
      </c>
      <c r="C127" s="63" t="str">
        <f>IFERROR(__xludf.DUMMYFUNCTION("""COMPUTED_VALUE"""),"")</f>
        <v/>
      </c>
      <c r="D127" s="63" t="str">
        <f>IFERROR(__xludf.DUMMYFUNCTION("""COMPUTED_VALUE"""),"")</f>
        <v/>
      </c>
      <c r="E127" s="51" t="str">
        <f>IFERROR(__xludf.DUMMYFUNCTION("""COMPUTED_VALUE"""),"")</f>
        <v/>
      </c>
      <c r="F127" s="64" t="str">
        <f>IFERROR(__xludf.DUMMYFUNCTION("""COMPUTED_VALUE"""),"")</f>
        <v/>
      </c>
      <c r="G127" s="52" t="str">
        <f>IFERROR(__xludf.DUMMYFUNCTION("""COMPUTED_VALUE"""),"")</f>
        <v/>
      </c>
      <c r="H127" s="53" t="str">
        <f>IFERROR(__xludf.DUMMYFUNCTION("""COMPUTED_VALUE"""),"")</f>
        <v/>
      </c>
      <c r="I127" s="53" t="str">
        <f>IFERROR(__xludf.DUMMYFUNCTION("""COMPUTED_VALUE"""),"")</f>
        <v/>
      </c>
      <c r="J127" s="53" t="str">
        <f>IFERROR(__xludf.DUMMYFUNCTION("""COMPUTED_VALUE"""),"")</f>
        <v/>
      </c>
      <c r="K127" s="54" t="str">
        <f>IFERROR(__xludf.DUMMYFUNCTION("""COMPUTED_VALUE"""),"")</f>
        <v/>
      </c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6"/>
      <c r="W127" s="56"/>
      <c r="X127" s="56"/>
      <c r="Y127" s="56"/>
      <c r="Z127" s="57"/>
      <c r="AA127" s="58"/>
      <c r="AB127" s="59"/>
    </row>
    <row r="128" ht="13.5" customHeight="1">
      <c r="A128" s="60" t="str">
        <f>IFERROR(__xludf.DUMMYFUNCTION("""COMPUTED_VALUE"""),"")</f>
        <v/>
      </c>
      <c r="B128" s="64" t="str">
        <f>IFERROR(__xludf.DUMMYFUNCTION("""COMPUTED_VALUE"""),"")</f>
        <v/>
      </c>
      <c r="C128" s="63" t="str">
        <f>IFERROR(__xludf.DUMMYFUNCTION("""COMPUTED_VALUE"""),"")</f>
        <v/>
      </c>
      <c r="D128" s="63" t="str">
        <f>IFERROR(__xludf.DUMMYFUNCTION("""COMPUTED_VALUE"""),"")</f>
        <v/>
      </c>
      <c r="E128" s="51" t="str">
        <f>IFERROR(__xludf.DUMMYFUNCTION("""COMPUTED_VALUE"""),"")</f>
        <v/>
      </c>
      <c r="F128" s="64" t="str">
        <f>IFERROR(__xludf.DUMMYFUNCTION("""COMPUTED_VALUE"""),"")</f>
        <v/>
      </c>
      <c r="G128" s="52" t="str">
        <f>IFERROR(__xludf.DUMMYFUNCTION("""COMPUTED_VALUE"""),"")</f>
        <v/>
      </c>
      <c r="H128" s="53" t="str">
        <f>IFERROR(__xludf.DUMMYFUNCTION("""COMPUTED_VALUE"""),"")</f>
        <v/>
      </c>
      <c r="I128" s="53" t="str">
        <f>IFERROR(__xludf.DUMMYFUNCTION("""COMPUTED_VALUE"""),"")</f>
        <v/>
      </c>
      <c r="J128" s="53" t="str">
        <f>IFERROR(__xludf.DUMMYFUNCTION("""COMPUTED_VALUE"""),"")</f>
        <v/>
      </c>
      <c r="K128" s="54" t="str">
        <f>IFERROR(__xludf.DUMMYFUNCTION("""COMPUTED_VALUE"""),"")</f>
        <v/>
      </c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6"/>
      <c r="W128" s="56"/>
      <c r="X128" s="56"/>
      <c r="Y128" s="56"/>
      <c r="Z128" s="57"/>
      <c r="AA128" s="58"/>
      <c r="AB128" s="59"/>
    </row>
    <row r="129" ht="13.5" customHeight="1">
      <c r="A129" s="60" t="str">
        <f>IFERROR(__xludf.DUMMYFUNCTION("""COMPUTED_VALUE"""),"")</f>
        <v/>
      </c>
      <c r="B129" s="64" t="str">
        <f>IFERROR(__xludf.DUMMYFUNCTION("""COMPUTED_VALUE"""),"")</f>
        <v/>
      </c>
      <c r="C129" s="63" t="str">
        <f>IFERROR(__xludf.DUMMYFUNCTION("""COMPUTED_VALUE"""),"")</f>
        <v/>
      </c>
      <c r="D129" s="63" t="str">
        <f>IFERROR(__xludf.DUMMYFUNCTION("""COMPUTED_VALUE"""),"")</f>
        <v/>
      </c>
      <c r="E129" s="51" t="str">
        <f>IFERROR(__xludf.DUMMYFUNCTION("""COMPUTED_VALUE"""),"")</f>
        <v/>
      </c>
      <c r="F129" s="64" t="str">
        <f>IFERROR(__xludf.DUMMYFUNCTION("""COMPUTED_VALUE"""),"")</f>
        <v/>
      </c>
      <c r="G129" s="52" t="str">
        <f>IFERROR(__xludf.DUMMYFUNCTION("""COMPUTED_VALUE"""),"")</f>
        <v/>
      </c>
      <c r="H129" s="53" t="str">
        <f>IFERROR(__xludf.DUMMYFUNCTION("""COMPUTED_VALUE"""),"")</f>
        <v/>
      </c>
      <c r="I129" s="53" t="str">
        <f>IFERROR(__xludf.DUMMYFUNCTION("""COMPUTED_VALUE"""),"")</f>
        <v/>
      </c>
      <c r="J129" s="53" t="str">
        <f>IFERROR(__xludf.DUMMYFUNCTION("""COMPUTED_VALUE"""),"")</f>
        <v/>
      </c>
      <c r="K129" s="54" t="str">
        <f>IFERROR(__xludf.DUMMYFUNCTION("""COMPUTED_VALUE"""),"")</f>
        <v/>
      </c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6"/>
      <c r="W129" s="56"/>
      <c r="X129" s="56"/>
      <c r="Y129" s="56"/>
      <c r="Z129" s="57"/>
      <c r="AA129" s="58"/>
      <c r="AB129" s="59"/>
    </row>
    <row r="130" ht="13.5" customHeight="1">
      <c r="A130" s="60" t="str">
        <f>IFERROR(__xludf.DUMMYFUNCTION("""COMPUTED_VALUE"""),"")</f>
        <v/>
      </c>
      <c r="B130" s="64" t="str">
        <f>IFERROR(__xludf.DUMMYFUNCTION("""COMPUTED_VALUE"""),"")</f>
        <v/>
      </c>
      <c r="C130" s="63" t="str">
        <f>IFERROR(__xludf.DUMMYFUNCTION("""COMPUTED_VALUE"""),"")</f>
        <v/>
      </c>
      <c r="D130" s="63" t="str">
        <f>IFERROR(__xludf.DUMMYFUNCTION("""COMPUTED_VALUE"""),"")</f>
        <v/>
      </c>
      <c r="E130" s="51" t="str">
        <f>IFERROR(__xludf.DUMMYFUNCTION("""COMPUTED_VALUE"""),"")</f>
        <v/>
      </c>
      <c r="F130" s="64" t="str">
        <f>IFERROR(__xludf.DUMMYFUNCTION("""COMPUTED_VALUE"""),"")</f>
        <v/>
      </c>
      <c r="G130" s="52" t="str">
        <f>IFERROR(__xludf.DUMMYFUNCTION("""COMPUTED_VALUE"""),"")</f>
        <v/>
      </c>
      <c r="H130" s="53" t="str">
        <f>IFERROR(__xludf.DUMMYFUNCTION("""COMPUTED_VALUE"""),"")</f>
        <v/>
      </c>
      <c r="I130" s="53" t="str">
        <f>IFERROR(__xludf.DUMMYFUNCTION("""COMPUTED_VALUE"""),"")</f>
        <v/>
      </c>
      <c r="J130" s="53" t="str">
        <f>IFERROR(__xludf.DUMMYFUNCTION("""COMPUTED_VALUE"""),"")</f>
        <v/>
      </c>
      <c r="K130" s="54" t="str">
        <f>IFERROR(__xludf.DUMMYFUNCTION("""COMPUTED_VALUE"""),"")</f>
        <v/>
      </c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6"/>
      <c r="W130" s="56"/>
      <c r="X130" s="56"/>
      <c r="Y130" s="56"/>
      <c r="Z130" s="57"/>
      <c r="AA130" s="58"/>
      <c r="AB130" s="59"/>
    </row>
    <row r="131" ht="13.5" customHeight="1">
      <c r="A131" s="60" t="str">
        <f>IFERROR(__xludf.DUMMYFUNCTION("""COMPUTED_VALUE"""),"")</f>
        <v/>
      </c>
      <c r="B131" s="64" t="str">
        <f>IFERROR(__xludf.DUMMYFUNCTION("""COMPUTED_VALUE"""),"")</f>
        <v/>
      </c>
      <c r="C131" s="63" t="str">
        <f>IFERROR(__xludf.DUMMYFUNCTION("""COMPUTED_VALUE"""),"")</f>
        <v/>
      </c>
      <c r="D131" s="63" t="str">
        <f>IFERROR(__xludf.DUMMYFUNCTION("""COMPUTED_VALUE"""),"")</f>
        <v/>
      </c>
      <c r="E131" s="51" t="str">
        <f>IFERROR(__xludf.DUMMYFUNCTION("""COMPUTED_VALUE"""),"")</f>
        <v/>
      </c>
      <c r="F131" s="64" t="str">
        <f>IFERROR(__xludf.DUMMYFUNCTION("""COMPUTED_VALUE"""),"")</f>
        <v/>
      </c>
      <c r="G131" s="52" t="str">
        <f>IFERROR(__xludf.DUMMYFUNCTION("""COMPUTED_VALUE"""),"")</f>
        <v/>
      </c>
      <c r="H131" s="53" t="str">
        <f>IFERROR(__xludf.DUMMYFUNCTION("""COMPUTED_VALUE"""),"")</f>
        <v/>
      </c>
      <c r="I131" s="53" t="str">
        <f>IFERROR(__xludf.DUMMYFUNCTION("""COMPUTED_VALUE"""),"")</f>
        <v/>
      </c>
      <c r="J131" s="53" t="str">
        <f>IFERROR(__xludf.DUMMYFUNCTION("""COMPUTED_VALUE"""),"")</f>
        <v/>
      </c>
      <c r="K131" s="54" t="str">
        <f>IFERROR(__xludf.DUMMYFUNCTION("""COMPUTED_VALUE"""),"")</f>
        <v/>
      </c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6"/>
      <c r="W131" s="56"/>
      <c r="X131" s="56"/>
      <c r="Y131" s="56"/>
      <c r="Z131" s="57"/>
      <c r="AA131" s="58"/>
      <c r="AB131" s="59"/>
    </row>
    <row r="132" ht="13.5" customHeight="1">
      <c r="A132" s="60" t="str">
        <f>IFERROR(__xludf.DUMMYFUNCTION("""COMPUTED_VALUE"""),"")</f>
        <v/>
      </c>
      <c r="B132" s="64" t="str">
        <f>IFERROR(__xludf.DUMMYFUNCTION("""COMPUTED_VALUE"""),"")</f>
        <v/>
      </c>
      <c r="C132" s="63" t="str">
        <f>IFERROR(__xludf.DUMMYFUNCTION("""COMPUTED_VALUE"""),"")</f>
        <v/>
      </c>
      <c r="D132" s="63" t="str">
        <f>IFERROR(__xludf.DUMMYFUNCTION("""COMPUTED_VALUE"""),"")</f>
        <v/>
      </c>
      <c r="E132" s="51" t="str">
        <f>IFERROR(__xludf.DUMMYFUNCTION("""COMPUTED_VALUE"""),"")</f>
        <v/>
      </c>
      <c r="F132" s="64" t="str">
        <f>IFERROR(__xludf.DUMMYFUNCTION("""COMPUTED_VALUE"""),"")</f>
        <v/>
      </c>
      <c r="G132" s="52" t="str">
        <f>IFERROR(__xludf.DUMMYFUNCTION("""COMPUTED_VALUE"""),"")</f>
        <v/>
      </c>
      <c r="H132" s="53" t="str">
        <f>IFERROR(__xludf.DUMMYFUNCTION("""COMPUTED_VALUE"""),"")</f>
        <v/>
      </c>
      <c r="I132" s="53" t="str">
        <f>IFERROR(__xludf.DUMMYFUNCTION("""COMPUTED_VALUE"""),"")</f>
        <v/>
      </c>
      <c r="J132" s="53" t="str">
        <f>IFERROR(__xludf.DUMMYFUNCTION("""COMPUTED_VALUE"""),"")</f>
        <v/>
      </c>
      <c r="K132" s="54" t="str">
        <f>IFERROR(__xludf.DUMMYFUNCTION("""COMPUTED_VALUE"""),"")</f>
        <v/>
      </c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6"/>
      <c r="W132" s="56"/>
      <c r="X132" s="56"/>
      <c r="Y132" s="56"/>
      <c r="Z132" s="57"/>
      <c r="AA132" s="58"/>
      <c r="AB132" s="59"/>
    </row>
    <row r="133" ht="13.5" customHeight="1">
      <c r="A133" s="60" t="str">
        <f>IFERROR(__xludf.DUMMYFUNCTION("""COMPUTED_VALUE"""),"")</f>
        <v/>
      </c>
      <c r="B133" s="64" t="str">
        <f>IFERROR(__xludf.DUMMYFUNCTION("""COMPUTED_VALUE"""),"")</f>
        <v/>
      </c>
      <c r="C133" s="63" t="str">
        <f>IFERROR(__xludf.DUMMYFUNCTION("""COMPUTED_VALUE"""),"")</f>
        <v/>
      </c>
      <c r="D133" s="63" t="str">
        <f>IFERROR(__xludf.DUMMYFUNCTION("""COMPUTED_VALUE"""),"")</f>
        <v/>
      </c>
      <c r="E133" s="51" t="str">
        <f>IFERROR(__xludf.DUMMYFUNCTION("""COMPUTED_VALUE"""),"")</f>
        <v/>
      </c>
      <c r="F133" s="64" t="str">
        <f>IFERROR(__xludf.DUMMYFUNCTION("""COMPUTED_VALUE"""),"")</f>
        <v/>
      </c>
      <c r="G133" s="52" t="str">
        <f>IFERROR(__xludf.DUMMYFUNCTION("""COMPUTED_VALUE"""),"")</f>
        <v/>
      </c>
      <c r="H133" s="53" t="str">
        <f>IFERROR(__xludf.DUMMYFUNCTION("""COMPUTED_VALUE"""),"")</f>
        <v/>
      </c>
      <c r="I133" s="53" t="str">
        <f>IFERROR(__xludf.DUMMYFUNCTION("""COMPUTED_VALUE"""),"")</f>
        <v/>
      </c>
      <c r="J133" s="53" t="str">
        <f>IFERROR(__xludf.DUMMYFUNCTION("""COMPUTED_VALUE"""),"")</f>
        <v/>
      </c>
      <c r="K133" s="54" t="str">
        <f>IFERROR(__xludf.DUMMYFUNCTION("""COMPUTED_VALUE"""),"")</f>
        <v/>
      </c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6"/>
      <c r="W133" s="56"/>
      <c r="X133" s="56"/>
      <c r="Y133" s="56"/>
      <c r="Z133" s="57"/>
      <c r="AA133" s="58"/>
      <c r="AB133" s="59"/>
    </row>
    <row r="134" ht="13.5" customHeight="1">
      <c r="A134" s="60" t="str">
        <f>IFERROR(__xludf.DUMMYFUNCTION("""COMPUTED_VALUE"""),"")</f>
        <v/>
      </c>
      <c r="B134" s="64" t="str">
        <f>IFERROR(__xludf.DUMMYFUNCTION("""COMPUTED_VALUE"""),"")</f>
        <v/>
      </c>
      <c r="C134" s="63" t="str">
        <f>IFERROR(__xludf.DUMMYFUNCTION("""COMPUTED_VALUE"""),"")</f>
        <v/>
      </c>
      <c r="D134" s="63" t="str">
        <f>IFERROR(__xludf.DUMMYFUNCTION("""COMPUTED_VALUE"""),"")</f>
        <v/>
      </c>
      <c r="E134" s="51" t="str">
        <f>IFERROR(__xludf.DUMMYFUNCTION("""COMPUTED_VALUE"""),"")</f>
        <v/>
      </c>
      <c r="F134" s="64" t="str">
        <f>IFERROR(__xludf.DUMMYFUNCTION("""COMPUTED_VALUE"""),"")</f>
        <v/>
      </c>
      <c r="G134" s="52" t="str">
        <f>IFERROR(__xludf.DUMMYFUNCTION("""COMPUTED_VALUE"""),"")</f>
        <v/>
      </c>
      <c r="H134" s="53" t="str">
        <f>IFERROR(__xludf.DUMMYFUNCTION("""COMPUTED_VALUE"""),"")</f>
        <v/>
      </c>
      <c r="I134" s="53" t="str">
        <f>IFERROR(__xludf.DUMMYFUNCTION("""COMPUTED_VALUE"""),"")</f>
        <v/>
      </c>
      <c r="J134" s="53" t="str">
        <f>IFERROR(__xludf.DUMMYFUNCTION("""COMPUTED_VALUE"""),"")</f>
        <v/>
      </c>
      <c r="K134" s="54" t="str">
        <f>IFERROR(__xludf.DUMMYFUNCTION("""COMPUTED_VALUE"""),"")</f>
        <v/>
      </c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6"/>
      <c r="W134" s="56"/>
      <c r="X134" s="56"/>
      <c r="Y134" s="56"/>
      <c r="Z134" s="57"/>
      <c r="AA134" s="58"/>
      <c r="AB134" s="59"/>
    </row>
    <row r="135" ht="13.5" customHeight="1">
      <c r="A135" s="60" t="str">
        <f>IFERROR(__xludf.DUMMYFUNCTION("""COMPUTED_VALUE"""),"")</f>
        <v/>
      </c>
      <c r="B135" s="64" t="str">
        <f>IFERROR(__xludf.DUMMYFUNCTION("""COMPUTED_VALUE"""),"")</f>
        <v/>
      </c>
      <c r="C135" s="63" t="str">
        <f>IFERROR(__xludf.DUMMYFUNCTION("""COMPUTED_VALUE"""),"")</f>
        <v/>
      </c>
      <c r="D135" s="63" t="str">
        <f>IFERROR(__xludf.DUMMYFUNCTION("""COMPUTED_VALUE"""),"")</f>
        <v/>
      </c>
      <c r="E135" s="51" t="str">
        <f>IFERROR(__xludf.DUMMYFUNCTION("""COMPUTED_VALUE"""),"")</f>
        <v/>
      </c>
      <c r="F135" s="64" t="str">
        <f>IFERROR(__xludf.DUMMYFUNCTION("""COMPUTED_VALUE"""),"")</f>
        <v/>
      </c>
      <c r="G135" s="52" t="str">
        <f>IFERROR(__xludf.DUMMYFUNCTION("""COMPUTED_VALUE"""),"")</f>
        <v/>
      </c>
      <c r="H135" s="53" t="str">
        <f>IFERROR(__xludf.DUMMYFUNCTION("""COMPUTED_VALUE"""),"")</f>
        <v/>
      </c>
      <c r="I135" s="53" t="str">
        <f>IFERROR(__xludf.DUMMYFUNCTION("""COMPUTED_VALUE"""),"")</f>
        <v/>
      </c>
      <c r="J135" s="53" t="str">
        <f>IFERROR(__xludf.DUMMYFUNCTION("""COMPUTED_VALUE"""),"")</f>
        <v/>
      </c>
      <c r="K135" s="54" t="str">
        <f>IFERROR(__xludf.DUMMYFUNCTION("""COMPUTED_VALUE"""),"")</f>
        <v/>
      </c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6"/>
      <c r="W135" s="56"/>
      <c r="X135" s="56"/>
      <c r="Y135" s="56"/>
      <c r="Z135" s="57"/>
      <c r="AA135" s="58"/>
      <c r="AB135" s="59"/>
    </row>
    <row r="136" ht="13.5" customHeight="1">
      <c r="A136" s="60" t="str">
        <f>IFERROR(__xludf.DUMMYFUNCTION("""COMPUTED_VALUE"""),"")</f>
        <v/>
      </c>
      <c r="B136" s="64" t="str">
        <f>IFERROR(__xludf.DUMMYFUNCTION("""COMPUTED_VALUE"""),"")</f>
        <v/>
      </c>
      <c r="C136" s="63" t="str">
        <f>IFERROR(__xludf.DUMMYFUNCTION("""COMPUTED_VALUE"""),"")</f>
        <v/>
      </c>
      <c r="D136" s="63" t="str">
        <f>IFERROR(__xludf.DUMMYFUNCTION("""COMPUTED_VALUE"""),"")</f>
        <v/>
      </c>
      <c r="E136" s="51" t="str">
        <f>IFERROR(__xludf.DUMMYFUNCTION("""COMPUTED_VALUE"""),"")</f>
        <v/>
      </c>
      <c r="F136" s="64" t="str">
        <f>IFERROR(__xludf.DUMMYFUNCTION("""COMPUTED_VALUE"""),"")</f>
        <v/>
      </c>
      <c r="G136" s="52" t="str">
        <f>IFERROR(__xludf.DUMMYFUNCTION("""COMPUTED_VALUE"""),"")</f>
        <v/>
      </c>
      <c r="H136" s="53" t="str">
        <f>IFERROR(__xludf.DUMMYFUNCTION("""COMPUTED_VALUE"""),"")</f>
        <v/>
      </c>
      <c r="I136" s="53" t="str">
        <f>IFERROR(__xludf.DUMMYFUNCTION("""COMPUTED_VALUE"""),"")</f>
        <v/>
      </c>
      <c r="J136" s="53" t="str">
        <f>IFERROR(__xludf.DUMMYFUNCTION("""COMPUTED_VALUE"""),"")</f>
        <v/>
      </c>
      <c r="K136" s="54" t="str">
        <f>IFERROR(__xludf.DUMMYFUNCTION("""COMPUTED_VALUE"""),"")</f>
        <v/>
      </c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6"/>
      <c r="W136" s="56"/>
      <c r="X136" s="56"/>
      <c r="Y136" s="56"/>
      <c r="Z136" s="57"/>
      <c r="AA136" s="58"/>
      <c r="AB136" s="59"/>
    </row>
    <row r="137" ht="13.5" customHeight="1">
      <c r="A137" s="60" t="str">
        <f>IFERROR(__xludf.DUMMYFUNCTION("""COMPUTED_VALUE"""),"")</f>
        <v/>
      </c>
      <c r="B137" s="64" t="str">
        <f>IFERROR(__xludf.DUMMYFUNCTION("""COMPUTED_VALUE"""),"")</f>
        <v/>
      </c>
      <c r="C137" s="63" t="str">
        <f>IFERROR(__xludf.DUMMYFUNCTION("""COMPUTED_VALUE"""),"")</f>
        <v/>
      </c>
      <c r="D137" s="63" t="str">
        <f>IFERROR(__xludf.DUMMYFUNCTION("""COMPUTED_VALUE"""),"")</f>
        <v/>
      </c>
      <c r="E137" s="51" t="str">
        <f>IFERROR(__xludf.DUMMYFUNCTION("""COMPUTED_VALUE"""),"")</f>
        <v/>
      </c>
      <c r="F137" s="64" t="str">
        <f>IFERROR(__xludf.DUMMYFUNCTION("""COMPUTED_VALUE"""),"")</f>
        <v/>
      </c>
      <c r="G137" s="52" t="str">
        <f>IFERROR(__xludf.DUMMYFUNCTION("""COMPUTED_VALUE"""),"")</f>
        <v/>
      </c>
      <c r="H137" s="53" t="str">
        <f>IFERROR(__xludf.DUMMYFUNCTION("""COMPUTED_VALUE"""),"")</f>
        <v/>
      </c>
      <c r="I137" s="53" t="str">
        <f>IFERROR(__xludf.DUMMYFUNCTION("""COMPUTED_VALUE"""),"")</f>
        <v/>
      </c>
      <c r="J137" s="53" t="str">
        <f>IFERROR(__xludf.DUMMYFUNCTION("""COMPUTED_VALUE"""),"")</f>
        <v/>
      </c>
      <c r="K137" s="54" t="str">
        <f>IFERROR(__xludf.DUMMYFUNCTION("""COMPUTED_VALUE"""),"")</f>
        <v/>
      </c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6"/>
      <c r="W137" s="56"/>
      <c r="X137" s="56"/>
      <c r="Y137" s="56"/>
      <c r="Z137" s="57"/>
      <c r="AA137" s="58"/>
      <c r="AB137" s="59"/>
    </row>
    <row r="138" ht="13.5" customHeight="1">
      <c r="A138" s="60" t="str">
        <f>IFERROR(__xludf.DUMMYFUNCTION("""COMPUTED_VALUE"""),"")</f>
        <v/>
      </c>
      <c r="B138" s="64" t="str">
        <f>IFERROR(__xludf.DUMMYFUNCTION("""COMPUTED_VALUE"""),"")</f>
        <v/>
      </c>
      <c r="C138" s="63" t="str">
        <f>IFERROR(__xludf.DUMMYFUNCTION("""COMPUTED_VALUE"""),"")</f>
        <v/>
      </c>
      <c r="D138" s="63" t="str">
        <f>IFERROR(__xludf.DUMMYFUNCTION("""COMPUTED_VALUE"""),"")</f>
        <v/>
      </c>
      <c r="E138" s="51" t="str">
        <f>IFERROR(__xludf.DUMMYFUNCTION("""COMPUTED_VALUE"""),"")</f>
        <v/>
      </c>
      <c r="F138" s="64" t="str">
        <f>IFERROR(__xludf.DUMMYFUNCTION("""COMPUTED_VALUE"""),"")</f>
        <v/>
      </c>
      <c r="G138" s="52" t="str">
        <f>IFERROR(__xludf.DUMMYFUNCTION("""COMPUTED_VALUE"""),"")</f>
        <v/>
      </c>
      <c r="H138" s="53" t="str">
        <f>IFERROR(__xludf.DUMMYFUNCTION("""COMPUTED_VALUE"""),"")</f>
        <v/>
      </c>
      <c r="I138" s="53" t="str">
        <f>IFERROR(__xludf.DUMMYFUNCTION("""COMPUTED_VALUE"""),"")</f>
        <v/>
      </c>
      <c r="J138" s="53" t="str">
        <f>IFERROR(__xludf.DUMMYFUNCTION("""COMPUTED_VALUE"""),"")</f>
        <v/>
      </c>
      <c r="K138" s="54" t="str">
        <f>IFERROR(__xludf.DUMMYFUNCTION("""COMPUTED_VALUE"""),"")</f>
        <v/>
      </c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6"/>
      <c r="W138" s="56"/>
      <c r="X138" s="56"/>
      <c r="Y138" s="56"/>
      <c r="Z138" s="57"/>
      <c r="AA138" s="58"/>
      <c r="AB138" s="59"/>
    </row>
    <row r="139" ht="13.5" customHeight="1">
      <c r="A139" s="60" t="str">
        <f>IFERROR(__xludf.DUMMYFUNCTION("""COMPUTED_VALUE"""),"")</f>
        <v/>
      </c>
      <c r="B139" s="64" t="str">
        <f>IFERROR(__xludf.DUMMYFUNCTION("""COMPUTED_VALUE"""),"")</f>
        <v/>
      </c>
      <c r="C139" s="63" t="str">
        <f>IFERROR(__xludf.DUMMYFUNCTION("""COMPUTED_VALUE"""),"")</f>
        <v/>
      </c>
      <c r="D139" s="63" t="str">
        <f>IFERROR(__xludf.DUMMYFUNCTION("""COMPUTED_VALUE"""),"")</f>
        <v/>
      </c>
      <c r="E139" s="51" t="str">
        <f>IFERROR(__xludf.DUMMYFUNCTION("""COMPUTED_VALUE"""),"")</f>
        <v/>
      </c>
      <c r="F139" s="64" t="str">
        <f>IFERROR(__xludf.DUMMYFUNCTION("""COMPUTED_VALUE"""),"")</f>
        <v/>
      </c>
      <c r="G139" s="52" t="str">
        <f>IFERROR(__xludf.DUMMYFUNCTION("""COMPUTED_VALUE"""),"")</f>
        <v/>
      </c>
      <c r="H139" s="53" t="str">
        <f>IFERROR(__xludf.DUMMYFUNCTION("""COMPUTED_VALUE"""),"")</f>
        <v/>
      </c>
      <c r="I139" s="53" t="str">
        <f>IFERROR(__xludf.DUMMYFUNCTION("""COMPUTED_VALUE"""),"")</f>
        <v/>
      </c>
      <c r="J139" s="53" t="str">
        <f>IFERROR(__xludf.DUMMYFUNCTION("""COMPUTED_VALUE"""),"")</f>
        <v/>
      </c>
      <c r="K139" s="54" t="str">
        <f>IFERROR(__xludf.DUMMYFUNCTION("""COMPUTED_VALUE"""),"")</f>
        <v/>
      </c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6"/>
      <c r="W139" s="56"/>
      <c r="X139" s="56"/>
      <c r="Y139" s="56"/>
      <c r="Z139" s="57"/>
      <c r="AA139" s="58"/>
      <c r="AB139" s="59"/>
    </row>
    <row r="140" ht="13.5" customHeight="1">
      <c r="A140" s="60" t="str">
        <f>IFERROR(__xludf.DUMMYFUNCTION("""COMPUTED_VALUE"""),"")</f>
        <v/>
      </c>
      <c r="B140" s="64" t="str">
        <f>IFERROR(__xludf.DUMMYFUNCTION("""COMPUTED_VALUE"""),"")</f>
        <v/>
      </c>
      <c r="C140" s="63" t="str">
        <f>IFERROR(__xludf.DUMMYFUNCTION("""COMPUTED_VALUE"""),"")</f>
        <v/>
      </c>
      <c r="D140" s="63" t="str">
        <f>IFERROR(__xludf.DUMMYFUNCTION("""COMPUTED_VALUE"""),"")</f>
        <v/>
      </c>
      <c r="E140" s="51" t="str">
        <f>IFERROR(__xludf.DUMMYFUNCTION("""COMPUTED_VALUE"""),"")</f>
        <v/>
      </c>
      <c r="F140" s="64" t="str">
        <f>IFERROR(__xludf.DUMMYFUNCTION("""COMPUTED_VALUE"""),"")</f>
        <v/>
      </c>
      <c r="G140" s="52" t="str">
        <f>IFERROR(__xludf.DUMMYFUNCTION("""COMPUTED_VALUE"""),"")</f>
        <v/>
      </c>
      <c r="H140" s="53" t="str">
        <f>IFERROR(__xludf.DUMMYFUNCTION("""COMPUTED_VALUE"""),"")</f>
        <v/>
      </c>
      <c r="I140" s="53" t="str">
        <f>IFERROR(__xludf.DUMMYFUNCTION("""COMPUTED_VALUE"""),"")</f>
        <v/>
      </c>
      <c r="J140" s="53" t="str">
        <f>IFERROR(__xludf.DUMMYFUNCTION("""COMPUTED_VALUE"""),"")</f>
        <v/>
      </c>
      <c r="K140" s="54" t="str">
        <f>IFERROR(__xludf.DUMMYFUNCTION("""COMPUTED_VALUE"""),"")</f>
        <v/>
      </c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6"/>
      <c r="W140" s="56"/>
      <c r="X140" s="56"/>
      <c r="Y140" s="56"/>
      <c r="Z140" s="57"/>
      <c r="AA140" s="58"/>
      <c r="AB140" s="59"/>
    </row>
    <row r="141" ht="13.5" customHeight="1">
      <c r="A141" s="60" t="str">
        <f>IFERROR(__xludf.DUMMYFUNCTION("""COMPUTED_VALUE"""),"")</f>
        <v/>
      </c>
      <c r="B141" s="64" t="str">
        <f>IFERROR(__xludf.DUMMYFUNCTION("""COMPUTED_VALUE"""),"")</f>
        <v/>
      </c>
      <c r="C141" s="63" t="str">
        <f>IFERROR(__xludf.DUMMYFUNCTION("""COMPUTED_VALUE"""),"")</f>
        <v/>
      </c>
      <c r="D141" s="63" t="str">
        <f>IFERROR(__xludf.DUMMYFUNCTION("""COMPUTED_VALUE"""),"")</f>
        <v/>
      </c>
      <c r="E141" s="51" t="str">
        <f>IFERROR(__xludf.DUMMYFUNCTION("""COMPUTED_VALUE"""),"")</f>
        <v/>
      </c>
      <c r="F141" s="64" t="str">
        <f>IFERROR(__xludf.DUMMYFUNCTION("""COMPUTED_VALUE"""),"")</f>
        <v/>
      </c>
      <c r="G141" s="52" t="str">
        <f>IFERROR(__xludf.DUMMYFUNCTION("""COMPUTED_VALUE"""),"")</f>
        <v/>
      </c>
      <c r="H141" s="53" t="str">
        <f>IFERROR(__xludf.DUMMYFUNCTION("""COMPUTED_VALUE"""),"")</f>
        <v/>
      </c>
      <c r="I141" s="53" t="str">
        <f>IFERROR(__xludf.DUMMYFUNCTION("""COMPUTED_VALUE"""),"")</f>
        <v/>
      </c>
      <c r="J141" s="53" t="str">
        <f>IFERROR(__xludf.DUMMYFUNCTION("""COMPUTED_VALUE"""),"")</f>
        <v/>
      </c>
      <c r="K141" s="54" t="str">
        <f>IFERROR(__xludf.DUMMYFUNCTION("""COMPUTED_VALUE"""),"")</f>
        <v/>
      </c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6"/>
      <c r="W141" s="56"/>
      <c r="X141" s="56"/>
      <c r="Y141" s="56"/>
      <c r="Z141" s="57"/>
      <c r="AA141" s="58"/>
      <c r="AB141" s="59"/>
    </row>
    <row r="142" ht="13.5" customHeight="1">
      <c r="A142" s="60" t="str">
        <f>IFERROR(__xludf.DUMMYFUNCTION("""COMPUTED_VALUE"""),"")</f>
        <v/>
      </c>
      <c r="B142" s="64" t="str">
        <f>IFERROR(__xludf.DUMMYFUNCTION("""COMPUTED_VALUE"""),"")</f>
        <v/>
      </c>
      <c r="C142" s="63" t="str">
        <f>IFERROR(__xludf.DUMMYFUNCTION("""COMPUTED_VALUE"""),"")</f>
        <v/>
      </c>
      <c r="D142" s="63" t="str">
        <f>IFERROR(__xludf.DUMMYFUNCTION("""COMPUTED_VALUE"""),"")</f>
        <v/>
      </c>
      <c r="E142" s="51" t="str">
        <f>IFERROR(__xludf.DUMMYFUNCTION("""COMPUTED_VALUE"""),"")</f>
        <v/>
      </c>
      <c r="F142" s="64" t="str">
        <f>IFERROR(__xludf.DUMMYFUNCTION("""COMPUTED_VALUE"""),"")</f>
        <v/>
      </c>
      <c r="G142" s="52" t="str">
        <f>IFERROR(__xludf.DUMMYFUNCTION("""COMPUTED_VALUE"""),"")</f>
        <v/>
      </c>
      <c r="H142" s="53" t="str">
        <f>IFERROR(__xludf.DUMMYFUNCTION("""COMPUTED_VALUE"""),"")</f>
        <v/>
      </c>
      <c r="I142" s="53" t="str">
        <f>IFERROR(__xludf.DUMMYFUNCTION("""COMPUTED_VALUE"""),"")</f>
        <v/>
      </c>
      <c r="J142" s="53" t="str">
        <f>IFERROR(__xludf.DUMMYFUNCTION("""COMPUTED_VALUE"""),"")</f>
        <v/>
      </c>
      <c r="K142" s="54" t="str">
        <f>IFERROR(__xludf.DUMMYFUNCTION("""COMPUTED_VALUE"""),"")</f>
        <v/>
      </c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6"/>
      <c r="W142" s="56"/>
      <c r="X142" s="56"/>
      <c r="Y142" s="56"/>
      <c r="Z142" s="57"/>
      <c r="AA142" s="58"/>
      <c r="AB142" s="59"/>
    </row>
    <row r="143" ht="13.5" customHeight="1">
      <c r="A143" s="60" t="str">
        <f>IFERROR(__xludf.DUMMYFUNCTION("""COMPUTED_VALUE"""),"")</f>
        <v/>
      </c>
      <c r="B143" s="64" t="str">
        <f>IFERROR(__xludf.DUMMYFUNCTION("""COMPUTED_VALUE"""),"")</f>
        <v/>
      </c>
      <c r="C143" s="63" t="str">
        <f>IFERROR(__xludf.DUMMYFUNCTION("""COMPUTED_VALUE"""),"")</f>
        <v/>
      </c>
      <c r="D143" s="63" t="str">
        <f>IFERROR(__xludf.DUMMYFUNCTION("""COMPUTED_VALUE"""),"")</f>
        <v/>
      </c>
      <c r="E143" s="51" t="str">
        <f>IFERROR(__xludf.DUMMYFUNCTION("""COMPUTED_VALUE"""),"")</f>
        <v/>
      </c>
      <c r="F143" s="64" t="str">
        <f>IFERROR(__xludf.DUMMYFUNCTION("""COMPUTED_VALUE"""),"")</f>
        <v/>
      </c>
      <c r="G143" s="52" t="str">
        <f>IFERROR(__xludf.DUMMYFUNCTION("""COMPUTED_VALUE"""),"")</f>
        <v/>
      </c>
      <c r="H143" s="53" t="str">
        <f>IFERROR(__xludf.DUMMYFUNCTION("""COMPUTED_VALUE"""),"")</f>
        <v/>
      </c>
      <c r="I143" s="53" t="str">
        <f>IFERROR(__xludf.DUMMYFUNCTION("""COMPUTED_VALUE"""),"")</f>
        <v/>
      </c>
      <c r="J143" s="53" t="str">
        <f>IFERROR(__xludf.DUMMYFUNCTION("""COMPUTED_VALUE"""),"")</f>
        <v/>
      </c>
      <c r="K143" s="54" t="str">
        <f>IFERROR(__xludf.DUMMYFUNCTION("""COMPUTED_VALUE"""),"")</f>
        <v/>
      </c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6"/>
      <c r="W143" s="56"/>
      <c r="X143" s="56"/>
      <c r="Y143" s="56"/>
      <c r="Z143" s="57"/>
      <c r="AA143" s="58"/>
      <c r="AB143" s="59"/>
    </row>
    <row r="144" ht="13.5" customHeight="1">
      <c r="A144" s="60" t="str">
        <f>IFERROR(__xludf.DUMMYFUNCTION("""COMPUTED_VALUE"""),"")</f>
        <v/>
      </c>
      <c r="B144" s="64" t="str">
        <f>IFERROR(__xludf.DUMMYFUNCTION("""COMPUTED_VALUE"""),"")</f>
        <v/>
      </c>
      <c r="C144" s="63" t="str">
        <f>IFERROR(__xludf.DUMMYFUNCTION("""COMPUTED_VALUE"""),"")</f>
        <v/>
      </c>
      <c r="D144" s="63" t="str">
        <f>IFERROR(__xludf.DUMMYFUNCTION("""COMPUTED_VALUE"""),"")</f>
        <v/>
      </c>
      <c r="E144" s="51" t="str">
        <f>IFERROR(__xludf.DUMMYFUNCTION("""COMPUTED_VALUE"""),"")</f>
        <v/>
      </c>
      <c r="F144" s="64" t="str">
        <f>IFERROR(__xludf.DUMMYFUNCTION("""COMPUTED_VALUE"""),"")</f>
        <v/>
      </c>
      <c r="G144" s="52" t="str">
        <f>IFERROR(__xludf.DUMMYFUNCTION("""COMPUTED_VALUE"""),"")</f>
        <v/>
      </c>
      <c r="H144" s="53" t="str">
        <f>IFERROR(__xludf.DUMMYFUNCTION("""COMPUTED_VALUE"""),"")</f>
        <v/>
      </c>
      <c r="I144" s="53" t="str">
        <f>IFERROR(__xludf.DUMMYFUNCTION("""COMPUTED_VALUE"""),"")</f>
        <v/>
      </c>
      <c r="J144" s="53" t="str">
        <f>IFERROR(__xludf.DUMMYFUNCTION("""COMPUTED_VALUE"""),"")</f>
        <v/>
      </c>
      <c r="K144" s="54" t="str">
        <f>IFERROR(__xludf.DUMMYFUNCTION("""COMPUTED_VALUE"""),"")</f>
        <v/>
      </c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6"/>
      <c r="W144" s="56"/>
      <c r="X144" s="56"/>
      <c r="Y144" s="56"/>
      <c r="Z144" s="57"/>
      <c r="AA144" s="58"/>
      <c r="AB144" s="59"/>
    </row>
    <row r="145" ht="13.5" customHeight="1">
      <c r="A145" s="60" t="str">
        <f>IFERROR(__xludf.DUMMYFUNCTION("""COMPUTED_VALUE"""),"")</f>
        <v/>
      </c>
      <c r="B145" s="64" t="str">
        <f>IFERROR(__xludf.DUMMYFUNCTION("""COMPUTED_VALUE"""),"")</f>
        <v/>
      </c>
      <c r="C145" s="63" t="str">
        <f>IFERROR(__xludf.DUMMYFUNCTION("""COMPUTED_VALUE"""),"")</f>
        <v/>
      </c>
      <c r="D145" s="63" t="str">
        <f>IFERROR(__xludf.DUMMYFUNCTION("""COMPUTED_VALUE"""),"")</f>
        <v/>
      </c>
      <c r="E145" s="51" t="str">
        <f>IFERROR(__xludf.DUMMYFUNCTION("""COMPUTED_VALUE"""),"")</f>
        <v/>
      </c>
      <c r="F145" s="64" t="str">
        <f>IFERROR(__xludf.DUMMYFUNCTION("""COMPUTED_VALUE"""),"")</f>
        <v/>
      </c>
      <c r="G145" s="52" t="str">
        <f>IFERROR(__xludf.DUMMYFUNCTION("""COMPUTED_VALUE"""),"")</f>
        <v/>
      </c>
      <c r="H145" s="53" t="str">
        <f>IFERROR(__xludf.DUMMYFUNCTION("""COMPUTED_VALUE"""),"")</f>
        <v/>
      </c>
      <c r="I145" s="53" t="str">
        <f>IFERROR(__xludf.DUMMYFUNCTION("""COMPUTED_VALUE"""),"")</f>
        <v/>
      </c>
      <c r="J145" s="53" t="str">
        <f>IFERROR(__xludf.DUMMYFUNCTION("""COMPUTED_VALUE"""),"")</f>
        <v/>
      </c>
      <c r="K145" s="54" t="str">
        <f>IFERROR(__xludf.DUMMYFUNCTION("""COMPUTED_VALUE"""),"")</f>
        <v/>
      </c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6"/>
      <c r="W145" s="56"/>
      <c r="X145" s="56"/>
      <c r="Y145" s="56"/>
      <c r="Z145" s="57"/>
      <c r="AA145" s="58"/>
      <c r="AB145" s="59"/>
    </row>
    <row r="146" ht="13.5" customHeight="1">
      <c r="A146" s="60" t="str">
        <f>IFERROR(__xludf.DUMMYFUNCTION("""COMPUTED_VALUE"""),"")</f>
        <v/>
      </c>
      <c r="B146" s="64" t="str">
        <f>IFERROR(__xludf.DUMMYFUNCTION("""COMPUTED_VALUE"""),"")</f>
        <v/>
      </c>
      <c r="C146" s="63" t="str">
        <f>IFERROR(__xludf.DUMMYFUNCTION("""COMPUTED_VALUE"""),"")</f>
        <v/>
      </c>
      <c r="D146" s="63" t="str">
        <f>IFERROR(__xludf.DUMMYFUNCTION("""COMPUTED_VALUE"""),"")</f>
        <v/>
      </c>
      <c r="E146" s="51" t="str">
        <f>IFERROR(__xludf.DUMMYFUNCTION("""COMPUTED_VALUE"""),"")</f>
        <v/>
      </c>
      <c r="F146" s="64" t="str">
        <f>IFERROR(__xludf.DUMMYFUNCTION("""COMPUTED_VALUE"""),"")</f>
        <v/>
      </c>
      <c r="G146" s="52" t="str">
        <f>IFERROR(__xludf.DUMMYFUNCTION("""COMPUTED_VALUE"""),"")</f>
        <v/>
      </c>
      <c r="H146" s="53" t="str">
        <f>IFERROR(__xludf.DUMMYFUNCTION("""COMPUTED_VALUE"""),"")</f>
        <v/>
      </c>
      <c r="I146" s="53" t="str">
        <f>IFERROR(__xludf.DUMMYFUNCTION("""COMPUTED_VALUE"""),"")</f>
        <v/>
      </c>
      <c r="J146" s="53" t="str">
        <f>IFERROR(__xludf.DUMMYFUNCTION("""COMPUTED_VALUE"""),"")</f>
        <v/>
      </c>
      <c r="K146" s="54" t="str">
        <f>IFERROR(__xludf.DUMMYFUNCTION("""COMPUTED_VALUE"""),"")</f>
        <v/>
      </c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6"/>
      <c r="W146" s="56"/>
      <c r="X146" s="56"/>
      <c r="Y146" s="56"/>
      <c r="Z146" s="57"/>
      <c r="AA146" s="58"/>
      <c r="AB146" s="59"/>
    </row>
    <row r="147" ht="13.5" customHeight="1">
      <c r="A147" s="60" t="str">
        <f>IFERROR(__xludf.DUMMYFUNCTION("""COMPUTED_VALUE"""),"")</f>
        <v/>
      </c>
      <c r="B147" s="64" t="str">
        <f>IFERROR(__xludf.DUMMYFUNCTION("""COMPUTED_VALUE"""),"")</f>
        <v/>
      </c>
      <c r="C147" s="63" t="str">
        <f>IFERROR(__xludf.DUMMYFUNCTION("""COMPUTED_VALUE"""),"")</f>
        <v/>
      </c>
      <c r="D147" s="63" t="str">
        <f>IFERROR(__xludf.DUMMYFUNCTION("""COMPUTED_VALUE"""),"")</f>
        <v/>
      </c>
      <c r="E147" s="51" t="str">
        <f>IFERROR(__xludf.DUMMYFUNCTION("""COMPUTED_VALUE"""),"")</f>
        <v/>
      </c>
      <c r="F147" s="64" t="str">
        <f>IFERROR(__xludf.DUMMYFUNCTION("""COMPUTED_VALUE"""),"")</f>
        <v/>
      </c>
      <c r="G147" s="52" t="str">
        <f>IFERROR(__xludf.DUMMYFUNCTION("""COMPUTED_VALUE"""),"")</f>
        <v/>
      </c>
      <c r="H147" s="53" t="str">
        <f>IFERROR(__xludf.DUMMYFUNCTION("""COMPUTED_VALUE"""),"")</f>
        <v/>
      </c>
      <c r="I147" s="53" t="str">
        <f>IFERROR(__xludf.DUMMYFUNCTION("""COMPUTED_VALUE"""),"")</f>
        <v/>
      </c>
      <c r="J147" s="53" t="str">
        <f>IFERROR(__xludf.DUMMYFUNCTION("""COMPUTED_VALUE"""),"")</f>
        <v/>
      </c>
      <c r="K147" s="54" t="str">
        <f>IFERROR(__xludf.DUMMYFUNCTION("""COMPUTED_VALUE"""),"")</f>
        <v/>
      </c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6"/>
      <c r="W147" s="56"/>
      <c r="X147" s="56"/>
      <c r="Y147" s="56"/>
      <c r="Z147" s="57"/>
      <c r="AA147" s="58"/>
      <c r="AB147" s="59"/>
    </row>
    <row r="148" ht="13.5" customHeight="1">
      <c r="A148" s="60" t="str">
        <f>IFERROR(__xludf.DUMMYFUNCTION("""COMPUTED_VALUE"""),"")</f>
        <v/>
      </c>
      <c r="B148" s="64" t="str">
        <f>IFERROR(__xludf.DUMMYFUNCTION("""COMPUTED_VALUE"""),"")</f>
        <v/>
      </c>
      <c r="C148" s="63" t="str">
        <f>IFERROR(__xludf.DUMMYFUNCTION("""COMPUTED_VALUE"""),"")</f>
        <v/>
      </c>
      <c r="D148" s="63" t="str">
        <f>IFERROR(__xludf.DUMMYFUNCTION("""COMPUTED_VALUE"""),"")</f>
        <v/>
      </c>
      <c r="E148" s="51" t="str">
        <f>IFERROR(__xludf.DUMMYFUNCTION("""COMPUTED_VALUE"""),"")</f>
        <v/>
      </c>
      <c r="F148" s="64" t="str">
        <f>IFERROR(__xludf.DUMMYFUNCTION("""COMPUTED_VALUE"""),"")</f>
        <v/>
      </c>
      <c r="G148" s="52" t="str">
        <f>IFERROR(__xludf.DUMMYFUNCTION("""COMPUTED_VALUE"""),"")</f>
        <v/>
      </c>
      <c r="H148" s="53" t="str">
        <f>IFERROR(__xludf.DUMMYFUNCTION("""COMPUTED_VALUE"""),"")</f>
        <v/>
      </c>
      <c r="I148" s="53" t="str">
        <f>IFERROR(__xludf.DUMMYFUNCTION("""COMPUTED_VALUE"""),"")</f>
        <v/>
      </c>
      <c r="J148" s="53" t="str">
        <f>IFERROR(__xludf.DUMMYFUNCTION("""COMPUTED_VALUE"""),"")</f>
        <v/>
      </c>
      <c r="K148" s="54" t="str">
        <f>IFERROR(__xludf.DUMMYFUNCTION("""COMPUTED_VALUE"""),"")</f>
        <v/>
      </c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6"/>
      <c r="W148" s="56"/>
      <c r="X148" s="56"/>
      <c r="Y148" s="56"/>
      <c r="Z148" s="57"/>
      <c r="AA148" s="58"/>
      <c r="AB148" s="59"/>
    </row>
    <row r="149" ht="13.5" customHeight="1">
      <c r="A149" s="60" t="str">
        <f>IFERROR(__xludf.DUMMYFUNCTION("""COMPUTED_VALUE"""),"")</f>
        <v/>
      </c>
      <c r="B149" s="64" t="str">
        <f>IFERROR(__xludf.DUMMYFUNCTION("""COMPUTED_VALUE"""),"")</f>
        <v/>
      </c>
      <c r="C149" s="63" t="str">
        <f>IFERROR(__xludf.DUMMYFUNCTION("""COMPUTED_VALUE"""),"")</f>
        <v/>
      </c>
      <c r="D149" s="63" t="str">
        <f>IFERROR(__xludf.DUMMYFUNCTION("""COMPUTED_VALUE"""),"")</f>
        <v/>
      </c>
      <c r="E149" s="51" t="str">
        <f>IFERROR(__xludf.DUMMYFUNCTION("""COMPUTED_VALUE"""),"")</f>
        <v/>
      </c>
      <c r="F149" s="64" t="str">
        <f>IFERROR(__xludf.DUMMYFUNCTION("""COMPUTED_VALUE"""),"")</f>
        <v/>
      </c>
      <c r="G149" s="52" t="str">
        <f>IFERROR(__xludf.DUMMYFUNCTION("""COMPUTED_VALUE"""),"")</f>
        <v/>
      </c>
      <c r="H149" s="53" t="str">
        <f>IFERROR(__xludf.DUMMYFUNCTION("""COMPUTED_VALUE"""),"")</f>
        <v/>
      </c>
      <c r="I149" s="53" t="str">
        <f>IFERROR(__xludf.DUMMYFUNCTION("""COMPUTED_VALUE"""),"")</f>
        <v/>
      </c>
      <c r="J149" s="53" t="str">
        <f>IFERROR(__xludf.DUMMYFUNCTION("""COMPUTED_VALUE"""),"")</f>
        <v/>
      </c>
      <c r="K149" s="54" t="str">
        <f>IFERROR(__xludf.DUMMYFUNCTION("""COMPUTED_VALUE"""),"")</f>
        <v/>
      </c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6"/>
      <c r="W149" s="56"/>
      <c r="X149" s="56"/>
      <c r="Y149" s="56"/>
      <c r="Z149" s="57"/>
      <c r="AA149" s="58"/>
      <c r="AB149" s="59"/>
    </row>
    <row r="150" ht="13.5" customHeight="1">
      <c r="A150" s="60" t="str">
        <f>IFERROR(__xludf.DUMMYFUNCTION("""COMPUTED_VALUE"""),"")</f>
        <v/>
      </c>
      <c r="B150" s="64" t="str">
        <f>IFERROR(__xludf.DUMMYFUNCTION("""COMPUTED_VALUE"""),"")</f>
        <v/>
      </c>
      <c r="C150" s="63" t="str">
        <f>IFERROR(__xludf.DUMMYFUNCTION("""COMPUTED_VALUE"""),"")</f>
        <v/>
      </c>
      <c r="D150" s="63" t="str">
        <f>IFERROR(__xludf.DUMMYFUNCTION("""COMPUTED_VALUE"""),"")</f>
        <v/>
      </c>
      <c r="E150" s="51" t="str">
        <f>IFERROR(__xludf.DUMMYFUNCTION("""COMPUTED_VALUE"""),"")</f>
        <v/>
      </c>
      <c r="F150" s="64" t="str">
        <f>IFERROR(__xludf.DUMMYFUNCTION("""COMPUTED_VALUE"""),"")</f>
        <v/>
      </c>
      <c r="G150" s="52" t="str">
        <f>IFERROR(__xludf.DUMMYFUNCTION("""COMPUTED_VALUE"""),"")</f>
        <v/>
      </c>
      <c r="H150" s="53" t="str">
        <f>IFERROR(__xludf.DUMMYFUNCTION("""COMPUTED_VALUE"""),"")</f>
        <v/>
      </c>
      <c r="I150" s="53" t="str">
        <f>IFERROR(__xludf.DUMMYFUNCTION("""COMPUTED_VALUE"""),"")</f>
        <v/>
      </c>
      <c r="J150" s="53" t="str">
        <f>IFERROR(__xludf.DUMMYFUNCTION("""COMPUTED_VALUE"""),"")</f>
        <v/>
      </c>
      <c r="K150" s="54" t="str">
        <f>IFERROR(__xludf.DUMMYFUNCTION("""COMPUTED_VALUE"""),"")</f>
        <v/>
      </c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6"/>
      <c r="W150" s="56"/>
      <c r="X150" s="56"/>
      <c r="Y150" s="56"/>
      <c r="Z150" s="57"/>
      <c r="AA150" s="58"/>
      <c r="AB150" s="59"/>
    </row>
    <row r="151" ht="13.5" customHeight="1">
      <c r="A151" s="60" t="str">
        <f>IFERROR(__xludf.DUMMYFUNCTION("""COMPUTED_VALUE"""),"")</f>
        <v/>
      </c>
      <c r="B151" s="64" t="str">
        <f>IFERROR(__xludf.DUMMYFUNCTION("""COMPUTED_VALUE"""),"")</f>
        <v/>
      </c>
      <c r="C151" s="63" t="str">
        <f>IFERROR(__xludf.DUMMYFUNCTION("""COMPUTED_VALUE"""),"")</f>
        <v/>
      </c>
      <c r="D151" s="63" t="str">
        <f>IFERROR(__xludf.DUMMYFUNCTION("""COMPUTED_VALUE"""),"")</f>
        <v/>
      </c>
      <c r="E151" s="51" t="str">
        <f>IFERROR(__xludf.DUMMYFUNCTION("""COMPUTED_VALUE"""),"")</f>
        <v/>
      </c>
      <c r="F151" s="64" t="str">
        <f>IFERROR(__xludf.DUMMYFUNCTION("""COMPUTED_VALUE"""),"")</f>
        <v/>
      </c>
      <c r="G151" s="52" t="str">
        <f>IFERROR(__xludf.DUMMYFUNCTION("""COMPUTED_VALUE"""),"")</f>
        <v/>
      </c>
      <c r="H151" s="53" t="str">
        <f>IFERROR(__xludf.DUMMYFUNCTION("""COMPUTED_VALUE"""),"")</f>
        <v/>
      </c>
      <c r="I151" s="53" t="str">
        <f>IFERROR(__xludf.DUMMYFUNCTION("""COMPUTED_VALUE"""),"")</f>
        <v/>
      </c>
      <c r="J151" s="53" t="str">
        <f>IFERROR(__xludf.DUMMYFUNCTION("""COMPUTED_VALUE"""),"")</f>
        <v/>
      </c>
      <c r="K151" s="54" t="str">
        <f>IFERROR(__xludf.DUMMYFUNCTION("""COMPUTED_VALUE"""),"")</f>
        <v/>
      </c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6"/>
      <c r="W151" s="56"/>
      <c r="X151" s="56"/>
      <c r="Y151" s="56"/>
      <c r="Z151" s="57"/>
      <c r="AA151" s="58"/>
      <c r="AB151" s="59"/>
    </row>
    <row r="152" ht="13.5" customHeight="1">
      <c r="A152" s="60" t="str">
        <f>IFERROR(__xludf.DUMMYFUNCTION("""COMPUTED_VALUE"""),"")</f>
        <v/>
      </c>
      <c r="B152" s="64" t="str">
        <f>IFERROR(__xludf.DUMMYFUNCTION("""COMPUTED_VALUE"""),"")</f>
        <v/>
      </c>
      <c r="C152" s="63" t="str">
        <f>IFERROR(__xludf.DUMMYFUNCTION("""COMPUTED_VALUE"""),"")</f>
        <v/>
      </c>
      <c r="D152" s="63" t="str">
        <f>IFERROR(__xludf.DUMMYFUNCTION("""COMPUTED_VALUE"""),"")</f>
        <v/>
      </c>
      <c r="E152" s="51" t="str">
        <f>IFERROR(__xludf.DUMMYFUNCTION("""COMPUTED_VALUE"""),"")</f>
        <v/>
      </c>
      <c r="F152" s="64" t="str">
        <f>IFERROR(__xludf.DUMMYFUNCTION("""COMPUTED_VALUE"""),"")</f>
        <v/>
      </c>
      <c r="G152" s="52" t="str">
        <f>IFERROR(__xludf.DUMMYFUNCTION("""COMPUTED_VALUE"""),"")</f>
        <v/>
      </c>
      <c r="H152" s="53" t="str">
        <f>IFERROR(__xludf.DUMMYFUNCTION("""COMPUTED_VALUE"""),"")</f>
        <v/>
      </c>
      <c r="I152" s="53" t="str">
        <f>IFERROR(__xludf.DUMMYFUNCTION("""COMPUTED_VALUE"""),"")</f>
        <v/>
      </c>
      <c r="J152" s="53" t="str">
        <f>IFERROR(__xludf.DUMMYFUNCTION("""COMPUTED_VALUE"""),"")</f>
        <v/>
      </c>
      <c r="K152" s="54" t="str">
        <f>IFERROR(__xludf.DUMMYFUNCTION("""COMPUTED_VALUE"""),"")</f>
        <v/>
      </c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6"/>
      <c r="W152" s="56"/>
      <c r="X152" s="56"/>
      <c r="Y152" s="56"/>
      <c r="Z152" s="57"/>
      <c r="AA152" s="58"/>
      <c r="AB152" s="59"/>
    </row>
    <row r="153" ht="13.5" customHeight="1">
      <c r="A153" s="60" t="str">
        <f>IFERROR(__xludf.DUMMYFUNCTION("""COMPUTED_VALUE"""),"")</f>
        <v/>
      </c>
      <c r="B153" s="64" t="str">
        <f>IFERROR(__xludf.DUMMYFUNCTION("""COMPUTED_VALUE"""),"")</f>
        <v/>
      </c>
      <c r="C153" s="63" t="str">
        <f>IFERROR(__xludf.DUMMYFUNCTION("""COMPUTED_VALUE"""),"")</f>
        <v/>
      </c>
      <c r="D153" s="63" t="str">
        <f>IFERROR(__xludf.DUMMYFUNCTION("""COMPUTED_VALUE"""),"")</f>
        <v/>
      </c>
      <c r="E153" s="51" t="str">
        <f>IFERROR(__xludf.DUMMYFUNCTION("""COMPUTED_VALUE"""),"")</f>
        <v/>
      </c>
      <c r="F153" s="64" t="str">
        <f>IFERROR(__xludf.DUMMYFUNCTION("""COMPUTED_VALUE"""),"")</f>
        <v/>
      </c>
      <c r="G153" s="52" t="str">
        <f>IFERROR(__xludf.DUMMYFUNCTION("""COMPUTED_VALUE"""),"")</f>
        <v/>
      </c>
      <c r="H153" s="53" t="str">
        <f>IFERROR(__xludf.DUMMYFUNCTION("""COMPUTED_VALUE"""),"")</f>
        <v/>
      </c>
      <c r="I153" s="53" t="str">
        <f>IFERROR(__xludf.DUMMYFUNCTION("""COMPUTED_VALUE"""),"")</f>
        <v/>
      </c>
      <c r="J153" s="53" t="str">
        <f>IFERROR(__xludf.DUMMYFUNCTION("""COMPUTED_VALUE"""),"")</f>
        <v/>
      </c>
      <c r="K153" s="54" t="str">
        <f>IFERROR(__xludf.DUMMYFUNCTION("""COMPUTED_VALUE"""),"")</f>
        <v/>
      </c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6"/>
      <c r="W153" s="56"/>
      <c r="X153" s="56"/>
      <c r="Y153" s="56"/>
      <c r="Z153" s="57"/>
      <c r="AA153" s="58"/>
      <c r="AB153" s="59"/>
    </row>
    <row r="154" ht="13.5" customHeight="1">
      <c r="A154" s="60" t="str">
        <f>IFERROR(__xludf.DUMMYFUNCTION("""COMPUTED_VALUE"""),"")</f>
        <v/>
      </c>
      <c r="B154" s="64" t="str">
        <f>IFERROR(__xludf.DUMMYFUNCTION("""COMPUTED_VALUE"""),"")</f>
        <v/>
      </c>
      <c r="C154" s="63" t="str">
        <f>IFERROR(__xludf.DUMMYFUNCTION("""COMPUTED_VALUE"""),"")</f>
        <v/>
      </c>
      <c r="D154" s="63" t="str">
        <f>IFERROR(__xludf.DUMMYFUNCTION("""COMPUTED_VALUE"""),"")</f>
        <v/>
      </c>
      <c r="E154" s="51" t="str">
        <f>IFERROR(__xludf.DUMMYFUNCTION("""COMPUTED_VALUE"""),"")</f>
        <v/>
      </c>
      <c r="F154" s="64" t="str">
        <f>IFERROR(__xludf.DUMMYFUNCTION("""COMPUTED_VALUE"""),"")</f>
        <v/>
      </c>
      <c r="G154" s="52" t="str">
        <f>IFERROR(__xludf.DUMMYFUNCTION("""COMPUTED_VALUE"""),"")</f>
        <v/>
      </c>
      <c r="H154" s="53" t="str">
        <f>IFERROR(__xludf.DUMMYFUNCTION("""COMPUTED_VALUE"""),"")</f>
        <v/>
      </c>
      <c r="I154" s="53" t="str">
        <f>IFERROR(__xludf.DUMMYFUNCTION("""COMPUTED_VALUE"""),"")</f>
        <v/>
      </c>
      <c r="J154" s="53" t="str">
        <f>IFERROR(__xludf.DUMMYFUNCTION("""COMPUTED_VALUE"""),"")</f>
        <v/>
      </c>
      <c r="K154" s="54" t="str">
        <f>IFERROR(__xludf.DUMMYFUNCTION("""COMPUTED_VALUE"""),"")</f>
        <v/>
      </c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6"/>
      <c r="W154" s="56"/>
      <c r="X154" s="56"/>
      <c r="Y154" s="56"/>
      <c r="Z154" s="57"/>
      <c r="AA154" s="58"/>
      <c r="AB154" s="59"/>
    </row>
    <row r="155" ht="13.5" customHeight="1">
      <c r="A155" s="60" t="str">
        <f>IFERROR(__xludf.DUMMYFUNCTION("""COMPUTED_VALUE"""),"")</f>
        <v/>
      </c>
      <c r="B155" s="64" t="str">
        <f>IFERROR(__xludf.DUMMYFUNCTION("""COMPUTED_VALUE"""),"")</f>
        <v/>
      </c>
      <c r="C155" s="63" t="str">
        <f>IFERROR(__xludf.DUMMYFUNCTION("""COMPUTED_VALUE"""),"")</f>
        <v/>
      </c>
      <c r="D155" s="63" t="str">
        <f>IFERROR(__xludf.DUMMYFUNCTION("""COMPUTED_VALUE"""),"")</f>
        <v/>
      </c>
      <c r="E155" s="51" t="str">
        <f>IFERROR(__xludf.DUMMYFUNCTION("""COMPUTED_VALUE"""),"")</f>
        <v/>
      </c>
      <c r="F155" s="64" t="str">
        <f>IFERROR(__xludf.DUMMYFUNCTION("""COMPUTED_VALUE"""),"")</f>
        <v/>
      </c>
      <c r="G155" s="52" t="str">
        <f>IFERROR(__xludf.DUMMYFUNCTION("""COMPUTED_VALUE"""),"")</f>
        <v/>
      </c>
      <c r="H155" s="53" t="str">
        <f>IFERROR(__xludf.DUMMYFUNCTION("""COMPUTED_VALUE"""),"")</f>
        <v/>
      </c>
      <c r="I155" s="53" t="str">
        <f>IFERROR(__xludf.DUMMYFUNCTION("""COMPUTED_VALUE"""),"")</f>
        <v/>
      </c>
      <c r="J155" s="53" t="str">
        <f>IFERROR(__xludf.DUMMYFUNCTION("""COMPUTED_VALUE"""),"")</f>
        <v/>
      </c>
      <c r="K155" s="54" t="str">
        <f>IFERROR(__xludf.DUMMYFUNCTION("""COMPUTED_VALUE"""),"")</f>
        <v/>
      </c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6"/>
      <c r="W155" s="56"/>
      <c r="X155" s="56"/>
      <c r="Y155" s="56"/>
      <c r="Z155" s="57"/>
      <c r="AA155" s="58"/>
      <c r="AB155" s="59"/>
    </row>
    <row r="156" ht="13.5" customHeight="1">
      <c r="A156" s="60" t="str">
        <f>IFERROR(__xludf.DUMMYFUNCTION("""COMPUTED_VALUE"""),"")</f>
        <v/>
      </c>
      <c r="B156" s="64" t="str">
        <f>IFERROR(__xludf.DUMMYFUNCTION("""COMPUTED_VALUE"""),"")</f>
        <v/>
      </c>
      <c r="C156" s="63" t="str">
        <f>IFERROR(__xludf.DUMMYFUNCTION("""COMPUTED_VALUE"""),"")</f>
        <v/>
      </c>
      <c r="D156" s="63" t="str">
        <f>IFERROR(__xludf.DUMMYFUNCTION("""COMPUTED_VALUE"""),"")</f>
        <v/>
      </c>
      <c r="E156" s="51" t="str">
        <f>IFERROR(__xludf.DUMMYFUNCTION("""COMPUTED_VALUE"""),"")</f>
        <v/>
      </c>
      <c r="F156" s="64" t="str">
        <f>IFERROR(__xludf.DUMMYFUNCTION("""COMPUTED_VALUE"""),"")</f>
        <v/>
      </c>
      <c r="G156" s="52" t="str">
        <f>IFERROR(__xludf.DUMMYFUNCTION("""COMPUTED_VALUE"""),"")</f>
        <v/>
      </c>
      <c r="H156" s="53" t="str">
        <f>IFERROR(__xludf.DUMMYFUNCTION("""COMPUTED_VALUE"""),"")</f>
        <v/>
      </c>
      <c r="I156" s="53" t="str">
        <f>IFERROR(__xludf.DUMMYFUNCTION("""COMPUTED_VALUE"""),"")</f>
        <v/>
      </c>
      <c r="J156" s="53" t="str">
        <f>IFERROR(__xludf.DUMMYFUNCTION("""COMPUTED_VALUE"""),"")</f>
        <v/>
      </c>
      <c r="K156" s="54" t="str">
        <f>IFERROR(__xludf.DUMMYFUNCTION("""COMPUTED_VALUE"""),"")</f>
        <v/>
      </c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6"/>
      <c r="W156" s="56"/>
      <c r="X156" s="56"/>
      <c r="Y156" s="56"/>
      <c r="Z156" s="57"/>
      <c r="AA156" s="58"/>
      <c r="AB156" s="59"/>
    </row>
    <row r="157" ht="13.5" customHeight="1">
      <c r="A157" s="60" t="str">
        <f>IFERROR(__xludf.DUMMYFUNCTION("""COMPUTED_VALUE"""),"")</f>
        <v/>
      </c>
      <c r="B157" s="64" t="str">
        <f>IFERROR(__xludf.DUMMYFUNCTION("""COMPUTED_VALUE"""),"")</f>
        <v/>
      </c>
      <c r="C157" s="63" t="str">
        <f>IFERROR(__xludf.DUMMYFUNCTION("""COMPUTED_VALUE"""),"")</f>
        <v/>
      </c>
      <c r="D157" s="63" t="str">
        <f>IFERROR(__xludf.DUMMYFUNCTION("""COMPUTED_VALUE"""),"")</f>
        <v/>
      </c>
      <c r="E157" s="51" t="str">
        <f>IFERROR(__xludf.DUMMYFUNCTION("""COMPUTED_VALUE"""),"")</f>
        <v/>
      </c>
      <c r="F157" s="64" t="str">
        <f>IFERROR(__xludf.DUMMYFUNCTION("""COMPUTED_VALUE"""),"")</f>
        <v/>
      </c>
      <c r="G157" s="52" t="str">
        <f>IFERROR(__xludf.DUMMYFUNCTION("""COMPUTED_VALUE"""),"")</f>
        <v/>
      </c>
      <c r="H157" s="53" t="str">
        <f>IFERROR(__xludf.DUMMYFUNCTION("""COMPUTED_VALUE"""),"")</f>
        <v/>
      </c>
      <c r="I157" s="53" t="str">
        <f>IFERROR(__xludf.DUMMYFUNCTION("""COMPUTED_VALUE"""),"")</f>
        <v/>
      </c>
      <c r="J157" s="53" t="str">
        <f>IFERROR(__xludf.DUMMYFUNCTION("""COMPUTED_VALUE"""),"")</f>
        <v/>
      </c>
      <c r="K157" s="54" t="str">
        <f>IFERROR(__xludf.DUMMYFUNCTION("""COMPUTED_VALUE"""),"")</f>
        <v/>
      </c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6"/>
      <c r="W157" s="56"/>
      <c r="X157" s="56"/>
      <c r="Y157" s="56"/>
      <c r="Z157" s="57"/>
      <c r="AA157" s="58"/>
      <c r="AB157" s="59"/>
    </row>
    <row r="158" ht="13.5" customHeight="1">
      <c r="A158" s="60" t="str">
        <f>IFERROR(__xludf.DUMMYFUNCTION("""COMPUTED_VALUE"""),"")</f>
        <v/>
      </c>
      <c r="B158" s="64" t="str">
        <f>IFERROR(__xludf.DUMMYFUNCTION("""COMPUTED_VALUE"""),"")</f>
        <v/>
      </c>
      <c r="C158" s="63" t="str">
        <f>IFERROR(__xludf.DUMMYFUNCTION("""COMPUTED_VALUE"""),"")</f>
        <v/>
      </c>
      <c r="D158" s="63" t="str">
        <f>IFERROR(__xludf.DUMMYFUNCTION("""COMPUTED_VALUE"""),"")</f>
        <v/>
      </c>
      <c r="E158" s="51" t="str">
        <f>IFERROR(__xludf.DUMMYFUNCTION("""COMPUTED_VALUE"""),"")</f>
        <v/>
      </c>
      <c r="F158" s="64" t="str">
        <f>IFERROR(__xludf.DUMMYFUNCTION("""COMPUTED_VALUE"""),"")</f>
        <v/>
      </c>
      <c r="G158" s="52" t="str">
        <f>IFERROR(__xludf.DUMMYFUNCTION("""COMPUTED_VALUE"""),"")</f>
        <v/>
      </c>
      <c r="H158" s="53" t="str">
        <f>IFERROR(__xludf.DUMMYFUNCTION("""COMPUTED_VALUE"""),"")</f>
        <v/>
      </c>
      <c r="I158" s="53" t="str">
        <f>IFERROR(__xludf.DUMMYFUNCTION("""COMPUTED_VALUE"""),"")</f>
        <v/>
      </c>
      <c r="J158" s="53" t="str">
        <f>IFERROR(__xludf.DUMMYFUNCTION("""COMPUTED_VALUE"""),"")</f>
        <v/>
      </c>
      <c r="K158" s="54" t="str">
        <f>IFERROR(__xludf.DUMMYFUNCTION("""COMPUTED_VALUE"""),"")</f>
        <v/>
      </c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6"/>
      <c r="W158" s="56"/>
      <c r="X158" s="56"/>
      <c r="Y158" s="56"/>
      <c r="Z158" s="57"/>
      <c r="AA158" s="58"/>
      <c r="AB158" s="59"/>
    </row>
    <row r="159" ht="13.5" customHeight="1">
      <c r="A159" s="60" t="str">
        <f>IFERROR(__xludf.DUMMYFUNCTION("""COMPUTED_VALUE"""),"")</f>
        <v/>
      </c>
      <c r="B159" s="64" t="str">
        <f>IFERROR(__xludf.DUMMYFUNCTION("""COMPUTED_VALUE"""),"")</f>
        <v/>
      </c>
      <c r="C159" s="63" t="str">
        <f>IFERROR(__xludf.DUMMYFUNCTION("""COMPUTED_VALUE"""),"")</f>
        <v/>
      </c>
      <c r="D159" s="63" t="str">
        <f>IFERROR(__xludf.DUMMYFUNCTION("""COMPUTED_VALUE"""),"")</f>
        <v/>
      </c>
      <c r="E159" s="51" t="str">
        <f>IFERROR(__xludf.DUMMYFUNCTION("""COMPUTED_VALUE"""),"")</f>
        <v/>
      </c>
      <c r="F159" s="64" t="str">
        <f>IFERROR(__xludf.DUMMYFUNCTION("""COMPUTED_VALUE"""),"")</f>
        <v/>
      </c>
      <c r="G159" s="52" t="str">
        <f>IFERROR(__xludf.DUMMYFUNCTION("""COMPUTED_VALUE"""),"")</f>
        <v/>
      </c>
      <c r="H159" s="53" t="str">
        <f>IFERROR(__xludf.DUMMYFUNCTION("""COMPUTED_VALUE"""),"")</f>
        <v/>
      </c>
      <c r="I159" s="53" t="str">
        <f>IFERROR(__xludf.DUMMYFUNCTION("""COMPUTED_VALUE"""),"")</f>
        <v/>
      </c>
      <c r="J159" s="53" t="str">
        <f>IFERROR(__xludf.DUMMYFUNCTION("""COMPUTED_VALUE"""),"")</f>
        <v/>
      </c>
      <c r="K159" s="54" t="str">
        <f>IFERROR(__xludf.DUMMYFUNCTION("""COMPUTED_VALUE"""),"")</f>
        <v/>
      </c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6"/>
      <c r="W159" s="56"/>
      <c r="X159" s="56"/>
      <c r="Y159" s="56"/>
      <c r="Z159" s="57"/>
      <c r="AA159" s="58"/>
      <c r="AB159" s="59"/>
    </row>
    <row r="160" ht="13.5" customHeight="1">
      <c r="A160" s="60" t="str">
        <f>IFERROR(__xludf.DUMMYFUNCTION("""COMPUTED_VALUE"""),"")</f>
        <v/>
      </c>
      <c r="B160" s="64" t="str">
        <f>IFERROR(__xludf.DUMMYFUNCTION("""COMPUTED_VALUE"""),"")</f>
        <v/>
      </c>
      <c r="C160" s="63" t="str">
        <f>IFERROR(__xludf.DUMMYFUNCTION("""COMPUTED_VALUE"""),"")</f>
        <v/>
      </c>
      <c r="D160" s="63" t="str">
        <f>IFERROR(__xludf.DUMMYFUNCTION("""COMPUTED_VALUE"""),"")</f>
        <v/>
      </c>
      <c r="E160" s="51" t="str">
        <f>IFERROR(__xludf.DUMMYFUNCTION("""COMPUTED_VALUE"""),"")</f>
        <v/>
      </c>
      <c r="F160" s="64" t="str">
        <f>IFERROR(__xludf.DUMMYFUNCTION("""COMPUTED_VALUE"""),"")</f>
        <v/>
      </c>
      <c r="G160" s="52" t="str">
        <f>IFERROR(__xludf.DUMMYFUNCTION("""COMPUTED_VALUE"""),"")</f>
        <v/>
      </c>
      <c r="H160" s="53" t="str">
        <f>IFERROR(__xludf.DUMMYFUNCTION("""COMPUTED_VALUE"""),"")</f>
        <v/>
      </c>
      <c r="I160" s="53" t="str">
        <f>IFERROR(__xludf.DUMMYFUNCTION("""COMPUTED_VALUE"""),"")</f>
        <v/>
      </c>
      <c r="J160" s="53" t="str">
        <f>IFERROR(__xludf.DUMMYFUNCTION("""COMPUTED_VALUE"""),"")</f>
        <v/>
      </c>
      <c r="K160" s="54" t="str">
        <f>IFERROR(__xludf.DUMMYFUNCTION("""COMPUTED_VALUE"""),"")</f>
        <v/>
      </c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6"/>
      <c r="W160" s="56"/>
      <c r="X160" s="56"/>
      <c r="Y160" s="56"/>
      <c r="Z160" s="57"/>
      <c r="AA160" s="58"/>
      <c r="AB160" s="59"/>
    </row>
    <row r="161" ht="13.5" customHeight="1">
      <c r="A161" s="60" t="str">
        <f>IFERROR(__xludf.DUMMYFUNCTION("""COMPUTED_VALUE"""),"")</f>
        <v/>
      </c>
      <c r="B161" s="64" t="str">
        <f>IFERROR(__xludf.DUMMYFUNCTION("""COMPUTED_VALUE"""),"")</f>
        <v/>
      </c>
      <c r="C161" s="63" t="str">
        <f>IFERROR(__xludf.DUMMYFUNCTION("""COMPUTED_VALUE"""),"")</f>
        <v/>
      </c>
      <c r="D161" s="63" t="str">
        <f>IFERROR(__xludf.DUMMYFUNCTION("""COMPUTED_VALUE"""),"")</f>
        <v/>
      </c>
      <c r="E161" s="51" t="str">
        <f>IFERROR(__xludf.DUMMYFUNCTION("""COMPUTED_VALUE"""),"")</f>
        <v/>
      </c>
      <c r="F161" s="64" t="str">
        <f>IFERROR(__xludf.DUMMYFUNCTION("""COMPUTED_VALUE"""),"")</f>
        <v/>
      </c>
      <c r="G161" s="52" t="str">
        <f>IFERROR(__xludf.DUMMYFUNCTION("""COMPUTED_VALUE"""),"")</f>
        <v/>
      </c>
      <c r="H161" s="53" t="str">
        <f>IFERROR(__xludf.DUMMYFUNCTION("""COMPUTED_VALUE"""),"")</f>
        <v/>
      </c>
      <c r="I161" s="53" t="str">
        <f>IFERROR(__xludf.DUMMYFUNCTION("""COMPUTED_VALUE"""),"")</f>
        <v/>
      </c>
      <c r="J161" s="53" t="str">
        <f>IFERROR(__xludf.DUMMYFUNCTION("""COMPUTED_VALUE"""),"")</f>
        <v/>
      </c>
      <c r="K161" s="54" t="str">
        <f>IFERROR(__xludf.DUMMYFUNCTION("""COMPUTED_VALUE"""),"")</f>
        <v/>
      </c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6"/>
      <c r="W161" s="56"/>
      <c r="X161" s="56"/>
      <c r="Y161" s="56"/>
      <c r="Z161" s="57"/>
      <c r="AA161" s="58"/>
      <c r="AB161" s="59"/>
    </row>
    <row r="162" ht="13.5" customHeight="1">
      <c r="A162" s="60" t="str">
        <f>IFERROR(__xludf.DUMMYFUNCTION("""COMPUTED_VALUE"""),"")</f>
        <v/>
      </c>
      <c r="B162" s="64" t="str">
        <f>IFERROR(__xludf.DUMMYFUNCTION("""COMPUTED_VALUE"""),"")</f>
        <v/>
      </c>
      <c r="C162" s="63" t="str">
        <f>IFERROR(__xludf.DUMMYFUNCTION("""COMPUTED_VALUE"""),"")</f>
        <v/>
      </c>
      <c r="D162" s="63" t="str">
        <f>IFERROR(__xludf.DUMMYFUNCTION("""COMPUTED_VALUE"""),"")</f>
        <v/>
      </c>
      <c r="E162" s="51" t="str">
        <f>IFERROR(__xludf.DUMMYFUNCTION("""COMPUTED_VALUE"""),"")</f>
        <v/>
      </c>
      <c r="F162" s="64" t="str">
        <f>IFERROR(__xludf.DUMMYFUNCTION("""COMPUTED_VALUE"""),"")</f>
        <v/>
      </c>
      <c r="G162" s="52" t="str">
        <f>IFERROR(__xludf.DUMMYFUNCTION("""COMPUTED_VALUE"""),"")</f>
        <v/>
      </c>
      <c r="H162" s="53" t="str">
        <f>IFERROR(__xludf.DUMMYFUNCTION("""COMPUTED_VALUE"""),"")</f>
        <v/>
      </c>
      <c r="I162" s="53" t="str">
        <f>IFERROR(__xludf.DUMMYFUNCTION("""COMPUTED_VALUE"""),"")</f>
        <v/>
      </c>
      <c r="J162" s="53" t="str">
        <f>IFERROR(__xludf.DUMMYFUNCTION("""COMPUTED_VALUE"""),"")</f>
        <v/>
      </c>
      <c r="K162" s="54" t="str">
        <f>IFERROR(__xludf.DUMMYFUNCTION("""COMPUTED_VALUE"""),"")</f>
        <v/>
      </c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6"/>
      <c r="W162" s="56"/>
      <c r="X162" s="56"/>
      <c r="Y162" s="56"/>
      <c r="Z162" s="57"/>
      <c r="AA162" s="58"/>
      <c r="AB162" s="59"/>
    </row>
    <row r="163" ht="13.5" customHeight="1">
      <c r="A163" s="60" t="str">
        <f>IFERROR(__xludf.DUMMYFUNCTION("""COMPUTED_VALUE"""),"")</f>
        <v/>
      </c>
      <c r="B163" s="64" t="str">
        <f>IFERROR(__xludf.DUMMYFUNCTION("""COMPUTED_VALUE"""),"")</f>
        <v/>
      </c>
      <c r="C163" s="63" t="str">
        <f>IFERROR(__xludf.DUMMYFUNCTION("""COMPUTED_VALUE"""),"")</f>
        <v/>
      </c>
      <c r="D163" s="63" t="str">
        <f>IFERROR(__xludf.DUMMYFUNCTION("""COMPUTED_VALUE"""),"")</f>
        <v/>
      </c>
      <c r="E163" s="51" t="str">
        <f>IFERROR(__xludf.DUMMYFUNCTION("""COMPUTED_VALUE"""),"")</f>
        <v/>
      </c>
      <c r="F163" s="64" t="str">
        <f>IFERROR(__xludf.DUMMYFUNCTION("""COMPUTED_VALUE"""),"")</f>
        <v/>
      </c>
      <c r="G163" s="52" t="str">
        <f>IFERROR(__xludf.DUMMYFUNCTION("""COMPUTED_VALUE"""),"")</f>
        <v/>
      </c>
      <c r="H163" s="53" t="str">
        <f>IFERROR(__xludf.DUMMYFUNCTION("""COMPUTED_VALUE"""),"")</f>
        <v/>
      </c>
      <c r="I163" s="53" t="str">
        <f>IFERROR(__xludf.DUMMYFUNCTION("""COMPUTED_VALUE"""),"")</f>
        <v/>
      </c>
      <c r="J163" s="53" t="str">
        <f>IFERROR(__xludf.DUMMYFUNCTION("""COMPUTED_VALUE"""),"")</f>
        <v/>
      </c>
      <c r="K163" s="54" t="str">
        <f>IFERROR(__xludf.DUMMYFUNCTION("""COMPUTED_VALUE"""),"")</f>
        <v/>
      </c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6"/>
      <c r="W163" s="56"/>
      <c r="X163" s="56"/>
      <c r="Y163" s="56"/>
      <c r="Z163" s="57"/>
      <c r="AA163" s="58"/>
      <c r="AB163" s="59"/>
    </row>
    <row r="164" ht="13.5" customHeight="1">
      <c r="A164" s="60" t="str">
        <f>IFERROR(__xludf.DUMMYFUNCTION("""COMPUTED_VALUE"""),"")</f>
        <v/>
      </c>
      <c r="B164" s="64" t="str">
        <f>IFERROR(__xludf.DUMMYFUNCTION("""COMPUTED_VALUE"""),"")</f>
        <v/>
      </c>
      <c r="C164" s="63" t="str">
        <f>IFERROR(__xludf.DUMMYFUNCTION("""COMPUTED_VALUE"""),"")</f>
        <v/>
      </c>
      <c r="D164" s="63" t="str">
        <f>IFERROR(__xludf.DUMMYFUNCTION("""COMPUTED_VALUE"""),"")</f>
        <v/>
      </c>
      <c r="E164" s="51" t="str">
        <f>IFERROR(__xludf.DUMMYFUNCTION("""COMPUTED_VALUE"""),"")</f>
        <v/>
      </c>
      <c r="F164" s="64" t="str">
        <f>IFERROR(__xludf.DUMMYFUNCTION("""COMPUTED_VALUE"""),"")</f>
        <v/>
      </c>
      <c r="G164" s="52" t="str">
        <f>IFERROR(__xludf.DUMMYFUNCTION("""COMPUTED_VALUE"""),"")</f>
        <v/>
      </c>
      <c r="H164" s="53" t="str">
        <f>IFERROR(__xludf.DUMMYFUNCTION("""COMPUTED_VALUE"""),"")</f>
        <v/>
      </c>
      <c r="I164" s="53" t="str">
        <f>IFERROR(__xludf.DUMMYFUNCTION("""COMPUTED_VALUE"""),"")</f>
        <v/>
      </c>
      <c r="J164" s="53" t="str">
        <f>IFERROR(__xludf.DUMMYFUNCTION("""COMPUTED_VALUE"""),"")</f>
        <v/>
      </c>
      <c r="K164" s="54" t="str">
        <f>IFERROR(__xludf.DUMMYFUNCTION("""COMPUTED_VALUE"""),"")</f>
        <v/>
      </c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6"/>
      <c r="W164" s="56"/>
      <c r="X164" s="56"/>
      <c r="Y164" s="56"/>
      <c r="Z164" s="57"/>
      <c r="AA164" s="58"/>
      <c r="AB164" s="59"/>
    </row>
    <row r="165" ht="13.5" customHeight="1">
      <c r="A165" s="60" t="str">
        <f>IFERROR(__xludf.DUMMYFUNCTION("""COMPUTED_VALUE"""),"")</f>
        <v/>
      </c>
      <c r="B165" s="64" t="str">
        <f>IFERROR(__xludf.DUMMYFUNCTION("""COMPUTED_VALUE"""),"")</f>
        <v/>
      </c>
      <c r="C165" s="63" t="str">
        <f>IFERROR(__xludf.DUMMYFUNCTION("""COMPUTED_VALUE"""),"")</f>
        <v/>
      </c>
      <c r="D165" s="63" t="str">
        <f>IFERROR(__xludf.DUMMYFUNCTION("""COMPUTED_VALUE"""),"")</f>
        <v/>
      </c>
      <c r="E165" s="51" t="str">
        <f>IFERROR(__xludf.DUMMYFUNCTION("""COMPUTED_VALUE"""),"")</f>
        <v/>
      </c>
      <c r="F165" s="64" t="str">
        <f>IFERROR(__xludf.DUMMYFUNCTION("""COMPUTED_VALUE"""),"")</f>
        <v/>
      </c>
      <c r="G165" s="52" t="str">
        <f>IFERROR(__xludf.DUMMYFUNCTION("""COMPUTED_VALUE"""),"")</f>
        <v/>
      </c>
      <c r="H165" s="53" t="str">
        <f>IFERROR(__xludf.DUMMYFUNCTION("""COMPUTED_VALUE"""),"")</f>
        <v/>
      </c>
      <c r="I165" s="53" t="str">
        <f>IFERROR(__xludf.DUMMYFUNCTION("""COMPUTED_VALUE"""),"")</f>
        <v/>
      </c>
      <c r="J165" s="53" t="str">
        <f>IFERROR(__xludf.DUMMYFUNCTION("""COMPUTED_VALUE"""),"")</f>
        <v/>
      </c>
      <c r="K165" s="54" t="str">
        <f>IFERROR(__xludf.DUMMYFUNCTION("""COMPUTED_VALUE"""),"")</f>
        <v/>
      </c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6"/>
      <c r="W165" s="56"/>
      <c r="X165" s="56"/>
      <c r="Y165" s="56"/>
      <c r="Z165" s="57"/>
      <c r="AA165" s="58"/>
      <c r="AB165" s="59"/>
    </row>
    <row r="166" ht="13.5" customHeight="1">
      <c r="A166" s="60" t="str">
        <f>IFERROR(__xludf.DUMMYFUNCTION("""COMPUTED_VALUE"""),"")</f>
        <v/>
      </c>
      <c r="B166" s="64" t="str">
        <f>IFERROR(__xludf.DUMMYFUNCTION("""COMPUTED_VALUE"""),"")</f>
        <v/>
      </c>
      <c r="C166" s="63" t="str">
        <f>IFERROR(__xludf.DUMMYFUNCTION("""COMPUTED_VALUE"""),"")</f>
        <v/>
      </c>
      <c r="D166" s="63" t="str">
        <f>IFERROR(__xludf.DUMMYFUNCTION("""COMPUTED_VALUE"""),"")</f>
        <v/>
      </c>
      <c r="E166" s="51" t="str">
        <f>IFERROR(__xludf.DUMMYFUNCTION("""COMPUTED_VALUE"""),"")</f>
        <v/>
      </c>
      <c r="F166" s="64" t="str">
        <f>IFERROR(__xludf.DUMMYFUNCTION("""COMPUTED_VALUE"""),"")</f>
        <v/>
      </c>
      <c r="G166" s="52" t="str">
        <f>IFERROR(__xludf.DUMMYFUNCTION("""COMPUTED_VALUE"""),"")</f>
        <v/>
      </c>
      <c r="H166" s="53" t="str">
        <f>IFERROR(__xludf.DUMMYFUNCTION("""COMPUTED_VALUE"""),"")</f>
        <v/>
      </c>
      <c r="I166" s="53" t="str">
        <f>IFERROR(__xludf.DUMMYFUNCTION("""COMPUTED_VALUE"""),"")</f>
        <v/>
      </c>
      <c r="J166" s="53" t="str">
        <f>IFERROR(__xludf.DUMMYFUNCTION("""COMPUTED_VALUE"""),"")</f>
        <v/>
      </c>
      <c r="K166" s="54" t="str">
        <f>IFERROR(__xludf.DUMMYFUNCTION("""COMPUTED_VALUE"""),"")</f>
        <v/>
      </c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6"/>
      <c r="W166" s="56"/>
      <c r="X166" s="56"/>
      <c r="Y166" s="56"/>
      <c r="Z166" s="57"/>
      <c r="AA166" s="58"/>
      <c r="AB166" s="59"/>
    </row>
    <row r="167" ht="13.5" customHeight="1">
      <c r="A167" s="60" t="str">
        <f>IFERROR(__xludf.DUMMYFUNCTION("""COMPUTED_VALUE"""),"")</f>
        <v/>
      </c>
      <c r="B167" s="64" t="str">
        <f>IFERROR(__xludf.DUMMYFUNCTION("""COMPUTED_VALUE"""),"")</f>
        <v/>
      </c>
      <c r="C167" s="63" t="str">
        <f>IFERROR(__xludf.DUMMYFUNCTION("""COMPUTED_VALUE"""),"")</f>
        <v/>
      </c>
      <c r="D167" s="63" t="str">
        <f>IFERROR(__xludf.DUMMYFUNCTION("""COMPUTED_VALUE"""),"")</f>
        <v/>
      </c>
      <c r="E167" s="51" t="str">
        <f>IFERROR(__xludf.DUMMYFUNCTION("""COMPUTED_VALUE"""),"")</f>
        <v/>
      </c>
      <c r="F167" s="64" t="str">
        <f>IFERROR(__xludf.DUMMYFUNCTION("""COMPUTED_VALUE"""),"")</f>
        <v/>
      </c>
      <c r="G167" s="52" t="str">
        <f>IFERROR(__xludf.DUMMYFUNCTION("""COMPUTED_VALUE"""),"")</f>
        <v/>
      </c>
      <c r="H167" s="53" t="str">
        <f>IFERROR(__xludf.DUMMYFUNCTION("""COMPUTED_VALUE"""),"")</f>
        <v/>
      </c>
      <c r="I167" s="53" t="str">
        <f>IFERROR(__xludf.DUMMYFUNCTION("""COMPUTED_VALUE"""),"")</f>
        <v/>
      </c>
      <c r="J167" s="53" t="str">
        <f>IFERROR(__xludf.DUMMYFUNCTION("""COMPUTED_VALUE"""),"")</f>
        <v/>
      </c>
      <c r="K167" s="54" t="str">
        <f>IFERROR(__xludf.DUMMYFUNCTION("""COMPUTED_VALUE"""),"")</f>
        <v/>
      </c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6"/>
      <c r="W167" s="56"/>
      <c r="X167" s="56"/>
      <c r="Y167" s="56"/>
      <c r="Z167" s="57"/>
      <c r="AA167" s="58"/>
      <c r="AB167" s="59"/>
    </row>
    <row r="168" ht="13.5" customHeight="1">
      <c r="A168" s="60" t="str">
        <f>IFERROR(__xludf.DUMMYFUNCTION("""COMPUTED_VALUE"""),"")</f>
        <v/>
      </c>
      <c r="B168" s="64" t="str">
        <f>IFERROR(__xludf.DUMMYFUNCTION("""COMPUTED_VALUE"""),"")</f>
        <v/>
      </c>
      <c r="C168" s="63" t="str">
        <f>IFERROR(__xludf.DUMMYFUNCTION("""COMPUTED_VALUE"""),"")</f>
        <v/>
      </c>
      <c r="D168" s="63" t="str">
        <f>IFERROR(__xludf.DUMMYFUNCTION("""COMPUTED_VALUE"""),"")</f>
        <v/>
      </c>
      <c r="E168" s="51" t="str">
        <f>IFERROR(__xludf.DUMMYFUNCTION("""COMPUTED_VALUE"""),"")</f>
        <v/>
      </c>
      <c r="F168" s="64" t="str">
        <f>IFERROR(__xludf.DUMMYFUNCTION("""COMPUTED_VALUE"""),"")</f>
        <v/>
      </c>
      <c r="G168" s="52" t="str">
        <f>IFERROR(__xludf.DUMMYFUNCTION("""COMPUTED_VALUE"""),"")</f>
        <v/>
      </c>
      <c r="H168" s="53" t="str">
        <f>IFERROR(__xludf.DUMMYFUNCTION("""COMPUTED_VALUE"""),"")</f>
        <v/>
      </c>
      <c r="I168" s="53" t="str">
        <f>IFERROR(__xludf.DUMMYFUNCTION("""COMPUTED_VALUE"""),"")</f>
        <v/>
      </c>
      <c r="J168" s="53" t="str">
        <f>IFERROR(__xludf.DUMMYFUNCTION("""COMPUTED_VALUE"""),"")</f>
        <v/>
      </c>
      <c r="K168" s="54" t="str">
        <f>IFERROR(__xludf.DUMMYFUNCTION("""COMPUTED_VALUE"""),"")</f>
        <v/>
      </c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6"/>
      <c r="W168" s="56"/>
      <c r="X168" s="56"/>
      <c r="Y168" s="56"/>
      <c r="Z168" s="57"/>
      <c r="AA168" s="58"/>
      <c r="AB168" s="59"/>
    </row>
    <row r="169" ht="13.5" customHeight="1">
      <c r="A169" s="60" t="str">
        <f>IFERROR(__xludf.DUMMYFUNCTION("""COMPUTED_VALUE"""),"")</f>
        <v/>
      </c>
      <c r="B169" s="64" t="str">
        <f>IFERROR(__xludf.DUMMYFUNCTION("""COMPUTED_VALUE"""),"")</f>
        <v/>
      </c>
      <c r="C169" s="63" t="str">
        <f>IFERROR(__xludf.DUMMYFUNCTION("""COMPUTED_VALUE"""),"")</f>
        <v/>
      </c>
      <c r="D169" s="63" t="str">
        <f>IFERROR(__xludf.DUMMYFUNCTION("""COMPUTED_VALUE"""),"")</f>
        <v/>
      </c>
      <c r="E169" s="51" t="str">
        <f>IFERROR(__xludf.DUMMYFUNCTION("""COMPUTED_VALUE"""),"")</f>
        <v/>
      </c>
      <c r="F169" s="64" t="str">
        <f>IFERROR(__xludf.DUMMYFUNCTION("""COMPUTED_VALUE"""),"")</f>
        <v/>
      </c>
      <c r="G169" s="52" t="str">
        <f>IFERROR(__xludf.DUMMYFUNCTION("""COMPUTED_VALUE"""),"")</f>
        <v/>
      </c>
      <c r="H169" s="53" t="str">
        <f>IFERROR(__xludf.DUMMYFUNCTION("""COMPUTED_VALUE"""),"")</f>
        <v/>
      </c>
      <c r="I169" s="53" t="str">
        <f>IFERROR(__xludf.DUMMYFUNCTION("""COMPUTED_VALUE"""),"")</f>
        <v/>
      </c>
      <c r="J169" s="53" t="str">
        <f>IFERROR(__xludf.DUMMYFUNCTION("""COMPUTED_VALUE"""),"")</f>
        <v/>
      </c>
      <c r="K169" s="54" t="str">
        <f>IFERROR(__xludf.DUMMYFUNCTION("""COMPUTED_VALUE"""),"")</f>
        <v/>
      </c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6"/>
      <c r="W169" s="56"/>
      <c r="X169" s="56"/>
      <c r="Y169" s="56"/>
      <c r="Z169" s="57"/>
      <c r="AA169" s="58"/>
      <c r="AB169" s="59"/>
    </row>
    <row r="170" ht="13.5" customHeight="1">
      <c r="A170" s="60" t="str">
        <f>IFERROR(__xludf.DUMMYFUNCTION("""COMPUTED_VALUE"""),"")</f>
        <v/>
      </c>
      <c r="B170" s="64" t="str">
        <f>IFERROR(__xludf.DUMMYFUNCTION("""COMPUTED_VALUE"""),"")</f>
        <v/>
      </c>
      <c r="C170" s="63" t="str">
        <f>IFERROR(__xludf.DUMMYFUNCTION("""COMPUTED_VALUE"""),"")</f>
        <v/>
      </c>
      <c r="D170" s="63" t="str">
        <f>IFERROR(__xludf.DUMMYFUNCTION("""COMPUTED_VALUE"""),"")</f>
        <v/>
      </c>
      <c r="E170" s="51" t="str">
        <f>IFERROR(__xludf.DUMMYFUNCTION("""COMPUTED_VALUE"""),"")</f>
        <v/>
      </c>
      <c r="F170" s="64" t="str">
        <f>IFERROR(__xludf.DUMMYFUNCTION("""COMPUTED_VALUE"""),"")</f>
        <v/>
      </c>
      <c r="G170" s="52" t="str">
        <f>IFERROR(__xludf.DUMMYFUNCTION("""COMPUTED_VALUE"""),"")</f>
        <v/>
      </c>
      <c r="H170" s="53" t="str">
        <f>IFERROR(__xludf.DUMMYFUNCTION("""COMPUTED_VALUE"""),"")</f>
        <v/>
      </c>
      <c r="I170" s="53" t="str">
        <f>IFERROR(__xludf.DUMMYFUNCTION("""COMPUTED_VALUE"""),"")</f>
        <v/>
      </c>
      <c r="J170" s="53" t="str">
        <f>IFERROR(__xludf.DUMMYFUNCTION("""COMPUTED_VALUE"""),"")</f>
        <v/>
      </c>
      <c r="K170" s="54" t="str">
        <f>IFERROR(__xludf.DUMMYFUNCTION("""COMPUTED_VALUE"""),"")</f>
        <v/>
      </c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6"/>
      <c r="W170" s="56"/>
      <c r="X170" s="56"/>
      <c r="Y170" s="56"/>
      <c r="Z170" s="57"/>
      <c r="AA170" s="58"/>
      <c r="AB170" s="58"/>
    </row>
    <row r="171" ht="13.5" customHeight="1">
      <c r="A171" s="60" t="str">
        <f>IFERROR(__xludf.DUMMYFUNCTION("""COMPUTED_VALUE"""),"")</f>
        <v/>
      </c>
      <c r="B171" s="64" t="str">
        <f>IFERROR(__xludf.DUMMYFUNCTION("""COMPUTED_VALUE"""),"")</f>
        <v/>
      </c>
      <c r="C171" s="63" t="str">
        <f>IFERROR(__xludf.DUMMYFUNCTION("""COMPUTED_VALUE"""),"")</f>
        <v/>
      </c>
      <c r="D171" s="63" t="str">
        <f>IFERROR(__xludf.DUMMYFUNCTION("""COMPUTED_VALUE"""),"")</f>
        <v/>
      </c>
      <c r="E171" s="51" t="str">
        <f>IFERROR(__xludf.DUMMYFUNCTION("""COMPUTED_VALUE"""),"")</f>
        <v/>
      </c>
      <c r="F171" s="64" t="str">
        <f>IFERROR(__xludf.DUMMYFUNCTION("""COMPUTED_VALUE"""),"")</f>
        <v/>
      </c>
      <c r="G171" s="52" t="str">
        <f>IFERROR(__xludf.DUMMYFUNCTION("""COMPUTED_VALUE"""),"")</f>
        <v/>
      </c>
      <c r="H171" s="53" t="str">
        <f>IFERROR(__xludf.DUMMYFUNCTION("""COMPUTED_VALUE"""),"")</f>
        <v/>
      </c>
      <c r="I171" s="53" t="str">
        <f>IFERROR(__xludf.DUMMYFUNCTION("""COMPUTED_VALUE"""),"")</f>
        <v/>
      </c>
      <c r="J171" s="53" t="str">
        <f>IFERROR(__xludf.DUMMYFUNCTION("""COMPUTED_VALUE"""),"")</f>
        <v/>
      </c>
      <c r="K171" s="54" t="str">
        <f>IFERROR(__xludf.DUMMYFUNCTION("""COMPUTED_VALUE"""),"")</f>
        <v/>
      </c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6"/>
      <c r="W171" s="56"/>
      <c r="X171" s="56"/>
      <c r="Y171" s="56"/>
      <c r="Z171" s="57"/>
      <c r="AA171" s="58"/>
      <c r="AB171" s="58"/>
    </row>
    <row r="172" ht="13.5" customHeight="1">
      <c r="A172" s="60" t="str">
        <f>IFERROR(__xludf.DUMMYFUNCTION("""COMPUTED_VALUE"""),"")</f>
        <v/>
      </c>
      <c r="B172" s="64" t="str">
        <f>IFERROR(__xludf.DUMMYFUNCTION("""COMPUTED_VALUE"""),"")</f>
        <v/>
      </c>
      <c r="C172" s="63" t="str">
        <f>IFERROR(__xludf.DUMMYFUNCTION("""COMPUTED_VALUE"""),"")</f>
        <v/>
      </c>
      <c r="D172" s="63" t="str">
        <f>IFERROR(__xludf.DUMMYFUNCTION("""COMPUTED_VALUE"""),"")</f>
        <v/>
      </c>
      <c r="E172" s="51" t="str">
        <f>IFERROR(__xludf.DUMMYFUNCTION("""COMPUTED_VALUE"""),"")</f>
        <v/>
      </c>
      <c r="F172" s="64" t="str">
        <f>IFERROR(__xludf.DUMMYFUNCTION("""COMPUTED_VALUE"""),"")</f>
        <v/>
      </c>
      <c r="G172" s="52" t="str">
        <f>IFERROR(__xludf.DUMMYFUNCTION("""COMPUTED_VALUE"""),"")</f>
        <v/>
      </c>
      <c r="H172" s="53" t="str">
        <f>IFERROR(__xludf.DUMMYFUNCTION("""COMPUTED_VALUE"""),"")</f>
        <v/>
      </c>
      <c r="I172" s="53" t="str">
        <f>IFERROR(__xludf.DUMMYFUNCTION("""COMPUTED_VALUE"""),"")</f>
        <v/>
      </c>
      <c r="J172" s="53" t="str">
        <f>IFERROR(__xludf.DUMMYFUNCTION("""COMPUTED_VALUE"""),"")</f>
        <v/>
      </c>
      <c r="K172" s="54" t="str">
        <f>IFERROR(__xludf.DUMMYFUNCTION("""COMPUTED_VALUE"""),"")</f>
        <v/>
      </c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6"/>
      <c r="W172" s="56"/>
      <c r="X172" s="56"/>
      <c r="Y172" s="56"/>
      <c r="Z172" s="57"/>
      <c r="AA172" s="58"/>
      <c r="AB172" s="58"/>
    </row>
    <row r="173" ht="13.5" customHeight="1">
      <c r="A173" s="60" t="str">
        <f>IFERROR(__xludf.DUMMYFUNCTION("""COMPUTED_VALUE"""),"")</f>
        <v/>
      </c>
      <c r="B173" s="64" t="str">
        <f>IFERROR(__xludf.DUMMYFUNCTION("""COMPUTED_VALUE"""),"")</f>
        <v/>
      </c>
      <c r="C173" s="63" t="str">
        <f>IFERROR(__xludf.DUMMYFUNCTION("""COMPUTED_VALUE"""),"")</f>
        <v/>
      </c>
      <c r="D173" s="63" t="str">
        <f>IFERROR(__xludf.DUMMYFUNCTION("""COMPUTED_VALUE"""),"")</f>
        <v/>
      </c>
      <c r="E173" s="51" t="str">
        <f>IFERROR(__xludf.DUMMYFUNCTION("""COMPUTED_VALUE"""),"")</f>
        <v/>
      </c>
      <c r="F173" s="64" t="str">
        <f>IFERROR(__xludf.DUMMYFUNCTION("""COMPUTED_VALUE"""),"")</f>
        <v/>
      </c>
      <c r="G173" s="52" t="str">
        <f>IFERROR(__xludf.DUMMYFUNCTION("""COMPUTED_VALUE"""),"")</f>
        <v/>
      </c>
      <c r="H173" s="53" t="str">
        <f>IFERROR(__xludf.DUMMYFUNCTION("""COMPUTED_VALUE"""),"")</f>
        <v/>
      </c>
      <c r="I173" s="53" t="str">
        <f>IFERROR(__xludf.DUMMYFUNCTION("""COMPUTED_VALUE"""),"")</f>
        <v/>
      </c>
      <c r="J173" s="53" t="str">
        <f>IFERROR(__xludf.DUMMYFUNCTION("""COMPUTED_VALUE"""),"")</f>
        <v/>
      </c>
      <c r="K173" s="54" t="str">
        <f>IFERROR(__xludf.DUMMYFUNCTION("""COMPUTED_VALUE"""),"")</f>
        <v/>
      </c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6"/>
      <c r="W173" s="56"/>
      <c r="X173" s="56"/>
      <c r="Y173" s="56"/>
      <c r="Z173" s="57"/>
      <c r="AA173" s="58"/>
      <c r="AB173" s="58"/>
    </row>
    <row r="174" ht="13.5" customHeight="1">
      <c r="A174" s="60" t="str">
        <f>IFERROR(__xludf.DUMMYFUNCTION("""COMPUTED_VALUE"""),"")</f>
        <v/>
      </c>
      <c r="B174" s="64" t="str">
        <f>IFERROR(__xludf.DUMMYFUNCTION("""COMPUTED_VALUE"""),"")</f>
        <v/>
      </c>
      <c r="C174" s="63" t="str">
        <f>IFERROR(__xludf.DUMMYFUNCTION("""COMPUTED_VALUE"""),"")</f>
        <v/>
      </c>
      <c r="D174" s="63" t="str">
        <f>IFERROR(__xludf.DUMMYFUNCTION("""COMPUTED_VALUE"""),"")</f>
        <v/>
      </c>
      <c r="E174" s="51" t="str">
        <f>IFERROR(__xludf.DUMMYFUNCTION("""COMPUTED_VALUE"""),"")</f>
        <v/>
      </c>
      <c r="F174" s="64" t="str">
        <f>IFERROR(__xludf.DUMMYFUNCTION("""COMPUTED_VALUE"""),"")</f>
        <v/>
      </c>
      <c r="G174" s="52" t="str">
        <f>IFERROR(__xludf.DUMMYFUNCTION("""COMPUTED_VALUE"""),"")</f>
        <v/>
      </c>
      <c r="H174" s="53" t="str">
        <f>IFERROR(__xludf.DUMMYFUNCTION("""COMPUTED_VALUE"""),"")</f>
        <v/>
      </c>
      <c r="I174" s="53" t="str">
        <f>IFERROR(__xludf.DUMMYFUNCTION("""COMPUTED_VALUE"""),"")</f>
        <v/>
      </c>
      <c r="J174" s="53" t="str">
        <f>IFERROR(__xludf.DUMMYFUNCTION("""COMPUTED_VALUE"""),"")</f>
        <v/>
      </c>
      <c r="K174" s="54" t="str">
        <f>IFERROR(__xludf.DUMMYFUNCTION("""COMPUTED_VALUE"""),"")</f>
        <v/>
      </c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6"/>
      <c r="W174" s="56"/>
      <c r="X174" s="56"/>
      <c r="Y174" s="56"/>
      <c r="Z174" s="57"/>
      <c r="AA174" s="58"/>
      <c r="AB174" s="58"/>
    </row>
    <row r="175" ht="13.5" customHeight="1">
      <c r="A175" s="60" t="str">
        <f>IFERROR(__xludf.DUMMYFUNCTION("""COMPUTED_VALUE"""),"")</f>
        <v/>
      </c>
      <c r="B175" s="64" t="str">
        <f>IFERROR(__xludf.DUMMYFUNCTION("""COMPUTED_VALUE"""),"")</f>
        <v/>
      </c>
      <c r="C175" s="63" t="str">
        <f>IFERROR(__xludf.DUMMYFUNCTION("""COMPUTED_VALUE"""),"")</f>
        <v/>
      </c>
      <c r="D175" s="63" t="str">
        <f>IFERROR(__xludf.DUMMYFUNCTION("""COMPUTED_VALUE"""),"")</f>
        <v/>
      </c>
      <c r="E175" s="51" t="str">
        <f>IFERROR(__xludf.DUMMYFUNCTION("""COMPUTED_VALUE"""),"")</f>
        <v/>
      </c>
      <c r="F175" s="64" t="str">
        <f>IFERROR(__xludf.DUMMYFUNCTION("""COMPUTED_VALUE"""),"")</f>
        <v/>
      </c>
      <c r="G175" s="52" t="str">
        <f>IFERROR(__xludf.DUMMYFUNCTION("""COMPUTED_VALUE"""),"")</f>
        <v/>
      </c>
      <c r="H175" s="53" t="str">
        <f>IFERROR(__xludf.DUMMYFUNCTION("""COMPUTED_VALUE"""),"")</f>
        <v/>
      </c>
      <c r="I175" s="53" t="str">
        <f>IFERROR(__xludf.DUMMYFUNCTION("""COMPUTED_VALUE"""),"")</f>
        <v/>
      </c>
      <c r="J175" s="53" t="str">
        <f>IFERROR(__xludf.DUMMYFUNCTION("""COMPUTED_VALUE"""),"")</f>
        <v/>
      </c>
      <c r="K175" s="54" t="str">
        <f>IFERROR(__xludf.DUMMYFUNCTION("""COMPUTED_VALUE"""),"")</f>
        <v/>
      </c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6"/>
      <c r="W175" s="56"/>
      <c r="X175" s="56"/>
      <c r="Y175" s="56"/>
      <c r="Z175" s="57"/>
      <c r="AA175" s="58"/>
      <c r="AB175" s="58"/>
    </row>
    <row r="176" ht="13.5" customHeight="1">
      <c r="A176" s="60" t="str">
        <f>IFERROR(__xludf.DUMMYFUNCTION("""COMPUTED_VALUE"""),"")</f>
        <v/>
      </c>
      <c r="B176" s="64" t="str">
        <f>IFERROR(__xludf.DUMMYFUNCTION("""COMPUTED_VALUE"""),"")</f>
        <v/>
      </c>
      <c r="C176" s="63" t="str">
        <f>IFERROR(__xludf.DUMMYFUNCTION("""COMPUTED_VALUE"""),"")</f>
        <v/>
      </c>
      <c r="D176" s="63" t="str">
        <f>IFERROR(__xludf.DUMMYFUNCTION("""COMPUTED_VALUE"""),"")</f>
        <v/>
      </c>
      <c r="E176" s="51" t="str">
        <f>IFERROR(__xludf.DUMMYFUNCTION("""COMPUTED_VALUE"""),"")</f>
        <v/>
      </c>
      <c r="F176" s="64" t="str">
        <f>IFERROR(__xludf.DUMMYFUNCTION("""COMPUTED_VALUE"""),"")</f>
        <v/>
      </c>
      <c r="G176" s="52" t="str">
        <f>IFERROR(__xludf.DUMMYFUNCTION("""COMPUTED_VALUE"""),"")</f>
        <v/>
      </c>
      <c r="H176" s="53" t="str">
        <f>IFERROR(__xludf.DUMMYFUNCTION("""COMPUTED_VALUE"""),"")</f>
        <v/>
      </c>
      <c r="I176" s="53" t="str">
        <f>IFERROR(__xludf.DUMMYFUNCTION("""COMPUTED_VALUE"""),"")</f>
        <v/>
      </c>
      <c r="J176" s="53" t="str">
        <f>IFERROR(__xludf.DUMMYFUNCTION("""COMPUTED_VALUE"""),"")</f>
        <v/>
      </c>
      <c r="K176" s="54" t="str">
        <f>IFERROR(__xludf.DUMMYFUNCTION("""COMPUTED_VALUE"""),"")</f>
        <v/>
      </c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6"/>
      <c r="W176" s="56"/>
      <c r="X176" s="56"/>
      <c r="Y176" s="56"/>
      <c r="Z176" s="57"/>
      <c r="AA176" s="58"/>
      <c r="AB176" s="58"/>
    </row>
    <row r="177" ht="13.5" customHeight="1">
      <c r="A177" s="60" t="str">
        <f>IFERROR(__xludf.DUMMYFUNCTION("""COMPUTED_VALUE"""),"")</f>
        <v/>
      </c>
      <c r="B177" s="64" t="str">
        <f>IFERROR(__xludf.DUMMYFUNCTION("""COMPUTED_VALUE"""),"")</f>
        <v/>
      </c>
      <c r="C177" s="63" t="str">
        <f>IFERROR(__xludf.DUMMYFUNCTION("""COMPUTED_VALUE"""),"")</f>
        <v/>
      </c>
      <c r="D177" s="63" t="str">
        <f>IFERROR(__xludf.DUMMYFUNCTION("""COMPUTED_VALUE"""),"")</f>
        <v/>
      </c>
      <c r="E177" s="51" t="str">
        <f>IFERROR(__xludf.DUMMYFUNCTION("""COMPUTED_VALUE"""),"")</f>
        <v/>
      </c>
      <c r="F177" s="64" t="str">
        <f>IFERROR(__xludf.DUMMYFUNCTION("""COMPUTED_VALUE"""),"")</f>
        <v/>
      </c>
      <c r="G177" s="52" t="str">
        <f>IFERROR(__xludf.DUMMYFUNCTION("""COMPUTED_VALUE"""),"")</f>
        <v/>
      </c>
      <c r="H177" s="53" t="str">
        <f>IFERROR(__xludf.DUMMYFUNCTION("""COMPUTED_VALUE"""),"")</f>
        <v/>
      </c>
      <c r="I177" s="53" t="str">
        <f>IFERROR(__xludf.DUMMYFUNCTION("""COMPUTED_VALUE"""),"")</f>
        <v/>
      </c>
      <c r="J177" s="53" t="str">
        <f>IFERROR(__xludf.DUMMYFUNCTION("""COMPUTED_VALUE"""),"")</f>
        <v/>
      </c>
      <c r="K177" s="54" t="str">
        <f>IFERROR(__xludf.DUMMYFUNCTION("""COMPUTED_VALUE"""),"")</f>
        <v/>
      </c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6"/>
      <c r="W177" s="56"/>
      <c r="X177" s="56"/>
      <c r="Y177" s="56"/>
      <c r="Z177" s="57"/>
      <c r="AA177" s="58"/>
      <c r="AB177" s="58"/>
    </row>
    <row r="178" ht="13.5" customHeight="1">
      <c r="A178" s="60" t="str">
        <f>IFERROR(__xludf.DUMMYFUNCTION("""COMPUTED_VALUE"""),"")</f>
        <v/>
      </c>
      <c r="B178" s="64" t="str">
        <f>IFERROR(__xludf.DUMMYFUNCTION("""COMPUTED_VALUE"""),"")</f>
        <v/>
      </c>
      <c r="C178" s="63" t="str">
        <f>IFERROR(__xludf.DUMMYFUNCTION("""COMPUTED_VALUE"""),"")</f>
        <v/>
      </c>
      <c r="D178" s="63" t="str">
        <f>IFERROR(__xludf.DUMMYFUNCTION("""COMPUTED_VALUE"""),"")</f>
        <v/>
      </c>
      <c r="E178" s="51" t="str">
        <f>IFERROR(__xludf.DUMMYFUNCTION("""COMPUTED_VALUE"""),"")</f>
        <v/>
      </c>
      <c r="F178" s="64" t="str">
        <f>IFERROR(__xludf.DUMMYFUNCTION("""COMPUTED_VALUE"""),"")</f>
        <v/>
      </c>
      <c r="G178" s="52" t="str">
        <f>IFERROR(__xludf.DUMMYFUNCTION("""COMPUTED_VALUE"""),"")</f>
        <v/>
      </c>
      <c r="H178" s="53" t="str">
        <f>IFERROR(__xludf.DUMMYFUNCTION("""COMPUTED_VALUE"""),"")</f>
        <v/>
      </c>
      <c r="I178" s="53" t="str">
        <f>IFERROR(__xludf.DUMMYFUNCTION("""COMPUTED_VALUE"""),"")</f>
        <v/>
      </c>
      <c r="J178" s="53" t="str">
        <f>IFERROR(__xludf.DUMMYFUNCTION("""COMPUTED_VALUE"""),"")</f>
        <v/>
      </c>
      <c r="K178" s="54" t="str">
        <f>IFERROR(__xludf.DUMMYFUNCTION("""COMPUTED_VALUE"""),"")</f>
        <v/>
      </c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6"/>
      <c r="W178" s="56"/>
      <c r="X178" s="56"/>
      <c r="Y178" s="56"/>
      <c r="Z178" s="57"/>
      <c r="AA178" s="58"/>
      <c r="AB178" s="58"/>
    </row>
    <row r="179" ht="13.5" customHeight="1">
      <c r="A179" s="60" t="str">
        <f>IFERROR(__xludf.DUMMYFUNCTION("""COMPUTED_VALUE"""),"")</f>
        <v/>
      </c>
      <c r="B179" s="64" t="str">
        <f>IFERROR(__xludf.DUMMYFUNCTION("""COMPUTED_VALUE"""),"")</f>
        <v/>
      </c>
      <c r="C179" s="63" t="str">
        <f>IFERROR(__xludf.DUMMYFUNCTION("""COMPUTED_VALUE"""),"")</f>
        <v/>
      </c>
      <c r="D179" s="63" t="str">
        <f>IFERROR(__xludf.DUMMYFUNCTION("""COMPUTED_VALUE"""),"")</f>
        <v/>
      </c>
      <c r="E179" s="51" t="str">
        <f>IFERROR(__xludf.DUMMYFUNCTION("""COMPUTED_VALUE"""),"")</f>
        <v/>
      </c>
      <c r="F179" s="64" t="str">
        <f>IFERROR(__xludf.DUMMYFUNCTION("""COMPUTED_VALUE"""),"")</f>
        <v/>
      </c>
      <c r="G179" s="52" t="str">
        <f>IFERROR(__xludf.DUMMYFUNCTION("""COMPUTED_VALUE"""),"")</f>
        <v/>
      </c>
      <c r="H179" s="53" t="str">
        <f>IFERROR(__xludf.DUMMYFUNCTION("""COMPUTED_VALUE"""),"")</f>
        <v/>
      </c>
      <c r="I179" s="53" t="str">
        <f>IFERROR(__xludf.DUMMYFUNCTION("""COMPUTED_VALUE"""),"")</f>
        <v/>
      </c>
      <c r="J179" s="53" t="str">
        <f>IFERROR(__xludf.DUMMYFUNCTION("""COMPUTED_VALUE"""),"")</f>
        <v/>
      </c>
      <c r="K179" s="54" t="str">
        <f>IFERROR(__xludf.DUMMYFUNCTION("""COMPUTED_VALUE"""),"")</f>
        <v/>
      </c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6"/>
      <c r="W179" s="56"/>
      <c r="X179" s="56"/>
      <c r="Y179" s="56"/>
      <c r="Z179" s="57"/>
      <c r="AA179" s="58"/>
      <c r="AB179" s="58"/>
    </row>
    <row r="180" ht="13.5" customHeight="1">
      <c r="A180" s="60" t="str">
        <f>IFERROR(__xludf.DUMMYFUNCTION("""COMPUTED_VALUE"""),"")</f>
        <v/>
      </c>
      <c r="B180" s="64" t="str">
        <f>IFERROR(__xludf.DUMMYFUNCTION("""COMPUTED_VALUE"""),"")</f>
        <v/>
      </c>
      <c r="C180" s="63" t="str">
        <f>IFERROR(__xludf.DUMMYFUNCTION("""COMPUTED_VALUE"""),"")</f>
        <v/>
      </c>
      <c r="D180" s="63" t="str">
        <f>IFERROR(__xludf.DUMMYFUNCTION("""COMPUTED_VALUE"""),"")</f>
        <v/>
      </c>
      <c r="E180" s="51" t="str">
        <f>IFERROR(__xludf.DUMMYFUNCTION("""COMPUTED_VALUE"""),"")</f>
        <v/>
      </c>
      <c r="F180" s="64" t="str">
        <f>IFERROR(__xludf.DUMMYFUNCTION("""COMPUTED_VALUE"""),"")</f>
        <v/>
      </c>
      <c r="G180" s="52" t="str">
        <f>IFERROR(__xludf.DUMMYFUNCTION("""COMPUTED_VALUE"""),"")</f>
        <v/>
      </c>
      <c r="H180" s="53" t="str">
        <f>IFERROR(__xludf.DUMMYFUNCTION("""COMPUTED_VALUE"""),"")</f>
        <v/>
      </c>
      <c r="I180" s="53" t="str">
        <f>IFERROR(__xludf.DUMMYFUNCTION("""COMPUTED_VALUE"""),"")</f>
        <v/>
      </c>
      <c r="J180" s="53" t="str">
        <f>IFERROR(__xludf.DUMMYFUNCTION("""COMPUTED_VALUE"""),"")</f>
        <v/>
      </c>
      <c r="K180" s="54" t="str">
        <f>IFERROR(__xludf.DUMMYFUNCTION("""COMPUTED_VALUE"""),"")</f>
        <v/>
      </c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6"/>
      <c r="W180" s="56"/>
      <c r="X180" s="56"/>
      <c r="Y180" s="56"/>
      <c r="Z180" s="57"/>
      <c r="AA180" s="58"/>
      <c r="AB180" s="58"/>
    </row>
    <row r="181" ht="13.5" customHeight="1">
      <c r="A181" s="65"/>
      <c r="B181" s="66"/>
      <c r="C181" s="67"/>
      <c r="D181" s="67"/>
      <c r="E181" s="66"/>
      <c r="F181" s="68"/>
      <c r="G181" s="66"/>
      <c r="H181" s="66"/>
      <c r="I181" s="66"/>
      <c r="J181" s="66"/>
      <c r="K181" s="69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6"/>
      <c r="W181" s="56"/>
      <c r="X181" s="56"/>
      <c r="Y181" s="56"/>
      <c r="Z181" s="57"/>
      <c r="AA181" s="58"/>
      <c r="AB181" s="58"/>
    </row>
    <row r="182" ht="13.5" customHeight="1">
      <c r="A182" s="65"/>
      <c r="B182" s="66"/>
      <c r="C182" s="67"/>
      <c r="D182" s="67"/>
      <c r="E182" s="66"/>
      <c r="F182" s="68"/>
      <c r="G182" s="66"/>
      <c r="H182" s="66"/>
      <c r="I182" s="66"/>
      <c r="J182" s="66"/>
      <c r="K182" s="69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6"/>
      <c r="W182" s="56"/>
      <c r="X182" s="56"/>
      <c r="Y182" s="56"/>
      <c r="Z182" s="57"/>
      <c r="AA182" s="58"/>
      <c r="AB182" s="58"/>
    </row>
    <row r="183" ht="15.75" customHeight="1">
      <c r="A183" s="65"/>
      <c r="B183" s="66"/>
      <c r="C183" s="67"/>
      <c r="D183" s="67"/>
      <c r="E183" s="66"/>
      <c r="F183" s="68"/>
      <c r="G183" s="66"/>
      <c r="H183" s="66"/>
      <c r="I183" s="66"/>
      <c r="J183" s="66"/>
      <c r="K183" s="69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7"/>
      <c r="AA183" s="58"/>
      <c r="AB183" s="58"/>
    </row>
    <row r="184" ht="15.75" customHeight="1">
      <c r="A184" s="65"/>
      <c r="B184" s="66"/>
      <c r="C184" s="67"/>
      <c r="D184" s="67"/>
      <c r="E184" s="66"/>
      <c r="F184" s="68"/>
      <c r="G184" s="66"/>
      <c r="H184" s="66"/>
      <c r="I184" s="66"/>
      <c r="J184" s="66"/>
      <c r="K184" s="69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7"/>
      <c r="AA184" s="58"/>
      <c r="AB184" s="58"/>
    </row>
    <row r="185" ht="15.75" customHeight="1">
      <c r="A185" s="65"/>
      <c r="B185" s="66"/>
      <c r="C185" s="67"/>
      <c r="D185" s="67"/>
      <c r="E185" s="66"/>
      <c r="F185" s="68"/>
      <c r="G185" s="66"/>
      <c r="H185" s="66"/>
      <c r="I185" s="66"/>
      <c r="J185" s="66"/>
      <c r="K185" s="69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7"/>
      <c r="AA185" s="58"/>
      <c r="AB185" s="58"/>
    </row>
    <row r="186" ht="15.75" customHeight="1">
      <c r="A186" s="65"/>
      <c r="B186" s="66"/>
      <c r="C186" s="67"/>
      <c r="D186" s="67"/>
      <c r="E186" s="66"/>
      <c r="F186" s="68"/>
      <c r="G186" s="66"/>
      <c r="H186" s="66"/>
      <c r="I186" s="66"/>
      <c r="J186" s="66"/>
      <c r="K186" s="69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7"/>
      <c r="AA186" s="58"/>
      <c r="AB186" s="58"/>
    </row>
    <row r="187" ht="15.75" customHeight="1">
      <c r="A187" s="65"/>
      <c r="B187" s="66"/>
      <c r="C187" s="67"/>
      <c r="D187" s="67"/>
      <c r="E187" s="66"/>
      <c r="F187" s="68"/>
      <c r="G187" s="66"/>
      <c r="H187" s="66"/>
      <c r="I187" s="66"/>
      <c r="J187" s="66"/>
      <c r="K187" s="69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7"/>
      <c r="AA187" s="58"/>
      <c r="AB187" s="58"/>
    </row>
    <row r="188" ht="15.75" customHeight="1">
      <c r="A188" s="65"/>
      <c r="B188" s="66"/>
      <c r="C188" s="67"/>
      <c r="D188" s="67"/>
      <c r="E188" s="66"/>
      <c r="F188" s="68"/>
      <c r="G188" s="66"/>
      <c r="H188" s="66"/>
      <c r="I188" s="66"/>
      <c r="J188" s="66"/>
      <c r="K188" s="69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7"/>
      <c r="AA188" s="58"/>
      <c r="AB188" s="58"/>
    </row>
    <row r="189" ht="15.75" customHeight="1">
      <c r="A189" s="65"/>
      <c r="B189" s="66"/>
      <c r="C189" s="67"/>
      <c r="D189" s="67"/>
      <c r="E189" s="66"/>
      <c r="F189" s="68"/>
      <c r="G189" s="66"/>
      <c r="H189" s="66"/>
      <c r="I189" s="66"/>
      <c r="J189" s="66"/>
      <c r="K189" s="69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7"/>
      <c r="AA189" s="58"/>
      <c r="AB189" s="58"/>
    </row>
    <row r="190" ht="15.75" customHeight="1">
      <c r="A190" s="65"/>
      <c r="B190" s="66"/>
      <c r="C190" s="67"/>
      <c r="D190" s="67"/>
      <c r="E190" s="66"/>
      <c r="F190" s="68"/>
      <c r="G190" s="66"/>
      <c r="H190" s="66"/>
      <c r="I190" s="66"/>
      <c r="J190" s="66"/>
      <c r="K190" s="69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7"/>
      <c r="AA190" s="58"/>
      <c r="AB190" s="58"/>
    </row>
    <row r="191" ht="15.75" customHeight="1">
      <c r="A191" s="65"/>
      <c r="B191" s="66"/>
      <c r="C191" s="67"/>
      <c r="D191" s="67"/>
      <c r="E191" s="66"/>
      <c r="F191" s="68"/>
      <c r="G191" s="66"/>
      <c r="H191" s="66"/>
      <c r="I191" s="66"/>
      <c r="J191" s="66"/>
      <c r="K191" s="69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7"/>
      <c r="AA191" s="58"/>
      <c r="AB191" s="58"/>
    </row>
    <row r="192" ht="15.75" customHeight="1">
      <c r="A192" s="65"/>
      <c r="B192" s="66"/>
      <c r="C192" s="67"/>
      <c r="D192" s="67"/>
      <c r="E192" s="66"/>
      <c r="F192" s="70"/>
      <c r="G192" s="66"/>
      <c r="H192" s="66"/>
      <c r="I192" s="66"/>
      <c r="J192" s="66"/>
      <c r="K192" s="69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7"/>
      <c r="AA192" s="58"/>
      <c r="AB192" s="58"/>
    </row>
    <row r="193" ht="15.75" customHeight="1">
      <c r="A193" s="65"/>
      <c r="B193" s="66"/>
      <c r="C193" s="67"/>
      <c r="D193" s="67"/>
      <c r="E193" s="66"/>
      <c r="F193" s="70"/>
      <c r="G193" s="66"/>
      <c r="H193" s="66"/>
      <c r="I193" s="66"/>
      <c r="J193" s="66"/>
      <c r="K193" s="69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7"/>
      <c r="AA193" s="58"/>
      <c r="AB193" s="58"/>
    </row>
    <row r="194" ht="15.75" customHeight="1">
      <c r="A194" s="65"/>
      <c r="B194" s="66"/>
      <c r="C194" s="67"/>
      <c r="D194" s="67"/>
      <c r="E194" s="66"/>
      <c r="F194" s="70"/>
      <c r="G194" s="66"/>
      <c r="H194" s="66"/>
      <c r="I194" s="66"/>
      <c r="J194" s="66"/>
      <c r="K194" s="69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7"/>
      <c r="AA194" s="58"/>
      <c r="AB194" s="58"/>
    </row>
    <row r="195" ht="15.75" customHeight="1">
      <c r="A195" s="65"/>
      <c r="B195" s="66"/>
      <c r="C195" s="67"/>
      <c r="D195" s="67"/>
      <c r="E195" s="66"/>
      <c r="F195" s="70"/>
      <c r="G195" s="66"/>
      <c r="H195" s="66"/>
      <c r="I195" s="66"/>
      <c r="J195" s="66"/>
      <c r="K195" s="69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7"/>
      <c r="AA195" s="58"/>
      <c r="AB195" s="58"/>
    </row>
    <row r="196" ht="15.75" customHeight="1">
      <c r="A196" s="65"/>
      <c r="B196" s="66"/>
      <c r="C196" s="67"/>
      <c r="D196" s="67"/>
      <c r="E196" s="66"/>
      <c r="F196" s="70"/>
      <c r="G196" s="66"/>
      <c r="H196" s="66"/>
      <c r="I196" s="66"/>
      <c r="J196" s="66"/>
      <c r="K196" s="69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7"/>
      <c r="AA196" s="58"/>
      <c r="AB196" s="58"/>
    </row>
    <row r="197" ht="15.75" customHeight="1">
      <c r="A197" s="65"/>
      <c r="B197" s="66"/>
      <c r="C197" s="67"/>
      <c r="D197" s="67"/>
      <c r="E197" s="66"/>
      <c r="F197" s="70"/>
      <c r="G197" s="66"/>
      <c r="H197" s="66"/>
      <c r="I197" s="66"/>
      <c r="J197" s="66"/>
      <c r="K197" s="69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7"/>
      <c r="AA197" s="58"/>
      <c r="AB197" s="58"/>
    </row>
    <row r="198" ht="15.75" customHeight="1">
      <c r="A198" s="65"/>
      <c r="B198" s="66"/>
      <c r="C198" s="67"/>
      <c r="D198" s="67"/>
      <c r="E198" s="66"/>
      <c r="F198" s="70"/>
      <c r="G198" s="66"/>
      <c r="H198" s="66"/>
      <c r="I198" s="66"/>
      <c r="J198" s="66"/>
      <c r="K198" s="69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7"/>
      <c r="AA198" s="58"/>
      <c r="AB198" s="58"/>
    </row>
    <row r="199" ht="15.75" customHeight="1">
      <c r="A199" s="65"/>
      <c r="B199" s="66"/>
      <c r="C199" s="67"/>
      <c r="D199" s="67"/>
      <c r="E199" s="66"/>
      <c r="F199" s="70"/>
      <c r="G199" s="66"/>
      <c r="H199" s="66"/>
      <c r="I199" s="66"/>
      <c r="J199" s="66"/>
      <c r="K199" s="69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7"/>
      <c r="AA199" s="58"/>
      <c r="AB199" s="58"/>
    </row>
    <row r="200" ht="15.75" customHeight="1">
      <c r="A200" s="65"/>
      <c r="B200" s="66"/>
      <c r="C200" s="67"/>
      <c r="D200" s="67"/>
      <c r="E200" s="66"/>
      <c r="F200" s="70"/>
      <c r="G200" s="66"/>
      <c r="H200" s="66"/>
      <c r="I200" s="66"/>
      <c r="J200" s="66"/>
      <c r="K200" s="69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7"/>
      <c r="AA200" s="58"/>
      <c r="AB200" s="58"/>
    </row>
    <row r="201" ht="15.75" customHeight="1">
      <c r="A201" s="65"/>
      <c r="B201" s="66"/>
      <c r="C201" s="67"/>
      <c r="D201" s="67"/>
      <c r="E201" s="66"/>
      <c r="F201" s="70"/>
      <c r="G201" s="66"/>
      <c r="H201" s="66"/>
      <c r="I201" s="66"/>
      <c r="J201" s="66"/>
      <c r="K201" s="69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7"/>
      <c r="AA201" s="58"/>
      <c r="AB201" s="58"/>
    </row>
    <row r="202" ht="15.75" customHeight="1">
      <c r="A202" s="65"/>
      <c r="B202" s="66"/>
      <c r="C202" s="67"/>
      <c r="D202" s="67"/>
      <c r="E202" s="66"/>
      <c r="F202" s="70"/>
      <c r="G202" s="66"/>
      <c r="H202" s="66"/>
      <c r="I202" s="66"/>
      <c r="J202" s="66"/>
      <c r="K202" s="69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7"/>
      <c r="AA202" s="58"/>
      <c r="AB202" s="58"/>
    </row>
    <row r="203" ht="15.75" customHeight="1">
      <c r="A203" s="65"/>
      <c r="B203" s="66"/>
      <c r="C203" s="67"/>
      <c r="D203" s="67"/>
      <c r="E203" s="66"/>
      <c r="F203" s="70"/>
      <c r="G203" s="66"/>
      <c r="H203" s="66"/>
      <c r="I203" s="66"/>
      <c r="J203" s="66"/>
      <c r="K203" s="69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7"/>
      <c r="AA203" s="58"/>
      <c r="AB203" s="58"/>
    </row>
    <row r="204" ht="15.75" customHeight="1">
      <c r="A204" s="65"/>
      <c r="B204" s="66"/>
      <c r="C204" s="67"/>
      <c r="D204" s="67"/>
      <c r="E204" s="66"/>
      <c r="F204" s="70"/>
      <c r="G204" s="66"/>
      <c r="H204" s="66"/>
      <c r="I204" s="66"/>
      <c r="J204" s="66"/>
      <c r="K204" s="69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7"/>
      <c r="AA204" s="58"/>
      <c r="AB204" s="58"/>
    </row>
    <row r="205" ht="15.75" customHeight="1">
      <c r="A205" s="65"/>
      <c r="B205" s="66"/>
      <c r="C205" s="67"/>
      <c r="D205" s="67"/>
      <c r="E205" s="66"/>
      <c r="F205" s="70"/>
      <c r="G205" s="66"/>
      <c r="H205" s="66"/>
      <c r="I205" s="66"/>
      <c r="J205" s="66"/>
      <c r="K205" s="69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7"/>
      <c r="AA205" s="58"/>
      <c r="AB205" s="58"/>
    </row>
    <row r="206" ht="15.75" customHeight="1">
      <c r="A206" s="65"/>
      <c r="B206" s="66"/>
      <c r="C206" s="67"/>
      <c r="D206" s="67"/>
      <c r="E206" s="66"/>
      <c r="F206" s="70"/>
      <c r="G206" s="66"/>
      <c r="H206" s="66"/>
      <c r="I206" s="66"/>
      <c r="J206" s="66"/>
      <c r="K206" s="69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7"/>
      <c r="AA206" s="58"/>
      <c r="AB206" s="58"/>
    </row>
    <row r="207" ht="15.75" customHeight="1">
      <c r="A207" s="65"/>
      <c r="B207" s="66"/>
      <c r="C207" s="67"/>
      <c r="D207" s="67"/>
      <c r="E207" s="66"/>
      <c r="F207" s="70"/>
      <c r="G207" s="66"/>
      <c r="H207" s="66"/>
      <c r="I207" s="66"/>
      <c r="J207" s="66"/>
      <c r="K207" s="69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7"/>
      <c r="AA207" s="58"/>
      <c r="AB207" s="58"/>
    </row>
    <row r="208" ht="15.75" customHeight="1">
      <c r="A208" s="65"/>
      <c r="B208" s="66"/>
      <c r="C208" s="67"/>
      <c r="D208" s="67"/>
      <c r="E208" s="66"/>
      <c r="F208" s="70"/>
      <c r="G208" s="66"/>
      <c r="H208" s="66"/>
      <c r="I208" s="66"/>
      <c r="J208" s="66"/>
      <c r="K208" s="69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7"/>
      <c r="AA208" s="58"/>
      <c r="AB208" s="58"/>
    </row>
    <row r="209" ht="15.75" customHeight="1">
      <c r="A209" s="65"/>
      <c r="B209" s="66"/>
      <c r="C209" s="67"/>
      <c r="D209" s="67"/>
      <c r="E209" s="66"/>
      <c r="F209" s="70"/>
      <c r="G209" s="66"/>
      <c r="H209" s="66"/>
      <c r="I209" s="66"/>
      <c r="J209" s="66"/>
      <c r="K209" s="69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7"/>
      <c r="AA209" s="58"/>
      <c r="AB209" s="58"/>
    </row>
    <row r="210" ht="15.75" customHeight="1">
      <c r="A210" s="65"/>
      <c r="B210" s="66"/>
      <c r="C210" s="67"/>
      <c r="D210" s="67"/>
      <c r="E210" s="66"/>
      <c r="F210" s="70"/>
      <c r="G210" s="66"/>
      <c r="H210" s="66"/>
      <c r="I210" s="66"/>
      <c r="J210" s="66"/>
      <c r="K210" s="69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7"/>
      <c r="AA210" s="58"/>
      <c r="AB210" s="58"/>
    </row>
    <row r="211" ht="15.75" customHeight="1">
      <c r="A211" s="65"/>
      <c r="B211" s="66"/>
      <c r="C211" s="67"/>
      <c r="D211" s="67"/>
      <c r="E211" s="66"/>
      <c r="F211" s="70"/>
      <c r="G211" s="66"/>
      <c r="H211" s="66"/>
      <c r="I211" s="66"/>
      <c r="J211" s="66"/>
      <c r="K211" s="69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7"/>
      <c r="AA211" s="58"/>
      <c r="AB211" s="58"/>
    </row>
    <row r="212" ht="15.75" customHeight="1">
      <c r="A212" s="65"/>
      <c r="B212" s="66"/>
      <c r="C212" s="67"/>
      <c r="D212" s="67"/>
      <c r="E212" s="66"/>
      <c r="F212" s="70"/>
      <c r="G212" s="66"/>
      <c r="H212" s="66"/>
      <c r="I212" s="66"/>
      <c r="J212" s="66"/>
      <c r="K212" s="69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7"/>
      <c r="AA212" s="58"/>
      <c r="AB212" s="58"/>
    </row>
    <row r="213" ht="15.75" customHeight="1">
      <c r="A213" s="65"/>
      <c r="B213" s="66"/>
      <c r="C213" s="67"/>
      <c r="D213" s="67"/>
      <c r="E213" s="66"/>
      <c r="F213" s="70"/>
      <c r="G213" s="66"/>
      <c r="H213" s="66"/>
      <c r="I213" s="66"/>
      <c r="J213" s="66"/>
      <c r="K213" s="69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7"/>
      <c r="AA213" s="58"/>
      <c r="AB213" s="58"/>
    </row>
    <row r="214" ht="15.75" customHeight="1">
      <c r="A214" s="65"/>
      <c r="B214" s="66"/>
      <c r="C214" s="67"/>
      <c r="D214" s="67"/>
      <c r="E214" s="66"/>
      <c r="F214" s="70"/>
      <c r="G214" s="66"/>
      <c r="H214" s="66"/>
      <c r="I214" s="66"/>
      <c r="J214" s="66"/>
      <c r="K214" s="69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7"/>
      <c r="AA214" s="58"/>
      <c r="AB214" s="58"/>
    </row>
    <row r="215" ht="15.75" customHeight="1">
      <c r="A215" s="65"/>
      <c r="B215" s="66"/>
      <c r="C215" s="67"/>
      <c r="D215" s="67"/>
      <c r="E215" s="66"/>
      <c r="F215" s="70"/>
      <c r="G215" s="66"/>
      <c r="H215" s="66"/>
      <c r="I215" s="66"/>
      <c r="J215" s="66"/>
      <c r="K215" s="69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7"/>
      <c r="AA215" s="58"/>
      <c r="AB215" s="58"/>
    </row>
    <row r="216" ht="15.75" customHeight="1">
      <c r="A216" s="65"/>
      <c r="B216" s="66"/>
      <c r="C216" s="67"/>
      <c r="D216" s="67"/>
      <c r="E216" s="66"/>
      <c r="F216" s="70"/>
      <c r="G216" s="66"/>
      <c r="H216" s="66"/>
      <c r="I216" s="66"/>
      <c r="J216" s="66"/>
      <c r="K216" s="69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7"/>
      <c r="AA216" s="58"/>
      <c r="AB216" s="58"/>
    </row>
    <row r="217" ht="15.75" customHeight="1">
      <c r="A217" s="65"/>
      <c r="B217" s="66"/>
      <c r="C217" s="67"/>
      <c r="D217" s="67"/>
      <c r="E217" s="66"/>
      <c r="F217" s="70"/>
      <c r="G217" s="66"/>
      <c r="H217" s="66"/>
      <c r="I217" s="66"/>
      <c r="J217" s="66"/>
      <c r="K217" s="69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7"/>
      <c r="AA217" s="58"/>
      <c r="AB217" s="58"/>
    </row>
    <row r="218" ht="15.75" customHeight="1">
      <c r="A218" s="65"/>
      <c r="B218" s="66"/>
      <c r="C218" s="67"/>
      <c r="D218" s="67"/>
      <c r="E218" s="66"/>
      <c r="F218" s="70"/>
      <c r="G218" s="66"/>
      <c r="H218" s="66"/>
      <c r="I218" s="66"/>
      <c r="J218" s="66"/>
      <c r="K218" s="69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7"/>
      <c r="AA218" s="58"/>
      <c r="AB218" s="58"/>
    </row>
    <row r="219" ht="15.75" customHeight="1">
      <c r="A219" s="65"/>
      <c r="B219" s="66"/>
      <c r="C219" s="67"/>
      <c r="D219" s="67"/>
      <c r="E219" s="66"/>
      <c r="F219" s="70"/>
      <c r="G219" s="66"/>
      <c r="H219" s="66"/>
      <c r="I219" s="66"/>
      <c r="J219" s="66"/>
      <c r="K219" s="69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7"/>
      <c r="AA219" s="58"/>
      <c r="AB219" s="58"/>
    </row>
    <row r="220" ht="15.75" customHeight="1">
      <c r="A220" s="65"/>
      <c r="B220" s="66"/>
      <c r="C220" s="67"/>
      <c r="D220" s="67"/>
      <c r="E220" s="66"/>
      <c r="F220" s="70"/>
      <c r="G220" s="66"/>
      <c r="H220" s="66"/>
      <c r="I220" s="66"/>
      <c r="J220" s="66"/>
      <c r="K220" s="69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7"/>
      <c r="AA220" s="58"/>
      <c r="AB220" s="58"/>
    </row>
    <row r="221" ht="15.75" customHeight="1">
      <c r="A221" s="65"/>
      <c r="B221" s="66"/>
      <c r="C221" s="67"/>
      <c r="D221" s="67"/>
      <c r="E221" s="66"/>
      <c r="F221" s="70"/>
      <c r="G221" s="66"/>
      <c r="H221" s="66"/>
      <c r="I221" s="66"/>
      <c r="J221" s="66"/>
      <c r="K221" s="69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7"/>
      <c r="AA221" s="58"/>
      <c r="AB221" s="58"/>
    </row>
    <row r="222" ht="15.75" customHeight="1">
      <c r="A222" s="65"/>
      <c r="B222" s="66"/>
      <c r="C222" s="67"/>
      <c r="D222" s="67"/>
      <c r="E222" s="66"/>
      <c r="F222" s="70"/>
      <c r="G222" s="66"/>
      <c r="H222" s="66"/>
      <c r="I222" s="66"/>
      <c r="J222" s="66"/>
      <c r="K222" s="69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7"/>
      <c r="AA222" s="58"/>
      <c r="AB222" s="58"/>
    </row>
    <row r="223" ht="15.75" customHeight="1">
      <c r="A223" s="65"/>
      <c r="B223" s="66"/>
      <c r="C223" s="67"/>
      <c r="D223" s="67"/>
      <c r="E223" s="66"/>
      <c r="F223" s="70"/>
      <c r="G223" s="66"/>
      <c r="H223" s="66"/>
      <c r="I223" s="66"/>
      <c r="J223" s="66"/>
      <c r="K223" s="69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7"/>
      <c r="AA223" s="58"/>
      <c r="AB223" s="58"/>
    </row>
    <row r="224" ht="15.75" customHeight="1">
      <c r="A224" s="65"/>
      <c r="B224" s="66"/>
      <c r="C224" s="67"/>
      <c r="D224" s="67"/>
      <c r="E224" s="66"/>
      <c r="F224" s="70"/>
      <c r="G224" s="66"/>
      <c r="H224" s="66"/>
      <c r="I224" s="66"/>
      <c r="J224" s="66"/>
      <c r="K224" s="69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7"/>
      <c r="AA224" s="58"/>
      <c r="AB224" s="58"/>
    </row>
    <row r="225" ht="15.75" customHeight="1">
      <c r="A225" s="65"/>
      <c r="B225" s="66"/>
      <c r="C225" s="67"/>
      <c r="D225" s="67"/>
      <c r="E225" s="66"/>
      <c r="F225" s="70"/>
      <c r="G225" s="66"/>
      <c r="H225" s="66"/>
      <c r="I225" s="66"/>
      <c r="J225" s="66"/>
      <c r="K225" s="69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7"/>
      <c r="AA225" s="58"/>
      <c r="AB225" s="58"/>
    </row>
    <row r="226" ht="15.75" customHeight="1">
      <c r="A226" s="65"/>
      <c r="B226" s="66"/>
      <c r="C226" s="67"/>
      <c r="D226" s="67"/>
      <c r="E226" s="66"/>
      <c r="F226" s="70"/>
      <c r="G226" s="66"/>
      <c r="H226" s="66"/>
      <c r="I226" s="66"/>
      <c r="J226" s="66"/>
      <c r="K226" s="69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7"/>
      <c r="AA226" s="58"/>
      <c r="AB226" s="58"/>
    </row>
    <row r="227" ht="15.75" customHeight="1">
      <c r="A227" s="65"/>
      <c r="B227" s="66"/>
      <c r="C227" s="67"/>
      <c r="D227" s="67"/>
      <c r="E227" s="66"/>
      <c r="F227" s="70"/>
      <c r="G227" s="66"/>
      <c r="H227" s="66"/>
      <c r="I227" s="66"/>
      <c r="J227" s="66"/>
      <c r="K227" s="69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7"/>
      <c r="AA227" s="58"/>
      <c r="AB227" s="58"/>
    </row>
    <row r="228" ht="15.75" customHeight="1">
      <c r="A228" s="65"/>
      <c r="B228" s="66"/>
      <c r="C228" s="67"/>
      <c r="D228" s="67"/>
      <c r="E228" s="66"/>
      <c r="F228" s="70"/>
      <c r="G228" s="66"/>
      <c r="H228" s="66"/>
      <c r="I228" s="66"/>
      <c r="J228" s="66"/>
      <c r="K228" s="69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7"/>
      <c r="AA228" s="58"/>
      <c r="AB228" s="58"/>
    </row>
    <row r="229" ht="15.75" customHeight="1">
      <c r="A229" s="65"/>
      <c r="B229" s="66"/>
      <c r="C229" s="67"/>
      <c r="D229" s="67"/>
      <c r="E229" s="66"/>
      <c r="F229" s="70"/>
      <c r="G229" s="66"/>
      <c r="H229" s="66"/>
      <c r="I229" s="66"/>
      <c r="J229" s="66"/>
      <c r="K229" s="69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7"/>
      <c r="AA229" s="58"/>
      <c r="AB229" s="58"/>
    </row>
    <row r="230" ht="15.75" customHeight="1">
      <c r="A230" s="65"/>
      <c r="B230" s="66"/>
      <c r="C230" s="67"/>
      <c r="D230" s="67"/>
      <c r="E230" s="66"/>
      <c r="F230" s="70"/>
      <c r="G230" s="66"/>
      <c r="H230" s="66"/>
      <c r="I230" s="66"/>
      <c r="J230" s="66"/>
      <c r="K230" s="69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7"/>
      <c r="AA230" s="58"/>
      <c r="AB230" s="58"/>
    </row>
    <row r="231" ht="15.75" customHeight="1">
      <c r="A231" s="65"/>
      <c r="B231" s="66"/>
      <c r="C231" s="67"/>
      <c r="D231" s="67"/>
      <c r="E231" s="66"/>
      <c r="F231" s="70"/>
      <c r="G231" s="66"/>
      <c r="H231" s="66"/>
      <c r="I231" s="66"/>
      <c r="J231" s="66"/>
      <c r="K231" s="69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7"/>
      <c r="AA231" s="58"/>
      <c r="AB231" s="58"/>
    </row>
    <row r="232" ht="15.75" customHeight="1">
      <c r="A232" s="65"/>
      <c r="B232" s="66"/>
      <c r="C232" s="67"/>
      <c r="D232" s="67"/>
      <c r="E232" s="66"/>
      <c r="F232" s="70"/>
      <c r="G232" s="66"/>
      <c r="H232" s="66"/>
      <c r="I232" s="66"/>
      <c r="J232" s="66"/>
      <c r="K232" s="69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7"/>
      <c r="AA232" s="58"/>
      <c r="AB232" s="58"/>
    </row>
    <row r="233" ht="15.75" customHeight="1">
      <c r="A233" s="65"/>
      <c r="B233" s="66"/>
      <c r="C233" s="67"/>
      <c r="D233" s="67"/>
      <c r="E233" s="66"/>
      <c r="F233" s="70"/>
      <c r="G233" s="66"/>
      <c r="H233" s="66"/>
      <c r="I233" s="66"/>
      <c r="J233" s="66"/>
      <c r="K233" s="69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7"/>
      <c r="AA233" s="58"/>
      <c r="AB233" s="58"/>
    </row>
    <row r="234" ht="15.75" customHeight="1">
      <c r="A234" s="65"/>
      <c r="B234" s="66"/>
      <c r="C234" s="67"/>
      <c r="D234" s="67"/>
      <c r="E234" s="66"/>
      <c r="F234" s="70"/>
      <c r="G234" s="66"/>
      <c r="H234" s="66"/>
      <c r="I234" s="66"/>
      <c r="J234" s="66"/>
      <c r="K234" s="69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7"/>
      <c r="AA234" s="58"/>
      <c r="AB234" s="58"/>
    </row>
    <row r="235" ht="15.75" customHeight="1">
      <c r="A235" s="65"/>
      <c r="B235" s="66"/>
      <c r="C235" s="67"/>
      <c r="D235" s="67"/>
      <c r="E235" s="66"/>
      <c r="F235" s="70"/>
      <c r="G235" s="66"/>
      <c r="H235" s="66"/>
      <c r="I235" s="66"/>
      <c r="J235" s="66"/>
      <c r="K235" s="69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7"/>
      <c r="AA235" s="58"/>
      <c r="AB235" s="58"/>
    </row>
    <row r="236" ht="15.75" customHeight="1">
      <c r="A236" s="65"/>
      <c r="B236" s="66"/>
      <c r="C236" s="67"/>
      <c r="D236" s="67"/>
      <c r="E236" s="66"/>
      <c r="F236" s="70"/>
      <c r="G236" s="66"/>
      <c r="H236" s="66"/>
      <c r="I236" s="66"/>
      <c r="J236" s="66"/>
      <c r="K236" s="69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7"/>
      <c r="AA236" s="58"/>
      <c r="AB236" s="58"/>
    </row>
    <row r="237" ht="15.75" customHeight="1">
      <c r="A237" s="65"/>
      <c r="B237" s="66"/>
      <c r="C237" s="67"/>
      <c r="D237" s="67"/>
      <c r="E237" s="66"/>
      <c r="F237" s="70"/>
      <c r="G237" s="66"/>
      <c r="H237" s="66"/>
      <c r="I237" s="66"/>
      <c r="J237" s="66"/>
      <c r="K237" s="69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7"/>
      <c r="AA237" s="58"/>
      <c r="AB237" s="58"/>
    </row>
    <row r="238" ht="15.75" customHeight="1">
      <c r="A238" s="65"/>
      <c r="B238" s="66"/>
      <c r="C238" s="67"/>
      <c r="D238" s="67"/>
      <c r="E238" s="66"/>
      <c r="F238" s="70"/>
      <c r="G238" s="66"/>
      <c r="H238" s="66"/>
      <c r="I238" s="66"/>
      <c r="J238" s="66"/>
      <c r="K238" s="69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7"/>
      <c r="AA238" s="58"/>
      <c r="AB238" s="58"/>
    </row>
    <row r="239" ht="15.75" customHeight="1">
      <c r="A239" s="65"/>
      <c r="B239" s="66"/>
      <c r="C239" s="67"/>
      <c r="D239" s="67"/>
      <c r="E239" s="66"/>
      <c r="F239" s="70"/>
      <c r="G239" s="66"/>
      <c r="H239" s="66"/>
      <c r="I239" s="66"/>
      <c r="J239" s="66"/>
      <c r="K239" s="69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7"/>
      <c r="AA239" s="58"/>
      <c r="AB239" s="58"/>
    </row>
    <row r="240" ht="15.75" customHeight="1">
      <c r="A240" s="65"/>
      <c r="B240" s="66"/>
      <c r="C240" s="67"/>
      <c r="D240" s="67"/>
      <c r="E240" s="66"/>
      <c r="F240" s="70"/>
      <c r="G240" s="66"/>
      <c r="H240" s="66"/>
      <c r="I240" s="66"/>
      <c r="J240" s="66"/>
      <c r="K240" s="69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7"/>
      <c r="AA240" s="58"/>
      <c r="AB240" s="58"/>
    </row>
    <row r="241" ht="15.75" customHeight="1">
      <c r="A241" s="65"/>
      <c r="B241" s="66"/>
      <c r="C241" s="67"/>
      <c r="D241" s="67"/>
      <c r="E241" s="66"/>
      <c r="F241" s="70"/>
      <c r="G241" s="66"/>
      <c r="H241" s="66"/>
      <c r="I241" s="66"/>
      <c r="J241" s="66"/>
      <c r="K241" s="69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7"/>
      <c r="AA241" s="58"/>
      <c r="AB241" s="58"/>
    </row>
    <row r="242" ht="15.75" customHeight="1">
      <c r="A242" s="65"/>
      <c r="B242" s="66"/>
      <c r="C242" s="67"/>
      <c r="D242" s="67"/>
      <c r="E242" s="66"/>
      <c r="F242" s="70"/>
      <c r="G242" s="66"/>
      <c r="H242" s="66"/>
      <c r="I242" s="66"/>
      <c r="J242" s="66"/>
      <c r="K242" s="69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7"/>
      <c r="AA242" s="58"/>
      <c r="AB242" s="58"/>
    </row>
    <row r="243" ht="15.75" customHeight="1">
      <c r="A243" s="65"/>
      <c r="B243" s="66"/>
      <c r="C243" s="67"/>
      <c r="D243" s="67"/>
      <c r="E243" s="66"/>
      <c r="F243" s="70"/>
      <c r="G243" s="66"/>
      <c r="H243" s="66"/>
      <c r="I243" s="66"/>
      <c r="J243" s="66"/>
      <c r="K243" s="69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7"/>
      <c r="AA243" s="58"/>
      <c r="AB243" s="58"/>
    </row>
    <row r="244" ht="15.75" customHeight="1">
      <c r="A244" s="65"/>
      <c r="B244" s="66"/>
      <c r="C244" s="67"/>
      <c r="D244" s="67"/>
      <c r="E244" s="66"/>
      <c r="F244" s="70"/>
      <c r="G244" s="66"/>
      <c r="H244" s="66"/>
      <c r="I244" s="66"/>
      <c r="J244" s="66"/>
      <c r="K244" s="69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7"/>
      <c r="AA244" s="58"/>
      <c r="AB244" s="58"/>
    </row>
    <row r="245" ht="15.75" customHeight="1">
      <c r="A245" s="65"/>
      <c r="B245" s="66"/>
      <c r="C245" s="67"/>
      <c r="D245" s="67"/>
      <c r="E245" s="66"/>
      <c r="F245" s="70"/>
      <c r="G245" s="66"/>
      <c r="H245" s="66"/>
      <c r="I245" s="66"/>
      <c r="J245" s="66"/>
      <c r="K245" s="69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7"/>
      <c r="AA245" s="58"/>
      <c r="AB245" s="58"/>
    </row>
    <row r="246" ht="15.75" customHeight="1">
      <c r="A246" s="65"/>
      <c r="B246" s="66"/>
      <c r="C246" s="67"/>
      <c r="D246" s="67"/>
      <c r="E246" s="66"/>
      <c r="F246" s="70"/>
      <c r="G246" s="66"/>
      <c r="H246" s="66"/>
      <c r="I246" s="66"/>
      <c r="J246" s="66"/>
      <c r="K246" s="69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7"/>
      <c r="AA246" s="58"/>
      <c r="AB246" s="58"/>
    </row>
    <row r="247" ht="15.75" customHeight="1">
      <c r="A247" s="65"/>
      <c r="B247" s="66"/>
      <c r="C247" s="67"/>
      <c r="D247" s="67"/>
      <c r="E247" s="66"/>
      <c r="F247" s="70"/>
      <c r="G247" s="66"/>
      <c r="H247" s="66"/>
      <c r="I247" s="66"/>
      <c r="J247" s="66"/>
      <c r="K247" s="69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7"/>
      <c r="AA247" s="58"/>
      <c r="AB247" s="58"/>
    </row>
    <row r="248" ht="15.75" customHeight="1">
      <c r="A248" s="65"/>
      <c r="B248" s="66"/>
      <c r="C248" s="67"/>
      <c r="D248" s="67"/>
      <c r="E248" s="66"/>
      <c r="F248" s="70"/>
      <c r="G248" s="66"/>
      <c r="H248" s="66"/>
      <c r="I248" s="66"/>
      <c r="J248" s="66"/>
      <c r="K248" s="69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7"/>
      <c r="AA248" s="58"/>
      <c r="AB248" s="58"/>
    </row>
    <row r="249" ht="15.75" customHeight="1">
      <c r="A249" s="65"/>
      <c r="B249" s="66"/>
      <c r="C249" s="67"/>
      <c r="D249" s="67"/>
      <c r="E249" s="66"/>
      <c r="F249" s="70"/>
      <c r="G249" s="66"/>
      <c r="H249" s="66"/>
      <c r="I249" s="66"/>
      <c r="J249" s="66"/>
      <c r="K249" s="69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7"/>
      <c r="AA249" s="58"/>
      <c r="AB249" s="58"/>
    </row>
    <row r="250" ht="15.75" customHeight="1">
      <c r="A250" s="65"/>
      <c r="B250" s="66"/>
      <c r="C250" s="67"/>
      <c r="D250" s="67"/>
      <c r="E250" s="66"/>
      <c r="F250" s="70"/>
      <c r="G250" s="66"/>
      <c r="H250" s="66"/>
      <c r="I250" s="66"/>
      <c r="J250" s="66"/>
      <c r="K250" s="69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7"/>
      <c r="AA250" s="58"/>
      <c r="AB250" s="58"/>
    </row>
    <row r="251" ht="15.75" customHeight="1">
      <c r="A251" s="65"/>
      <c r="B251" s="66"/>
      <c r="C251" s="67"/>
      <c r="D251" s="67"/>
      <c r="E251" s="66"/>
      <c r="F251" s="70"/>
      <c r="G251" s="66"/>
      <c r="H251" s="66"/>
      <c r="I251" s="66"/>
      <c r="J251" s="66"/>
      <c r="K251" s="69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7"/>
      <c r="AA251" s="58"/>
      <c r="AB251" s="58"/>
    </row>
    <row r="252" ht="15.75" customHeight="1">
      <c r="A252" s="65"/>
      <c r="B252" s="66"/>
      <c r="C252" s="67"/>
      <c r="D252" s="67"/>
      <c r="E252" s="66"/>
      <c r="F252" s="70"/>
      <c r="G252" s="66"/>
      <c r="H252" s="66"/>
      <c r="I252" s="66"/>
      <c r="J252" s="66"/>
      <c r="K252" s="69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7"/>
      <c r="AA252" s="58"/>
      <c r="AB252" s="58"/>
    </row>
    <row r="253" ht="15.75" customHeight="1">
      <c r="A253" s="65"/>
      <c r="B253" s="66"/>
      <c r="C253" s="67"/>
      <c r="D253" s="67"/>
      <c r="E253" s="66"/>
      <c r="F253" s="70"/>
      <c r="G253" s="66"/>
      <c r="H253" s="66"/>
      <c r="I253" s="66"/>
      <c r="J253" s="66"/>
      <c r="K253" s="69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7"/>
      <c r="AA253" s="58"/>
      <c r="AB253" s="58"/>
    </row>
    <row r="254" ht="15.75" customHeight="1">
      <c r="A254" s="65"/>
      <c r="B254" s="66"/>
      <c r="C254" s="67"/>
      <c r="D254" s="67"/>
      <c r="E254" s="66"/>
      <c r="F254" s="70"/>
      <c r="G254" s="66"/>
      <c r="H254" s="66"/>
      <c r="I254" s="66"/>
      <c r="J254" s="66"/>
      <c r="K254" s="69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7"/>
      <c r="AA254" s="58"/>
      <c r="AB254" s="58"/>
    </row>
    <row r="255" ht="15.75" customHeight="1">
      <c r="A255" s="65"/>
      <c r="B255" s="66"/>
      <c r="C255" s="67"/>
      <c r="D255" s="67"/>
      <c r="E255" s="66"/>
      <c r="F255" s="70"/>
      <c r="G255" s="66"/>
      <c r="H255" s="66"/>
      <c r="I255" s="66"/>
      <c r="J255" s="66"/>
      <c r="K255" s="69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7"/>
      <c r="AA255" s="58"/>
      <c r="AB255" s="58"/>
    </row>
    <row r="256" ht="15.75" customHeight="1">
      <c r="A256" s="65"/>
      <c r="B256" s="66"/>
      <c r="C256" s="67"/>
      <c r="D256" s="67"/>
      <c r="E256" s="66"/>
      <c r="F256" s="70"/>
      <c r="G256" s="66"/>
      <c r="H256" s="66"/>
      <c r="I256" s="66"/>
      <c r="J256" s="66"/>
      <c r="K256" s="69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7"/>
      <c r="AA256" s="58"/>
      <c r="AB256" s="58"/>
    </row>
    <row r="257" ht="15.75" customHeight="1">
      <c r="A257" s="65"/>
      <c r="B257" s="66"/>
      <c r="C257" s="67"/>
      <c r="D257" s="67"/>
      <c r="E257" s="66"/>
      <c r="F257" s="70"/>
      <c r="G257" s="66"/>
      <c r="H257" s="66"/>
      <c r="I257" s="66"/>
      <c r="J257" s="66"/>
      <c r="K257" s="69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7"/>
      <c r="AA257" s="58"/>
      <c r="AB257" s="58"/>
    </row>
    <row r="258" ht="15.75" customHeight="1">
      <c r="A258" s="65"/>
      <c r="B258" s="66"/>
      <c r="C258" s="67"/>
      <c r="D258" s="67"/>
      <c r="E258" s="66"/>
      <c r="F258" s="70"/>
      <c r="G258" s="66"/>
      <c r="H258" s="66"/>
      <c r="I258" s="66"/>
      <c r="J258" s="66"/>
      <c r="K258" s="69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7"/>
      <c r="AA258" s="58"/>
      <c r="AB258" s="58"/>
    </row>
    <row r="259" ht="15.75" customHeight="1">
      <c r="A259" s="65"/>
      <c r="B259" s="66"/>
      <c r="C259" s="67"/>
      <c r="D259" s="67"/>
      <c r="E259" s="66"/>
      <c r="F259" s="70"/>
      <c r="G259" s="66"/>
      <c r="H259" s="66"/>
      <c r="I259" s="66"/>
      <c r="J259" s="66"/>
      <c r="K259" s="69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7"/>
      <c r="AA259" s="58"/>
      <c r="AB259" s="58"/>
    </row>
    <row r="260" ht="15.75" customHeight="1">
      <c r="A260" s="65"/>
      <c r="B260" s="66"/>
      <c r="C260" s="67"/>
      <c r="D260" s="67"/>
      <c r="E260" s="66"/>
      <c r="F260" s="70"/>
      <c r="G260" s="66"/>
      <c r="H260" s="66"/>
      <c r="I260" s="66"/>
      <c r="J260" s="66"/>
      <c r="K260" s="69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7"/>
      <c r="AA260" s="58"/>
      <c r="AB260" s="58"/>
    </row>
    <row r="261" ht="15.75" customHeight="1">
      <c r="A261" s="65"/>
      <c r="B261" s="66"/>
      <c r="C261" s="67"/>
      <c r="D261" s="67"/>
      <c r="E261" s="66"/>
      <c r="F261" s="70"/>
      <c r="G261" s="66"/>
      <c r="H261" s="66"/>
      <c r="I261" s="66"/>
      <c r="J261" s="66"/>
      <c r="K261" s="69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7"/>
      <c r="AA261" s="58"/>
      <c r="AB261" s="58"/>
    </row>
    <row r="262" ht="15.75" customHeight="1">
      <c r="A262" s="65"/>
      <c r="B262" s="66"/>
      <c r="C262" s="67"/>
      <c r="D262" s="67"/>
      <c r="E262" s="66"/>
      <c r="F262" s="70"/>
      <c r="G262" s="66"/>
      <c r="H262" s="66"/>
      <c r="I262" s="66"/>
      <c r="J262" s="66"/>
      <c r="K262" s="69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7"/>
      <c r="AA262" s="58"/>
      <c r="AB262" s="58"/>
    </row>
    <row r="263" ht="15.75" customHeight="1">
      <c r="A263" s="65"/>
      <c r="B263" s="66"/>
      <c r="C263" s="67"/>
      <c r="D263" s="67"/>
      <c r="E263" s="66"/>
      <c r="F263" s="70"/>
      <c r="G263" s="66"/>
      <c r="H263" s="66"/>
      <c r="I263" s="66"/>
      <c r="J263" s="66"/>
      <c r="K263" s="69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7"/>
      <c r="AA263" s="58"/>
      <c r="AB263" s="58"/>
    </row>
    <row r="264" ht="15.75" customHeight="1">
      <c r="A264" s="65"/>
      <c r="B264" s="66"/>
      <c r="C264" s="67"/>
      <c r="D264" s="67"/>
      <c r="E264" s="66"/>
      <c r="F264" s="70"/>
      <c r="G264" s="66"/>
      <c r="H264" s="66"/>
      <c r="I264" s="66"/>
      <c r="J264" s="66"/>
      <c r="K264" s="69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7"/>
      <c r="AA264" s="58"/>
      <c r="AB264" s="58"/>
    </row>
    <row r="265" ht="15.75" customHeight="1">
      <c r="A265" s="65"/>
      <c r="B265" s="66"/>
      <c r="C265" s="67"/>
      <c r="D265" s="67"/>
      <c r="E265" s="66"/>
      <c r="F265" s="70"/>
      <c r="G265" s="66"/>
      <c r="H265" s="66"/>
      <c r="I265" s="66"/>
      <c r="J265" s="66"/>
      <c r="K265" s="69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7"/>
      <c r="AA265" s="58"/>
      <c r="AB265" s="58"/>
    </row>
    <row r="266" ht="15.75" customHeight="1">
      <c r="A266" s="65"/>
      <c r="B266" s="66"/>
      <c r="C266" s="67"/>
      <c r="D266" s="67"/>
      <c r="E266" s="66"/>
      <c r="F266" s="70"/>
      <c r="G266" s="66"/>
      <c r="H266" s="66"/>
      <c r="I266" s="66"/>
      <c r="J266" s="66"/>
      <c r="K266" s="69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7"/>
      <c r="AA266" s="58"/>
      <c r="AB266" s="58"/>
    </row>
    <row r="267" ht="15.75" customHeight="1">
      <c r="A267" s="65"/>
      <c r="B267" s="66"/>
      <c r="C267" s="67"/>
      <c r="D267" s="67"/>
      <c r="E267" s="66"/>
      <c r="F267" s="70"/>
      <c r="G267" s="66"/>
      <c r="H267" s="66"/>
      <c r="I267" s="66"/>
      <c r="J267" s="66"/>
      <c r="K267" s="69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7"/>
      <c r="AA267" s="58"/>
      <c r="AB267" s="58"/>
    </row>
    <row r="268" ht="15.75" customHeight="1">
      <c r="A268" s="65"/>
      <c r="B268" s="66"/>
      <c r="C268" s="67"/>
      <c r="D268" s="67"/>
      <c r="E268" s="66"/>
      <c r="F268" s="70"/>
      <c r="G268" s="66"/>
      <c r="H268" s="66"/>
      <c r="I268" s="66"/>
      <c r="J268" s="66"/>
      <c r="K268" s="69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7"/>
      <c r="AA268" s="58"/>
      <c r="AB268" s="58"/>
    </row>
    <row r="269" ht="15.75" customHeight="1">
      <c r="A269" s="65"/>
      <c r="B269" s="66"/>
      <c r="C269" s="67"/>
      <c r="D269" s="67"/>
      <c r="E269" s="66"/>
      <c r="F269" s="70"/>
      <c r="G269" s="66"/>
      <c r="H269" s="66"/>
      <c r="I269" s="66"/>
      <c r="J269" s="66"/>
      <c r="K269" s="69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7"/>
      <c r="AA269" s="58"/>
      <c r="AB269" s="58"/>
    </row>
    <row r="270" ht="15.75" customHeight="1">
      <c r="A270" s="65"/>
      <c r="B270" s="66"/>
      <c r="C270" s="67"/>
      <c r="D270" s="67"/>
      <c r="E270" s="66"/>
      <c r="F270" s="70"/>
      <c r="G270" s="66"/>
      <c r="H270" s="66"/>
      <c r="I270" s="66"/>
      <c r="J270" s="66"/>
      <c r="K270" s="69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7"/>
      <c r="AA270" s="58"/>
      <c r="AB270" s="58"/>
    </row>
    <row r="271" ht="15.75" customHeight="1">
      <c r="A271" s="71"/>
      <c r="B271" s="72"/>
      <c r="C271" s="73"/>
      <c r="D271" s="73"/>
      <c r="E271" s="72"/>
      <c r="F271" s="74"/>
      <c r="G271" s="72"/>
      <c r="H271" s="72"/>
      <c r="I271" s="72"/>
      <c r="J271" s="72"/>
      <c r="K271" s="75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7"/>
      <c r="AA271" s="58"/>
      <c r="AB271" s="58"/>
    </row>
    <row r="272" ht="15.75" customHeight="1">
      <c r="A272" s="76"/>
      <c r="B272" s="76"/>
      <c r="C272" s="77"/>
      <c r="D272" s="77"/>
      <c r="E272" s="76"/>
      <c r="F272" s="76"/>
      <c r="G272" s="76"/>
      <c r="H272" s="76"/>
      <c r="I272" s="76"/>
      <c r="J272" s="76"/>
      <c r="K272" s="7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7"/>
      <c r="AA272" s="58"/>
      <c r="AB272" s="58"/>
    </row>
    <row r="273" ht="15.75" customHeight="1">
      <c r="A273" s="76"/>
      <c r="B273" s="76"/>
      <c r="C273" s="77"/>
      <c r="D273" s="77"/>
      <c r="E273" s="76"/>
      <c r="F273" s="76"/>
      <c r="G273" s="76"/>
      <c r="H273" s="76"/>
      <c r="I273" s="76"/>
      <c r="J273" s="76"/>
      <c r="K273" s="7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7"/>
      <c r="AA273" s="58"/>
      <c r="AB273" s="58"/>
    </row>
    <row r="274" ht="15.75" customHeight="1">
      <c r="A274" s="76"/>
      <c r="B274" s="76"/>
      <c r="C274" s="77"/>
      <c r="D274" s="77"/>
      <c r="E274" s="76"/>
      <c r="F274" s="76"/>
      <c r="G274" s="76"/>
      <c r="H274" s="76"/>
      <c r="I274" s="76"/>
      <c r="J274" s="76"/>
      <c r="K274" s="7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7"/>
      <c r="AA274" s="58"/>
      <c r="AB274" s="58"/>
    </row>
    <row r="275" ht="15.75" customHeight="1">
      <c r="A275" s="76"/>
      <c r="B275" s="76"/>
      <c r="C275" s="77"/>
      <c r="D275" s="77"/>
      <c r="E275" s="76"/>
      <c r="F275" s="76"/>
      <c r="G275" s="76"/>
      <c r="H275" s="76"/>
      <c r="I275" s="76"/>
      <c r="J275" s="76"/>
      <c r="K275" s="7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7"/>
      <c r="AA275" s="58"/>
      <c r="AB275" s="58"/>
    </row>
    <row r="276" ht="15.75" customHeight="1">
      <c r="A276" s="76"/>
      <c r="B276" s="76"/>
      <c r="C276" s="77"/>
      <c r="D276" s="77"/>
      <c r="E276" s="76"/>
      <c r="F276" s="76"/>
      <c r="G276" s="76"/>
      <c r="H276" s="76"/>
      <c r="I276" s="76"/>
      <c r="J276" s="76"/>
      <c r="K276" s="7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7"/>
      <c r="AA276" s="58"/>
      <c r="AB276" s="58"/>
    </row>
    <row r="277" ht="15.75" customHeight="1">
      <c r="A277" s="76"/>
      <c r="B277" s="76"/>
      <c r="C277" s="77"/>
      <c r="D277" s="77"/>
      <c r="E277" s="76"/>
      <c r="F277" s="76"/>
      <c r="G277" s="76"/>
      <c r="H277" s="76"/>
      <c r="I277" s="76"/>
      <c r="J277" s="76"/>
      <c r="K277" s="7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7"/>
      <c r="AA277" s="58"/>
      <c r="AB277" s="58"/>
    </row>
    <row r="278" ht="15.75" customHeight="1">
      <c r="A278" s="76"/>
      <c r="B278" s="76"/>
      <c r="C278" s="77"/>
      <c r="D278" s="77"/>
      <c r="E278" s="76"/>
      <c r="F278" s="76"/>
      <c r="G278" s="76"/>
      <c r="H278" s="76"/>
      <c r="I278" s="76"/>
      <c r="J278" s="76"/>
      <c r="K278" s="7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7"/>
      <c r="AA278" s="58"/>
      <c r="AB278" s="58"/>
    </row>
    <row r="279" ht="15.75" customHeight="1">
      <c r="A279" s="76"/>
      <c r="B279" s="76"/>
      <c r="C279" s="77"/>
      <c r="D279" s="77"/>
      <c r="E279" s="76"/>
      <c r="F279" s="76"/>
      <c r="G279" s="76"/>
      <c r="H279" s="76"/>
      <c r="I279" s="76"/>
      <c r="J279" s="76"/>
      <c r="K279" s="7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7"/>
      <c r="AA279" s="58"/>
      <c r="AB279" s="58"/>
    </row>
    <row r="280" ht="15.75" customHeight="1">
      <c r="A280" s="76"/>
      <c r="B280" s="76"/>
      <c r="C280" s="77"/>
      <c r="D280" s="77"/>
      <c r="E280" s="76"/>
      <c r="F280" s="76"/>
      <c r="G280" s="76"/>
      <c r="H280" s="76"/>
      <c r="I280" s="76"/>
      <c r="J280" s="76"/>
      <c r="K280" s="7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7"/>
      <c r="AA280" s="58"/>
      <c r="AB280" s="58"/>
    </row>
    <row r="281" ht="15.75" customHeight="1">
      <c r="A281" s="76"/>
      <c r="B281" s="76"/>
      <c r="C281" s="77"/>
      <c r="D281" s="77"/>
      <c r="E281" s="76"/>
      <c r="F281" s="76"/>
      <c r="G281" s="76"/>
      <c r="H281" s="76"/>
      <c r="I281" s="76"/>
      <c r="J281" s="76"/>
      <c r="K281" s="7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7"/>
      <c r="AA281" s="58"/>
      <c r="AB281" s="58"/>
    </row>
    <row r="282" ht="15.75" customHeight="1">
      <c r="A282" s="76"/>
      <c r="B282" s="76"/>
      <c r="C282" s="77"/>
      <c r="D282" s="77"/>
      <c r="E282" s="76"/>
      <c r="F282" s="76"/>
      <c r="G282" s="76"/>
      <c r="H282" s="76"/>
      <c r="I282" s="76"/>
      <c r="J282" s="76"/>
      <c r="K282" s="7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7"/>
      <c r="AA282" s="58"/>
      <c r="AB282" s="58"/>
    </row>
    <row r="283" ht="15.75" customHeight="1">
      <c r="A283" s="76"/>
      <c r="B283" s="76"/>
      <c r="C283" s="77"/>
      <c r="D283" s="77"/>
      <c r="E283" s="76"/>
      <c r="F283" s="76"/>
      <c r="G283" s="76"/>
      <c r="H283" s="76"/>
      <c r="I283" s="76"/>
      <c r="J283" s="76"/>
      <c r="K283" s="7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7"/>
      <c r="AA283" s="58"/>
      <c r="AB283" s="58"/>
    </row>
    <row r="284" ht="15.75" customHeight="1">
      <c r="A284" s="76"/>
      <c r="B284" s="76"/>
      <c r="C284" s="77"/>
      <c r="D284" s="77"/>
      <c r="E284" s="76"/>
      <c r="F284" s="76"/>
      <c r="G284" s="76"/>
      <c r="H284" s="76"/>
      <c r="I284" s="76"/>
      <c r="J284" s="76"/>
      <c r="K284" s="7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7"/>
      <c r="AA284" s="58"/>
      <c r="AB284" s="58"/>
    </row>
    <row r="285" ht="15.75" customHeight="1">
      <c r="A285" s="76"/>
      <c r="B285" s="76"/>
      <c r="C285" s="77"/>
      <c r="D285" s="77"/>
      <c r="E285" s="76"/>
      <c r="F285" s="76"/>
      <c r="G285" s="76"/>
      <c r="H285" s="76"/>
      <c r="I285" s="76"/>
      <c r="J285" s="76"/>
      <c r="K285" s="7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7"/>
      <c r="AA285" s="58"/>
      <c r="AB285" s="58"/>
    </row>
    <row r="286" ht="15.75" customHeight="1">
      <c r="A286" s="76"/>
      <c r="B286" s="76"/>
      <c r="C286" s="77"/>
      <c r="D286" s="77"/>
      <c r="E286" s="76"/>
      <c r="F286" s="76"/>
      <c r="G286" s="76"/>
      <c r="H286" s="76"/>
      <c r="I286" s="76"/>
      <c r="J286" s="76"/>
      <c r="K286" s="7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7"/>
      <c r="AA286" s="58"/>
      <c r="AB286" s="58"/>
    </row>
    <row r="287" ht="15.75" customHeight="1">
      <c r="A287" s="76"/>
      <c r="B287" s="76"/>
      <c r="C287" s="77"/>
      <c r="D287" s="77"/>
      <c r="E287" s="76"/>
      <c r="F287" s="76"/>
      <c r="G287" s="76"/>
      <c r="H287" s="76"/>
      <c r="I287" s="76"/>
      <c r="J287" s="76"/>
      <c r="K287" s="7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7"/>
      <c r="AA287" s="58"/>
      <c r="AB287" s="58"/>
    </row>
    <row r="288" ht="15.75" customHeight="1">
      <c r="A288" s="76"/>
      <c r="B288" s="76"/>
      <c r="C288" s="77"/>
      <c r="D288" s="77"/>
      <c r="E288" s="76"/>
      <c r="F288" s="76"/>
      <c r="G288" s="76"/>
      <c r="H288" s="76"/>
      <c r="I288" s="76"/>
      <c r="J288" s="76"/>
      <c r="K288" s="7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7"/>
      <c r="AA288" s="58"/>
      <c r="AB288" s="58"/>
    </row>
    <row r="289" ht="15.75" customHeight="1">
      <c r="A289" s="76"/>
      <c r="B289" s="76"/>
      <c r="C289" s="77"/>
      <c r="D289" s="77"/>
      <c r="E289" s="76"/>
      <c r="F289" s="76"/>
      <c r="G289" s="76"/>
      <c r="H289" s="76"/>
      <c r="I289" s="76"/>
      <c r="J289" s="76"/>
      <c r="K289" s="7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7"/>
      <c r="AA289" s="58"/>
      <c r="AB289" s="58"/>
    </row>
    <row r="290" ht="15.75" customHeight="1">
      <c r="A290" s="76"/>
      <c r="B290" s="76"/>
      <c r="C290" s="77"/>
      <c r="D290" s="77"/>
      <c r="E290" s="76"/>
      <c r="F290" s="76"/>
      <c r="G290" s="76"/>
      <c r="H290" s="76"/>
      <c r="I290" s="76"/>
      <c r="J290" s="76"/>
      <c r="K290" s="7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7"/>
      <c r="AA290" s="58"/>
      <c r="AB290" s="58"/>
    </row>
    <row r="291" ht="15.75" customHeight="1">
      <c r="A291" s="76"/>
      <c r="B291" s="76"/>
      <c r="C291" s="77"/>
      <c r="D291" s="77"/>
      <c r="E291" s="76"/>
      <c r="F291" s="76"/>
      <c r="G291" s="76"/>
      <c r="H291" s="76"/>
      <c r="I291" s="76"/>
      <c r="J291" s="76"/>
      <c r="K291" s="7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7"/>
      <c r="AA291" s="58"/>
      <c r="AB291" s="58"/>
    </row>
    <row r="292" ht="15.75" customHeight="1">
      <c r="A292" s="76"/>
      <c r="B292" s="76"/>
      <c r="C292" s="77"/>
      <c r="D292" s="77"/>
      <c r="E292" s="76"/>
      <c r="F292" s="76"/>
      <c r="G292" s="76"/>
      <c r="H292" s="76"/>
      <c r="I292" s="76"/>
      <c r="J292" s="76"/>
      <c r="K292" s="7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7"/>
      <c r="AA292" s="58"/>
      <c r="AB292" s="58"/>
    </row>
    <row r="293" ht="15.75" customHeight="1">
      <c r="A293" s="76"/>
      <c r="B293" s="76"/>
      <c r="C293" s="77"/>
      <c r="D293" s="77"/>
      <c r="E293" s="76"/>
      <c r="F293" s="76"/>
      <c r="G293" s="76"/>
      <c r="H293" s="76"/>
      <c r="I293" s="76"/>
      <c r="J293" s="76"/>
      <c r="K293" s="7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7"/>
      <c r="AA293" s="58"/>
      <c r="AB293" s="58"/>
    </row>
    <row r="294" ht="15.75" customHeight="1">
      <c r="A294" s="76"/>
      <c r="B294" s="76"/>
      <c r="C294" s="77"/>
      <c r="D294" s="77"/>
      <c r="E294" s="76"/>
      <c r="F294" s="76"/>
      <c r="G294" s="76"/>
      <c r="H294" s="76"/>
      <c r="I294" s="76"/>
      <c r="J294" s="76"/>
      <c r="K294" s="7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7"/>
      <c r="AA294" s="58"/>
      <c r="AB294" s="58"/>
    </row>
    <row r="295" ht="15.75" customHeight="1">
      <c r="A295" s="76"/>
      <c r="B295" s="76"/>
      <c r="C295" s="77"/>
      <c r="D295" s="77"/>
      <c r="E295" s="76"/>
      <c r="F295" s="76"/>
      <c r="G295" s="76"/>
      <c r="H295" s="76"/>
      <c r="I295" s="76"/>
      <c r="J295" s="76"/>
      <c r="K295" s="7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7"/>
      <c r="AA295" s="58"/>
      <c r="AB295" s="58"/>
    </row>
    <row r="296" ht="15.75" customHeight="1">
      <c r="A296" s="76"/>
      <c r="B296" s="76"/>
      <c r="C296" s="77"/>
      <c r="D296" s="77"/>
      <c r="E296" s="76"/>
      <c r="F296" s="76"/>
      <c r="G296" s="76"/>
      <c r="H296" s="76"/>
      <c r="I296" s="76"/>
      <c r="J296" s="76"/>
      <c r="K296" s="7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7"/>
      <c r="AA296" s="58"/>
      <c r="AB296" s="58"/>
    </row>
    <row r="297" ht="15.75" customHeight="1">
      <c r="A297" s="76"/>
      <c r="B297" s="76"/>
      <c r="C297" s="77"/>
      <c r="D297" s="77"/>
      <c r="E297" s="76"/>
      <c r="F297" s="76"/>
      <c r="G297" s="76"/>
      <c r="H297" s="76"/>
      <c r="I297" s="76"/>
      <c r="J297" s="76"/>
      <c r="K297" s="7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7"/>
      <c r="AA297" s="58"/>
      <c r="AB297" s="58"/>
    </row>
    <row r="298" ht="15.75" customHeight="1">
      <c r="A298" s="76"/>
      <c r="B298" s="76"/>
      <c r="C298" s="77"/>
      <c r="D298" s="77"/>
      <c r="E298" s="76"/>
      <c r="F298" s="76"/>
      <c r="G298" s="76"/>
      <c r="H298" s="76"/>
      <c r="I298" s="76"/>
      <c r="J298" s="76"/>
      <c r="K298" s="7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7"/>
      <c r="AA298" s="58"/>
      <c r="AB298" s="58"/>
    </row>
    <row r="299" ht="15.75" customHeight="1">
      <c r="A299" s="76"/>
      <c r="B299" s="76"/>
      <c r="C299" s="77"/>
      <c r="D299" s="77"/>
      <c r="E299" s="76"/>
      <c r="F299" s="76"/>
      <c r="G299" s="76"/>
      <c r="H299" s="76"/>
      <c r="I299" s="76"/>
      <c r="J299" s="76"/>
      <c r="K299" s="7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7"/>
      <c r="AA299" s="58"/>
      <c r="AB299" s="58"/>
    </row>
    <row r="300" ht="15.75" customHeight="1">
      <c r="A300" s="76"/>
      <c r="B300" s="76"/>
      <c r="C300" s="77"/>
      <c r="D300" s="77"/>
      <c r="E300" s="76"/>
      <c r="F300" s="76"/>
      <c r="G300" s="76"/>
      <c r="H300" s="76"/>
      <c r="I300" s="76"/>
      <c r="J300" s="76"/>
      <c r="K300" s="7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7"/>
      <c r="AA300" s="58"/>
      <c r="AB300" s="58"/>
    </row>
    <row r="301" ht="15.75" customHeight="1">
      <c r="A301" s="76"/>
      <c r="B301" s="76"/>
      <c r="C301" s="77"/>
      <c r="D301" s="77"/>
      <c r="E301" s="76"/>
      <c r="F301" s="76"/>
      <c r="G301" s="76"/>
      <c r="H301" s="76"/>
      <c r="I301" s="76"/>
      <c r="J301" s="76"/>
      <c r="K301" s="7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7"/>
      <c r="AA301" s="58"/>
      <c r="AB301" s="58"/>
    </row>
    <row r="302" ht="15.75" customHeight="1">
      <c r="A302" s="76"/>
      <c r="B302" s="76"/>
      <c r="C302" s="77"/>
      <c r="D302" s="77"/>
      <c r="E302" s="76"/>
      <c r="F302" s="76"/>
      <c r="G302" s="76"/>
      <c r="H302" s="76"/>
      <c r="I302" s="76"/>
      <c r="J302" s="76"/>
      <c r="K302" s="7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7"/>
      <c r="AA302" s="58"/>
      <c r="AB302" s="58"/>
    </row>
    <row r="303" ht="15.75" customHeight="1">
      <c r="A303" s="76"/>
      <c r="B303" s="76"/>
      <c r="C303" s="77"/>
      <c r="D303" s="77"/>
      <c r="E303" s="76"/>
      <c r="F303" s="76"/>
      <c r="G303" s="76"/>
      <c r="H303" s="76"/>
      <c r="I303" s="76"/>
      <c r="J303" s="76"/>
      <c r="K303" s="7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7"/>
      <c r="AA303" s="58"/>
      <c r="AB303" s="58"/>
    </row>
    <row r="304" ht="15.75" customHeight="1">
      <c r="A304" s="76"/>
      <c r="B304" s="76"/>
      <c r="C304" s="77"/>
      <c r="D304" s="77"/>
      <c r="E304" s="76"/>
      <c r="F304" s="76"/>
      <c r="G304" s="76"/>
      <c r="H304" s="76"/>
      <c r="I304" s="76"/>
      <c r="J304" s="76"/>
      <c r="K304" s="7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7"/>
      <c r="AA304" s="58"/>
      <c r="AB304" s="58"/>
    </row>
    <row r="305" ht="15.75" customHeight="1">
      <c r="A305" s="76"/>
      <c r="B305" s="76"/>
      <c r="C305" s="77"/>
      <c r="D305" s="77"/>
      <c r="E305" s="76"/>
      <c r="F305" s="76"/>
      <c r="G305" s="76"/>
      <c r="H305" s="76"/>
      <c r="I305" s="76"/>
      <c r="J305" s="76"/>
      <c r="K305" s="7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7"/>
      <c r="AA305" s="58"/>
      <c r="AB305" s="58"/>
    </row>
    <row r="306" ht="15.75" customHeight="1">
      <c r="A306" s="76"/>
      <c r="B306" s="76"/>
      <c r="C306" s="77"/>
      <c r="D306" s="77"/>
      <c r="E306" s="76"/>
      <c r="F306" s="76"/>
      <c r="G306" s="76"/>
      <c r="H306" s="76"/>
      <c r="I306" s="76"/>
      <c r="J306" s="76"/>
      <c r="K306" s="7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7"/>
      <c r="AA306" s="58"/>
      <c r="AB306" s="58"/>
    </row>
    <row r="307" ht="15.75" customHeight="1">
      <c r="A307" s="76"/>
      <c r="B307" s="76"/>
      <c r="C307" s="77"/>
      <c r="D307" s="77"/>
      <c r="E307" s="76"/>
      <c r="F307" s="76"/>
      <c r="G307" s="76"/>
      <c r="H307" s="76"/>
      <c r="I307" s="76"/>
      <c r="J307" s="76"/>
      <c r="K307" s="7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7"/>
      <c r="AA307" s="58"/>
      <c r="AB307" s="58"/>
    </row>
    <row r="308" ht="15.75" customHeight="1">
      <c r="A308" s="76"/>
      <c r="B308" s="76"/>
      <c r="C308" s="77"/>
      <c r="D308" s="77"/>
      <c r="E308" s="76"/>
      <c r="F308" s="76"/>
      <c r="G308" s="76"/>
      <c r="H308" s="76"/>
      <c r="I308" s="76"/>
      <c r="J308" s="76"/>
      <c r="K308" s="7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7"/>
      <c r="AA308" s="58"/>
      <c r="AB308" s="58"/>
    </row>
    <row r="309" ht="15.75" customHeight="1">
      <c r="A309" s="78"/>
      <c r="B309" s="78"/>
      <c r="C309" s="79"/>
      <c r="D309" s="79"/>
      <c r="E309" s="78"/>
      <c r="F309" s="78"/>
      <c r="G309" s="78"/>
      <c r="H309" s="78"/>
      <c r="I309" s="78"/>
      <c r="J309" s="78"/>
      <c r="K309" s="78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7"/>
      <c r="AA309" s="58"/>
      <c r="AB309" s="59"/>
    </row>
    <row r="310" ht="15.75" customHeight="1">
      <c r="A310" s="78"/>
      <c r="B310" s="78"/>
      <c r="C310" s="79"/>
      <c r="D310" s="79"/>
      <c r="E310" s="78"/>
      <c r="F310" s="78"/>
      <c r="G310" s="78"/>
      <c r="H310" s="78"/>
      <c r="I310" s="78"/>
      <c r="J310" s="78"/>
      <c r="K310" s="78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7"/>
      <c r="AA310" s="58"/>
      <c r="AB310" s="59"/>
    </row>
    <row r="311" ht="15.75" customHeight="1">
      <c r="A311" s="78"/>
      <c r="B311" s="78"/>
      <c r="C311" s="79"/>
      <c r="D311" s="79"/>
      <c r="E311" s="78"/>
      <c r="F311" s="78"/>
      <c r="G311" s="78"/>
      <c r="H311" s="78"/>
      <c r="I311" s="78"/>
      <c r="J311" s="78"/>
      <c r="K311" s="78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7"/>
      <c r="AA311" s="58"/>
      <c r="AB311" s="59"/>
    </row>
    <row r="312" ht="15.75" customHeight="1">
      <c r="A312" s="78"/>
      <c r="B312" s="78"/>
      <c r="C312" s="79"/>
      <c r="D312" s="79"/>
      <c r="E312" s="78"/>
      <c r="F312" s="78"/>
      <c r="G312" s="78"/>
      <c r="H312" s="78"/>
      <c r="I312" s="78"/>
      <c r="J312" s="78"/>
      <c r="K312" s="78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7"/>
      <c r="AA312" s="58"/>
      <c r="AB312" s="59"/>
    </row>
    <row r="313" ht="15.75" customHeight="1">
      <c r="A313" s="78"/>
      <c r="B313" s="78"/>
      <c r="C313" s="79"/>
      <c r="D313" s="79"/>
      <c r="E313" s="78"/>
      <c r="F313" s="78"/>
      <c r="G313" s="78"/>
      <c r="H313" s="78"/>
      <c r="I313" s="78"/>
      <c r="J313" s="78"/>
      <c r="K313" s="78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7"/>
      <c r="AA313" s="58"/>
      <c r="AB313" s="59"/>
    </row>
    <row r="314" ht="15.75" customHeight="1">
      <c r="A314" s="78"/>
      <c r="B314" s="78"/>
      <c r="C314" s="79"/>
      <c r="D314" s="79"/>
      <c r="E314" s="78"/>
      <c r="F314" s="78"/>
      <c r="G314" s="78"/>
      <c r="H314" s="78"/>
      <c r="I314" s="78"/>
      <c r="J314" s="78"/>
      <c r="K314" s="78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7"/>
      <c r="AA314" s="58"/>
      <c r="AB314" s="59"/>
    </row>
    <row r="315" ht="15.75" customHeight="1">
      <c r="A315" s="78"/>
      <c r="B315" s="78"/>
      <c r="C315" s="79"/>
      <c r="D315" s="79"/>
      <c r="E315" s="78"/>
      <c r="F315" s="78"/>
      <c r="G315" s="78"/>
      <c r="H315" s="78"/>
      <c r="I315" s="78"/>
      <c r="J315" s="78"/>
      <c r="K315" s="78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7"/>
      <c r="AA315" s="58"/>
      <c r="AB315" s="59"/>
    </row>
    <row r="316" ht="15.75" customHeight="1">
      <c r="A316" s="78"/>
      <c r="B316" s="78"/>
      <c r="C316" s="79"/>
      <c r="D316" s="79"/>
      <c r="E316" s="78"/>
      <c r="F316" s="78"/>
      <c r="G316" s="78"/>
      <c r="H316" s="78"/>
      <c r="I316" s="78"/>
      <c r="J316" s="78"/>
      <c r="K316" s="78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7"/>
      <c r="AA316" s="58"/>
      <c r="AB316" s="59"/>
    </row>
    <row r="317" ht="15.75" customHeight="1">
      <c r="A317" s="78"/>
      <c r="B317" s="78"/>
      <c r="C317" s="79"/>
      <c r="D317" s="79"/>
      <c r="E317" s="78"/>
      <c r="F317" s="78"/>
      <c r="G317" s="78"/>
      <c r="H317" s="78"/>
      <c r="I317" s="78"/>
      <c r="J317" s="78"/>
      <c r="K317" s="78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7"/>
      <c r="AA317" s="58"/>
      <c r="AB317" s="59"/>
    </row>
    <row r="318" ht="15.75" customHeight="1">
      <c r="A318" s="78"/>
      <c r="B318" s="78"/>
      <c r="C318" s="79"/>
      <c r="D318" s="79"/>
      <c r="E318" s="78"/>
      <c r="F318" s="78"/>
      <c r="G318" s="78"/>
      <c r="H318" s="78"/>
      <c r="I318" s="78"/>
      <c r="J318" s="78"/>
      <c r="K318" s="78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7"/>
      <c r="AA318" s="58"/>
      <c r="AB318" s="59"/>
    </row>
    <row r="319" ht="15.75" customHeight="1">
      <c r="A319" s="78"/>
      <c r="B319" s="78"/>
      <c r="C319" s="79"/>
      <c r="D319" s="79"/>
      <c r="E319" s="78"/>
      <c r="F319" s="78"/>
      <c r="G319" s="78"/>
      <c r="H319" s="78"/>
      <c r="I319" s="78"/>
      <c r="J319" s="78"/>
      <c r="K319" s="78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7"/>
      <c r="AA319" s="58"/>
      <c r="AB319" s="59"/>
    </row>
    <row r="320" ht="15.75" customHeight="1">
      <c r="A320" s="78"/>
      <c r="B320" s="78"/>
      <c r="C320" s="79"/>
      <c r="D320" s="79"/>
      <c r="E320" s="78"/>
      <c r="F320" s="78"/>
      <c r="G320" s="78"/>
      <c r="H320" s="78"/>
      <c r="I320" s="78"/>
      <c r="J320" s="78"/>
      <c r="K320" s="78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7"/>
      <c r="AA320" s="58"/>
      <c r="AB320" s="59"/>
    </row>
    <row r="321" ht="15.75" customHeight="1">
      <c r="A321" s="78"/>
      <c r="B321" s="78"/>
      <c r="C321" s="79"/>
      <c r="D321" s="79"/>
      <c r="E321" s="78"/>
      <c r="F321" s="78"/>
      <c r="G321" s="78"/>
      <c r="H321" s="78"/>
      <c r="I321" s="78"/>
      <c r="J321" s="78"/>
      <c r="K321" s="78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7"/>
      <c r="AA321" s="58"/>
      <c r="AB321" s="59"/>
    </row>
    <row r="322" ht="15.75" customHeight="1">
      <c r="A322" s="78"/>
      <c r="B322" s="78"/>
      <c r="C322" s="79"/>
      <c r="D322" s="79"/>
      <c r="E322" s="78"/>
      <c r="F322" s="78"/>
      <c r="G322" s="78"/>
      <c r="H322" s="78"/>
      <c r="I322" s="78"/>
      <c r="J322" s="78"/>
      <c r="K322" s="78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7"/>
      <c r="AA322" s="58"/>
      <c r="AB322" s="59"/>
    </row>
    <row r="323" ht="15.75" customHeight="1">
      <c r="A323" s="78"/>
      <c r="B323" s="78"/>
      <c r="C323" s="79"/>
      <c r="D323" s="79"/>
      <c r="E323" s="78"/>
      <c r="F323" s="78"/>
      <c r="G323" s="78"/>
      <c r="H323" s="78"/>
      <c r="I323" s="78"/>
      <c r="J323" s="78"/>
      <c r="K323" s="78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7"/>
      <c r="AA323" s="58"/>
      <c r="AB323" s="59"/>
    </row>
    <row r="324" ht="15.75" customHeight="1">
      <c r="A324" s="78"/>
      <c r="B324" s="78"/>
      <c r="C324" s="79"/>
      <c r="D324" s="79"/>
      <c r="E324" s="78"/>
      <c r="F324" s="78"/>
      <c r="G324" s="78"/>
      <c r="H324" s="78"/>
      <c r="I324" s="78"/>
      <c r="J324" s="78"/>
      <c r="K324" s="78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7"/>
      <c r="AA324" s="58"/>
      <c r="AB324" s="59"/>
    </row>
    <row r="325" ht="15.75" customHeight="1">
      <c r="A325" s="78"/>
      <c r="B325" s="78"/>
      <c r="C325" s="79"/>
      <c r="D325" s="79"/>
      <c r="E325" s="78"/>
      <c r="F325" s="78"/>
      <c r="G325" s="78"/>
      <c r="H325" s="78"/>
      <c r="I325" s="78"/>
      <c r="J325" s="78"/>
      <c r="K325" s="78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7"/>
      <c r="AA325" s="58"/>
      <c r="AB325" s="59"/>
    </row>
    <row r="326" ht="15.75" customHeight="1">
      <c r="A326" s="78"/>
      <c r="B326" s="78"/>
      <c r="C326" s="79"/>
      <c r="D326" s="79"/>
      <c r="E326" s="78"/>
      <c r="F326" s="78"/>
      <c r="G326" s="78"/>
      <c r="H326" s="78"/>
      <c r="I326" s="78"/>
      <c r="J326" s="78"/>
      <c r="K326" s="78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7"/>
      <c r="AA326" s="58"/>
      <c r="AB326" s="59"/>
    </row>
    <row r="327" ht="15.75" customHeight="1">
      <c r="A327" s="78"/>
      <c r="B327" s="78"/>
      <c r="C327" s="79"/>
      <c r="D327" s="79"/>
      <c r="E327" s="78"/>
      <c r="F327" s="78"/>
      <c r="G327" s="78"/>
      <c r="H327" s="78"/>
      <c r="I327" s="78"/>
      <c r="J327" s="78"/>
      <c r="K327" s="78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7"/>
      <c r="AA327" s="58"/>
      <c r="AB327" s="59"/>
    </row>
    <row r="328" ht="15.75" customHeight="1">
      <c r="A328" s="78"/>
      <c r="B328" s="78"/>
      <c r="C328" s="79"/>
      <c r="D328" s="79"/>
      <c r="E328" s="78"/>
      <c r="F328" s="78"/>
      <c r="G328" s="78"/>
      <c r="H328" s="78"/>
      <c r="I328" s="78"/>
      <c r="J328" s="78"/>
      <c r="K328" s="78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7"/>
      <c r="AA328" s="58"/>
      <c r="AB328" s="59"/>
    </row>
    <row r="329" ht="15.75" customHeight="1">
      <c r="A329" s="78"/>
      <c r="B329" s="78"/>
      <c r="C329" s="79"/>
      <c r="D329" s="79"/>
      <c r="E329" s="78"/>
      <c r="F329" s="78"/>
      <c r="G329" s="78"/>
      <c r="H329" s="78"/>
      <c r="I329" s="78"/>
      <c r="J329" s="78"/>
      <c r="K329" s="78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7"/>
      <c r="AA329" s="58"/>
      <c r="AB329" s="59"/>
    </row>
    <row r="330" ht="15.75" customHeight="1">
      <c r="A330" s="78"/>
      <c r="B330" s="78"/>
      <c r="C330" s="79"/>
      <c r="D330" s="79"/>
      <c r="E330" s="78"/>
      <c r="F330" s="78"/>
      <c r="G330" s="78"/>
      <c r="H330" s="78"/>
      <c r="I330" s="78"/>
      <c r="J330" s="78"/>
      <c r="K330" s="78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7"/>
      <c r="AA330" s="58"/>
      <c r="AB330" s="59"/>
    </row>
    <row r="331" ht="15.75" customHeight="1">
      <c r="A331" s="78"/>
      <c r="B331" s="78"/>
      <c r="C331" s="79"/>
      <c r="D331" s="79"/>
      <c r="E331" s="78"/>
      <c r="F331" s="78"/>
      <c r="G331" s="78"/>
      <c r="H331" s="78"/>
      <c r="I331" s="78"/>
      <c r="J331" s="78"/>
      <c r="K331" s="78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7"/>
      <c r="AA331" s="58"/>
      <c r="AB331" s="59"/>
    </row>
    <row r="332" ht="15.75" customHeight="1">
      <c r="A332" s="78"/>
      <c r="B332" s="78"/>
      <c r="C332" s="79"/>
      <c r="D332" s="79"/>
      <c r="E332" s="78"/>
      <c r="F332" s="78"/>
      <c r="G332" s="78"/>
      <c r="H332" s="78"/>
      <c r="I332" s="78"/>
      <c r="J332" s="78"/>
      <c r="K332" s="78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7"/>
      <c r="AA332" s="58"/>
      <c r="AB332" s="59"/>
    </row>
    <row r="333" ht="15.75" customHeight="1">
      <c r="A333" s="78"/>
      <c r="B333" s="78"/>
      <c r="C333" s="79"/>
      <c r="D333" s="79"/>
      <c r="E333" s="78"/>
      <c r="F333" s="78"/>
      <c r="G333" s="78"/>
      <c r="H333" s="78"/>
      <c r="I333" s="78"/>
      <c r="J333" s="78"/>
      <c r="K333" s="78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7"/>
      <c r="AA333" s="58"/>
      <c r="AB333" s="59"/>
    </row>
    <row r="334" ht="15.75" customHeight="1">
      <c r="A334" s="78"/>
      <c r="B334" s="78"/>
      <c r="C334" s="79"/>
      <c r="D334" s="79"/>
      <c r="E334" s="78"/>
      <c r="F334" s="78"/>
      <c r="G334" s="78"/>
      <c r="H334" s="78"/>
      <c r="I334" s="78"/>
      <c r="J334" s="78"/>
      <c r="K334" s="78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7"/>
      <c r="AA334" s="58"/>
      <c r="AB334" s="59"/>
    </row>
    <row r="335" ht="15.75" customHeight="1">
      <c r="A335" s="78"/>
      <c r="B335" s="78"/>
      <c r="C335" s="79"/>
      <c r="D335" s="79"/>
      <c r="E335" s="78"/>
      <c r="F335" s="78"/>
      <c r="G335" s="78"/>
      <c r="H335" s="78"/>
      <c r="I335" s="78"/>
      <c r="J335" s="78"/>
      <c r="K335" s="78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7"/>
      <c r="AA335" s="58"/>
      <c r="AB335" s="59"/>
    </row>
    <row r="336" ht="15.75" customHeight="1">
      <c r="A336" s="78"/>
      <c r="B336" s="78"/>
      <c r="C336" s="79"/>
      <c r="D336" s="79"/>
      <c r="E336" s="78"/>
      <c r="F336" s="78"/>
      <c r="G336" s="78"/>
      <c r="H336" s="78"/>
      <c r="I336" s="78"/>
      <c r="J336" s="78"/>
      <c r="K336" s="78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7"/>
      <c r="AA336" s="58"/>
      <c r="AB336" s="59"/>
    </row>
    <row r="337" ht="15.75" customHeight="1">
      <c r="A337" s="78"/>
      <c r="B337" s="78"/>
      <c r="C337" s="79"/>
      <c r="D337" s="79"/>
      <c r="E337" s="78"/>
      <c r="F337" s="78"/>
      <c r="G337" s="78"/>
      <c r="H337" s="78"/>
      <c r="I337" s="78"/>
      <c r="J337" s="78"/>
      <c r="K337" s="78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7"/>
      <c r="AA337" s="58"/>
      <c r="AB337" s="59"/>
    </row>
    <row r="338" ht="15.75" customHeight="1">
      <c r="A338" s="78"/>
      <c r="B338" s="78"/>
      <c r="C338" s="79"/>
      <c r="D338" s="79"/>
      <c r="E338" s="78"/>
      <c r="F338" s="78"/>
      <c r="G338" s="78"/>
      <c r="H338" s="78"/>
      <c r="I338" s="78"/>
      <c r="J338" s="78"/>
      <c r="K338" s="78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7"/>
      <c r="AA338" s="58"/>
      <c r="AB338" s="59"/>
    </row>
    <row r="339" ht="15.75" customHeight="1">
      <c r="A339" s="78"/>
      <c r="B339" s="78"/>
      <c r="C339" s="79"/>
      <c r="D339" s="79"/>
      <c r="E339" s="78"/>
      <c r="F339" s="78"/>
      <c r="G339" s="78"/>
      <c r="H339" s="78"/>
      <c r="I339" s="78"/>
      <c r="J339" s="78"/>
      <c r="K339" s="78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7"/>
      <c r="AA339" s="58"/>
      <c r="AB339" s="59"/>
    </row>
    <row r="340" ht="15.75" customHeight="1">
      <c r="A340" s="78"/>
      <c r="B340" s="78"/>
      <c r="C340" s="79"/>
      <c r="D340" s="79"/>
      <c r="E340" s="78"/>
      <c r="F340" s="78"/>
      <c r="G340" s="78"/>
      <c r="H340" s="78"/>
      <c r="I340" s="78"/>
      <c r="J340" s="78"/>
      <c r="K340" s="78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7"/>
      <c r="AA340" s="58"/>
      <c r="AB340" s="59"/>
    </row>
    <row r="341" ht="15.75" customHeight="1">
      <c r="A341" s="78"/>
      <c r="B341" s="78"/>
      <c r="C341" s="79"/>
      <c r="D341" s="79"/>
      <c r="E341" s="78"/>
      <c r="F341" s="78"/>
      <c r="G341" s="78"/>
      <c r="H341" s="78"/>
      <c r="I341" s="78"/>
      <c r="J341" s="78"/>
      <c r="K341" s="78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7"/>
      <c r="AA341" s="58"/>
      <c r="AB341" s="59"/>
    </row>
    <row r="342" ht="15.75" customHeight="1">
      <c r="A342" s="78"/>
      <c r="B342" s="78"/>
      <c r="C342" s="79"/>
      <c r="D342" s="79"/>
      <c r="E342" s="78"/>
      <c r="F342" s="78"/>
      <c r="G342" s="78"/>
      <c r="H342" s="78"/>
      <c r="I342" s="78"/>
      <c r="J342" s="78"/>
      <c r="K342" s="78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7"/>
      <c r="AA342" s="58"/>
      <c r="AB342" s="59"/>
    </row>
    <row r="343" ht="15.75" customHeight="1">
      <c r="A343" s="78"/>
      <c r="B343" s="78"/>
      <c r="C343" s="79"/>
      <c r="D343" s="79"/>
      <c r="E343" s="78"/>
      <c r="F343" s="78"/>
      <c r="G343" s="78"/>
      <c r="H343" s="78"/>
      <c r="I343" s="78"/>
      <c r="J343" s="78"/>
      <c r="K343" s="78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7"/>
      <c r="AA343" s="58"/>
      <c r="AB343" s="59"/>
    </row>
    <row r="344" ht="15.75" customHeight="1">
      <c r="A344" s="78"/>
      <c r="B344" s="78"/>
      <c r="C344" s="79"/>
      <c r="D344" s="79"/>
      <c r="E344" s="78"/>
      <c r="F344" s="78"/>
      <c r="G344" s="78"/>
      <c r="H344" s="78"/>
      <c r="I344" s="78"/>
      <c r="J344" s="78"/>
      <c r="K344" s="78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7"/>
      <c r="AA344" s="58"/>
      <c r="AB344" s="59"/>
    </row>
    <row r="345" ht="15.75" customHeight="1">
      <c r="A345" s="78"/>
      <c r="B345" s="78"/>
      <c r="C345" s="79"/>
      <c r="D345" s="79"/>
      <c r="E345" s="78"/>
      <c r="F345" s="78"/>
      <c r="G345" s="78"/>
      <c r="H345" s="78"/>
      <c r="I345" s="78"/>
      <c r="J345" s="78"/>
      <c r="K345" s="78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7"/>
      <c r="AA345" s="58"/>
      <c r="AB345" s="59"/>
    </row>
    <row r="346" ht="15.75" customHeight="1">
      <c r="A346" s="78"/>
      <c r="B346" s="78"/>
      <c r="C346" s="79"/>
      <c r="D346" s="79"/>
      <c r="E346" s="78"/>
      <c r="F346" s="78"/>
      <c r="G346" s="78"/>
      <c r="H346" s="78"/>
      <c r="I346" s="78"/>
      <c r="J346" s="78"/>
      <c r="K346" s="78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7"/>
      <c r="AA346" s="58"/>
      <c r="AB346" s="59"/>
    </row>
    <row r="347" ht="15.75" customHeight="1">
      <c r="A347" s="78"/>
      <c r="B347" s="78"/>
      <c r="C347" s="79"/>
      <c r="D347" s="79"/>
      <c r="E347" s="78"/>
      <c r="F347" s="78"/>
      <c r="G347" s="78"/>
      <c r="H347" s="78"/>
      <c r="I347" s="78"/>
      <c r="J347" s="78"/>
      <c r="K347" s="78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7"/>
      <c r="AA347" s="58"/>
      <c r="AB347" s="59"/>
    </row>
    <row r="348" ht="15.75" customHeight="1">
      <c r="A348" s="78"/>
      <c r="B348" s="78"/>
      <c r="C348" s="79"/>
      <c r="D348" s="79"/>
      <c r="E348" s="78"/>
      <c r="F348" s="78"/>
      <c r="G348" s="78"/>
      <c r="H348" s="78"/>
      <c r="I348" s="78"/>
      <c r="J348" s="78"/>
      <c r="K348" s="78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7"/>
      <c r="AA348" s="58"/>
      <c r="AB348" s="59"/>
    </row>
    <row r="349" ht="15.75" customHeight="1">
      <c r="A349" s="78"/>
      <c r="B349" s="78"/>
      <c r="C349" s="79"/>
      <c r="D349" s="79"/>
      <c r="E349" s="78"/>
      <c r="F349" s="78"/>
      <c r="G349" s="78"/>
      <c r="H349" s="78"/>
      <c r="I349" s="78"/>
      <c r="J349" s="78"/>
      <c r="K349" s="78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7"/>
      <c r="AA349" s="58"/>
      <c r="AB349" s="59"/>
    </row>
    <row r="350" ht="15.75" customHeight="1">
      <c r="A350" s="78"/>
      <c r="B350" s="78"/>
      <c r="C350" s="79"/>
      <c r="D350" s="79"/>
      <c r="E350" s="78"/>
      <c r="F350" s="78"/>
      <c r="G350" s="78"/>
      <c r="H350" s="78"/>
      <c r="I350" s="78"/>
      <c r="J350" s="78"/>
      <c r="K350" s="78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7"/>
      <c r="AA350" s="58"/>
      <c r="AB350" s="59"/>
    </row>
    <row r="351" ht="15.75" customHeight="1">
      <c r="A351" s="78"/>
      <c r="B351" s="78"/>
      <c r="C351" s="79"/>
      <c r="D351" s="79"/>
      <c r="E351" s="78"/>
      <c r="F351" s="78"/>
      <c r="G351" s="78"/>
      <c r="H351" s="78"/>
      <c r="I351" s="78"/>
      <c r="J351" s="78"/>
      <c r="K351" s="78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7"/>
      <c r="AA351" s="58"/>
      <c r="AB351" s="59"/>
    </row>
    <row r="352" ht="15.75" customHeight="1">
      <c r="A352" s="78"/>
      <c r="B352" s="78"/>
      <c r="C352" s="79"/>
      <c r="D352" s="79"/>
      <c r="E352" s="78"/>
      <c r="F352" s="78"/>
      <c r="G352" s="78"/>
      <c r="H352" s="78"/>
      <c r="I352" s="78"/>
      <c r="J352" s="78"/>
      <c r="K352" s="78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7"/>
      <c r="AA352" s="58"/>
      <c r="AB352" s="59"/>
    </row>
    <row r="353" ht="15.75" customHeight="1">
      <c r="A353" s="78"/>
      <c r="B353" s="78"/>
      <c r="C353" s="79"/>
      <c r="D353" s="79"/>
      <c r="E353" s="78"/>
      <c r="F353" s="78"/>
      <c r="G353" s="78"/>
      <c r="H353" s="78"/>
      <c r="I353" s="78"/>
      <c r="J353" s="78"/>
      <c r="K353" s="78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7"/>
      <c r="AA353" s="58"/>
      <c r="AB353" s="59"/>
    </row>
    <row r="354" ht="15.75" customHeight="1">
      <c r="A354" s="78"/>
      <c r="B354" s="78"/>
      <c r="C354" s="79"/>
      <c r="D354" s="79"/>
      <c r="E354" s="78"/>
      <c r="F354" s="78"/>
      <c r="G354" s="78"/>
      <c r="H354" s="78"/>
      <c r="I354" s="78"/>
      <c r="J354" s="78"/>
      <c r="K354" s="78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7"/>
      <c r="AA354" s="58"/>
      <c r="AB354" s="59"/>
    </row>
    <row r="355" ht="15.75" customHeight="1">
      <c r="A355" s="78"/>
      <c r="B355" s="78"/>
      <c r="C355" s="79"/>
      <c r="D355" s="79"/>
      <c r="E355" s="78"/>
      <c r="F355" s="78"/>
      <c r="G355" s="78"/>
      <c r="H355" s="78"/>
      <c r="I355" s="78"/>
      <c r="J355" s="78"/>
      <c r="K355" s="78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7"/>
      <c r="AA355" s="58"/>
      <c r="AB355" s="59"/>
    </row>
    <row r="356" ht="15.75" customHeight="1">
      <c r="A356" s="78"/>
      <c r="B356" s="78"/>
      <c r="C356" s="79"/>
      <c r="D356" s="79"/>
      <c r="E356" s="78"/>
      <c r="F356" s="78"/>
      <c r="G356" s="78"/>
      <c r="H356" s="78"/>
      <c r="I356" s="78"/>
      <c r="J356" s="78"/>
      <c r="K356" s="78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7"/>
      <c r="AA356" s="58"/>
      <c r="AB356" s="59"/>
    </row>
    <row r="357" ht="15.75" customHeight="1">
      <c r="A357" s="78"/>
      <c r="B357" s="78"/>
      <c r="C357" s="79"/>
      <c r="D357" s="79"/>
      <c r="E357" s="78"/>
      <c r="F357" s="78"/>
      <c r="G357" s="78"/>
      <c r="H357" s="78"/>
      <c r="I357" s="78"/>
      <c r="J357" s="78"/>
      <c r="K357" s="78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7"/>
      <c r="AA357" s="58"/>
      <c r="AB357" s="59"/>
    </row>
    <row r="358" ht="15.75" customHeight="1">
      <c r="A358" s="78"/>
      <c r="B358" s="78"/>
      <c r="C358" s="79"/>
      <c r="D358" s="79"/>
      <c r="E358" s="78"/>
      <c r="F358" s="78"/>
      <c r="G358" s="78"/>
      <c r="H358" s="78"/>
      <c r="I358" s="78"/>
      <c r="J358" s="78"/>
      <c r="K358" s="78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7"/>
      <c r="AA358" s="58"/>
      <c r="AB358" s="59"/>
    </row>
    <row r="359" ht="15.75" customHeight="1">
      <c r="A359" s="78"/>
      <c r="B359" s="78"/>
      <c r="C359" s="79"/>
      <c r="D359" s="79"/>
      <c r="E359" s="78"/>
      <c r="F359" s="78"/>
      <c r="G359" s="78"/>
      <c r="H359" s="78"/>
      <c r="I359" s="78"/>
      <c r="J359" s="78"/>
      <c r="K359" s="78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7"/>
      <c r="AA359" s="58"/>
      <c r="AB359" s="59"/>
    </row>
    <row r="360" ht="15.75" customHeight="1">
      <c r="A360" s="78"/>
      <c r="B360" s="78"/>
      <c r="C360" s="79"/>
      <c r="D360" s="79"/>
      <c r="E360" s="78"/>
      <c r="F360" s="78"/>
      <c r="G360" s="78"/>
      <c r="H360" s="78"/>
      <c r="I360" s="78"/>
      <c r="J360" s="78"/>
      <c r="K360" s="78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7"/>
      <c r="AA360" s="58"/>
      <c r="AB360" s="59"/>
    </row>
    <row r="361" ht="15.75" customHeight="1">
      <c r="A361" s="78"/>
      <c r="B361" s="78"/>
      <c r="C361" s="79"/>
      <c r="D361" s="79"/>
      <c r="E361" s="78"/>
      <c r="F361" s="78"/>
      <c r="G361" s="78"/>
      <c r="H361" s="78"/>
      <c r="I361" s="78"/>
      <c r="J361" s="78"/>
      <c r="K361" s="78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7"/>
      <c r="AA361" s="58"/>
      <c r="AB361" s="59"/>
    </row>
    <row r="362" ht="15.75" customHeight="1">
      <c r="A362" s="78"/>
      <c r="B362" s="78"/>
      <c r="C362" s="79"/>
      <c r="D362" s="79"/>
      <c r="E362" s="78"/>
      <c r="F362" s="78"/>
      <c r="G362" s="78"/>
      <c r="H362" s="78"/>
      <c r="I362" s="78"/>
      <c r="J362" s="78"/>
      <c r="K362" s="78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7"/>
      <c r="AA362" s="58"/>
      <c r="AB362" s="59"/>
    </row>
    <row r="363" ht="15.75" customHeight="1">
      <c r="A363" s="78"/>
      <c r="B363" s="78"/>
      <c r="C363" s="79"/>
      <c r="D363" s="79"/>
      <c r="E363" s="78"/>
      <c r="F363" s="78"/>
      <c r="G363" s="78"/>
      <c r="H363" s="78"/>
      <c r="I363" s="78"/>
      <c r="J363" s="78"/>
      <c r="K363" s="78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7"/>
      <c r="AA363" s="58"/>
      <c r="AB363" s="59"/>
    </row>
    <row r="364" ht="15.75" customHeight="1">
      <c r="A364" s="78"/>
      <c r="B364" s="78"/>
      <c r="C364" s="79"/>
      <c r="D364" s="79"/>
      <c r="E364" s="78"/>
      <c r="F364" s="78"/>
      <c r="G364" s="78"/>
      <c r="H364" s="78"/>
      <c r="I364" s="78"/>
      <c r="J364" s="78"/>
      <c r="K364" s="78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7"/>
      <c r="AA364" s="58"/>
      <c r="AB364" s="59"/>
    </row>
    <row r="365" ht="15.75" customHeight="1">
      <c r="A365" s="78"/>
      <c r="B365" s="78"/>
      <c r="C365" s="79"/>
      <c r="D365" s="79"/>
      <c r="E365" s="78"/>
      <c r="F365" s="78"/>
      <c r="G365" s="78"/>
      <c r="H365" s="78"/>
      <c r="I365" s="78"/>
      <c r="J365" s="78"/>
      <c r="K365" s="78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7"/>
      <c r="AA365" s="58"/>
      <c r="AB365" s="59"/>
    </row>
    <row r="366" ht="15.75" customHeight="1">
      <c r="A366" s="78"/>
      <c r="B366" s="78"/>
      <c r="C366" s="79"/>
      <c r="D366" s="79"/>
      <c r="E366" s="78"/>
      <c r="F366" s="78"/>
      <c r="G366" s="78"/>
      <c r="H366" s="78"/>
      <c r="I366" s="78"/>
      <c r="J366" s="78"/>
      <c r="K366" s="78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7"/>
      <c r="AA366" s="58"/>
      <c r="AB366" s="59"/>
    </row>
    <row r="367" ht="15.75" customHeight="1">
      <c r="A367" s="78"/>
      <c r="B367" s="78"/>
      <c r="C367" s="79"/>
      <c r="D367" s="79"/>
      <c r="E367" s="78"/>
      <c r="F367" s="78"/>
      <c r="G367" s="78"/>
      <c r="H367" s="78"/>
      <c r="I367" s="78"/>
      <c r="J367" s="78"/>
      <c r="K367" s="78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7"/>
      <c r="AA367" s="58"/>
      <c r="AB367" s="59"/>
    </row>
    <row r="368" ht="15.75" customHeight="1">
      <c r="A368" s="78"/>
      <c r="B368" s="78"/>
      <c r="C368" s="79"/>
      <c r="D368" s="79"/>
      <c r="E368" s="78"/>
      <c r="F368" s="78"/>
      <c r="G368" s="78"/>
      <c r="H368" s="78"/>
      <c r="I368" s="78"/>
      <c r="J368" s="78"/>
      <c r="K368" s="78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7"/>
      <c r="AA368" s="58"/>
      <c r="AB368" s="59"/>
    </row>
    <row r="369" ht="15.75" customHeight="1">
      <c r="A369" s="78"/>
      <c r="B369" s="78"/>
      <c r="C369" s="79"/>
      <c r="D369" s="79"/>
      <c r="E369" s="78"/>
      <c r="F369" s="78"/>
      <c r="G369" s="78"/>
      <c r="H369" s="78"/>
      <c r="I369" s="78"/>
      <c r="J369" s="78"/>
      <c r="K369" s="78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7"/>
      <c r="AA369" s="58"/>
      <c r="AB369" s="59"/>
    </row>
    <row r="370" ht="15.75" customHeight="1">
      <c r="A370" s="78"/>
      <c r="B370" s="78"/>
      <c r="C370" s="79"/>
      <c r="D370" s="79"/>
      <c r="E370" s="78"/>
      <c r="F370" s="78"/>
      <c r="G370" s="78"/>
      <c r="H370" s="78"/>
      <c r="I370" s="78"/>
      <c r="J370" s="78"/>
      <c r="K370" s="78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7"/>
      <c r="AA370" s="58"/>
      <c r="AB370" s="59"/>
    </row>
    <row r="371" ht="15.75" customHeight="1">
      <c r="A371" s="78"/>
      <c r="B371" s="78"/>
      <c r="C371" s="79"/>
      <c r="D371" s="79"/>
      <c r="E371" s="78"/>
      <c r="F371" s="78"/>
      <c r="G371" s="78"/>
      <c r="H371" s="78"/>
      <c r="I371" s="78"/>
      <c r="J371" s="78"/>
      <c r="K371" s="78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7"/>
      <c r="AA371" s="58"/>
      <c r="AB371" s="59"/>
    </row>
    <row r="372" ht="15.75" customHeight="1">
      <c r="A372" s="78"/>
      <c r="B372" s="78"/>
      <c r="C372" s="79"/>
      <c r="D372" s="79"/>
      <c r="E372" s="78"/>
      <c r="F372" s="78"/>
      <c r="G372" s="78"/>
      <c r="H372" s="78"/>
      <c r="I372" s="78"/>
      <c r="J372" s="78"/>
      <c r="K372" s="78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7"/>
      <c r="AA372" s="58"/>
      <c r="AB372" s="59"/>
    </row>
    <row r="373" ht="15.75" customHeight="1">
      <c r="A373" s="78"/>
      <c r="B373" s="78"/>
      <c r="C373" s="79"/>
      <c r="D373" s="79"/>
      <c r="E373" s="78"/>
      <c r="F373" s="78"/>
      <c r="G373" s="78"/>
      <c r="H373" s="78"/>
      <c r="I373" s="78"/>
      <c r="J373" s="78"/>
      <c r="K373" s="78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7"/>
      <c r="AA373" s="58"/>
      <c r="AB373" s="59"/>
    </row>
    <row r="374" ht="15.75" customHeight="1">
      <c r="A374" s="78"/>
      <c r="B374" s="78"/>
      <c r="C374" s="79"/>
      <c r="D374" s="79"/>
      <c r="E374" s="78"/>
      <c r="F374" s="78"/>
      <c r="G374" s="78"/>
      <c r="H374" s="78"/>
      <c r="I374" s="78"/>
      <c r="J374" s="78"/>
      <c r="K374" s="78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7"/>
      <c r="AA374" s="58"/>
      <c r="AB374" s="59"/>
    </row>
    <row r="375" ht="15.75" customHeight="1">
      <c r="A375" s="78"/>
      <c r="B375" s="78"/>
      <c r="C375" s="79"/>
      <c r="D375" s="79"/>
      <c r="E375" s="78"/>
      <c r="F375" s="78"/>
      <c r="G375" s="78"/>
      <c r="H375" s="78"/>
      <c r="I375" s="78"/>
      <c r="J375" s="78"/>
      <c r="K375" s="78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7"/>
      <c r="AA375" s="58"/>
      <c r="AB375" s="59"/>
    </row>
    <row r="376" ht="15.75" customHeight="1">
      <c r="A376" s="78"/>
      <c r="B376" s="78"/>
      <c r="C376" s="79"/>
      <c r="D376" s="79"/>
      <c r="E376" s="78"/>
      <c r="F376" s="78"/>
      <c r="G376" s="78"/>
      <c r="H376" s="78"/>
      <c r="I376" s="78"/>
      <c r="J376" s="78"/>
      <c r="K376" s="78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7"/>
      <c r="AA376" s="58"/>
      <c r="AB376" s="59"/>
    </row>
    <row r="377" ht="15.75" customHeight="1">
      <c r="A377" s="78"/>
      <c r="B377" s="78"/>
      <c r="C377" s="79"/>
      <c r="D377" s="79"/>
      <c r="E377" s="78"/>
      <c r="F377" s="78"/>
      <c r="G377" s="78"/>
      <c r="H377" s="78"/>
      <c r="I377" s="78"/>
      <c r="J377" s="78"/>
      <c r="K377" s="78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7"/>
      <c r="AA377" s="58"/>
      <c r="AB377" s="59"/>
    </row>
    <row r="378" ht="15.75" customHeight="1">
      <c r="A378" s="78"/>
      <c r="B378" s="78"/>
      <c r="C378" s="79"/>
      <c r="D378" s="79"/>
      <c r="E378" s="78"/>
      <c r="F378" s="78"/>
      <c r="G378" s="78"/>
      <c r="H378" s="78"/>
      <c r="I378" s="78"/>
      <c r="J378" s="78"/>
      <c r="K378" s="78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7"/>
      <c r="AA378" s="58"/>
      <c r="AB378" s="59"/>
    </row>
    <row r="379" ht="15.75" customHeight="1">
      <c r="A379" s="78"/>
      <c r="B379" s="78"/>
      <c r="C379" s="79"/>
      <c r="D379" s="79"/>
      <c r="E379" s="78"/>
      <c r="F379" s="78"/>
      <c r="G379" s="78"/>
      <c r="H379" s="78"/>
      <c r="I379" s="78"/>
      <c r="J379" s="78"/>
      <c r="K379" s="78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7"/>
      <c r="AA379" s="58"/>
      <c r="AB379" s="59"/>
    </row>
    <row r="380" ht="15.75" customHeight="1">
      <c r="A380" s="78"/>
      <c r="B380" s="78"/>
      <c r="C380" s="79"/>
      <c r="D380" s="79"/>
      <c r="E380" s="78"/>
      <c r="F380" s="78"/>
      <c r="G380" s="78"/>
      <c r="H380" s="78"/>
      <c r="I380" s="78"/>
      <c r="J380" s="78"/>
      <c r="K380" s="78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7"/>
      <c r="AA380" s="58"/>
      <c r="AB380" s="59"/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2:K180">
    <cfRule type="containsBlanks" dxfId="0" priority="1">
      <formula>LEN(TRIM(A2))=0</formula>
    </cfRule>
  </conditionalFormatting>
  <printOptions horizontalCentered="1"/>
  <pageMargins bottom="0.75" footer="0.0" header="0.0" left="0.7" right="0.7" top="0.75"/>
  <pageSetup paperSize="9" orientation="landscape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DC3E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5.63"/>
    <col customWidth="1" min="2" max="2" width="8.0"/>
    <col customWidth="1" min="3" max="3" width="17.75"/>
    <col customWidth="1" min="4" max="4" width="13.0"/>
    <col customWidth="1" min="5" max="6" width="5.38"/>
    <col customWidth="1" min="7" max="21" width="8.25"/>
    <col customWidth="1" min="22" max="28" width="7.0"/>
  </cols>
  <sheetData>
    <row r="1" ht="13.5" customHeight="1">
      <c r="A1" s="80" t="s">
        <v>0</v>
      </c>
      <c r="B1" s="80" t="s">
        <v>1</v>
      </c>
      <c r="C1" s="81" t="s">
        <v>2</v>
      </c>
      <c r="D1" s="81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41"/>
      <c r="M1" s="42"/>
      <c r="N1" s="42"/>
      <c r="O1" s="42"/>
      <c r="P1" s="42"/>
      <c r="Q1" s="42"/>
      <c r="R1" s="42"/>
      <c r="S1" s="42"/>
      <c r="T1" s="42"/>
      <c r="U1" s="42"/>
      <c r="V1" s="43"/>
      <c r="W1" s="43"/>
      <c r="X1" s="43"/>
      <c r="Y1" s="43"/>
      <c r="Z1" s="44"/>
      <c r="AA1" s="45"/>
      <c r="AB1" s="46"/>
    </row>
    <row r="2" ht="13.5" customHeight="1">
      <c r="A2" s="47">
        <f>IFERROR(__xludf.DUMMYFUNCTION("importrange(""https://docs.google.com/spreadsheets/d/1SneboWg5ForOUIMyz7kk7PNTpQ7WlnVISde0cc3ncMg/edit?gid=350079654#gid=350079654"",""Resultats_SH!A2:O180"")"),1.0)</f>
        <v>1</v>
      </c>
      <c r="B2" s="48" t="str">
        <f>IFERROR(__xludf.DUMMYFUNCTION("""COMPUTED_VALUE"""),"220")</f>
        <v>220</v>
      </c>
      <c r="C2" s="49" t="str">
        <f>IFERROR(__xludf.DUMMYFUNCTION("""COMPUTED_VALUE"""),"REGNIER")</f>
        <v>REGNIER</v>
      </c>
      <c r="D2" s="50" t="str">
        <f>IFERROR(__xludf.DUMMYFUNCTION("""COMPUTED_VALUE"""),"BENOIT")</f>
        <v>BENOIT</v>
      </c>
      <c r="E2" s="51" t="str">
        <f>IFERROR(__xludf.DUMMYFUNCTION("""COMPUTED_VALUE"""),"SH4")</f>
        <v>SH4</v>
      </c>
      <c r="F2" s="82">
        <f>IFERROR(__xludf.DUMMYFUNCTION("""COMPUTED_VALUE"""),1.0)</f>
        <v>1</v>
      </c>
      <c r="G2" s="52">
        <f>IFERROR(__xludf.DUMMYFUNCTION("""COMPUTED_VALUE"""),0.016342593717538826)</f>
        <v>0.01634259372</v>
      </c>
      <c r="H2" s="53">
        <f>IFERROR(__xludf.DUMMYFUNCTION("""COMPUTED_VALUE"""),0.002824074093448683)</f>
        <v>0.002824074093</v>
      </c>
      <c r="I2" s="53">
        <f>IFERROR(__xludf.DUMMYFUNCTION("""COMPUTED_VALUE"""),0.007037037070367344)</f>
        <v>0.00703703707</v>
      </c>
      <c r="J2" s="53">
        <f>IFERROR(__xludf.DUMMYFUNCTION("""COMPUTED_VALUE"""),0.005983797309151729)</f>
        <v>0.005983797309</v>
      </c>
      <c r="K2" s="54">
        <f>IFERROR(__xludf.DUMMYFUNCTION("""COMPUTED_VALUE"""),4.976852445710694E-4)</f>
        <v>0.0004976852446</v>
      </c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6"/>
      <c r="X2" s="56"/>
      <c r="Y2" s="56"/>
      <c r="Z2" s="57"/>
      <c r="AA2" s="58"/>
      <c r="AB2" s="59"/>
    </row>
    <row r="3" ht="13.5" customHeight="1">
      <c r="A3" s="60">
        <f>IFERROR(__xludf.DUMMYFUNCTION("""COMPUTED_VALUE"""),2.0)</f>
        <v>2</v>
      </c>
      <c r="B3" s="61" t="str">
        <f>IFERROR(__xludf.DUMMYFUNCTION("""COMPUTED_VALUE"""),"192")</f>
        <v>192</v>
      </c>
      <c r="C3" s="62" t="str">
        <f>IFERROR(__xludf.DUMMYFUNCTION("""COMPUTED_VALUE"""),"LEVEL")</f>
        <v>LEVEL</v>
      </c>
      <c r="D3" s="63" t="str">
        <f>IFERROR(__xludf.DUMMYFUNCTION("""COMPUTED_VALUE"""),"ROMAIN")</f>
        <v>ROMAIN</v>
      </c>
      <c r="E3" s="51" t="str">
        <f>IFERROR(__xludf.DUMMYFUNCTION("""COMPUTED_VALUE"""),"SH4")</f>
        <v>SH4</v>
      </c>
      <c r="F3" s="82">
        <f>IFERROR(__xludf.DUMMYFUNCTION("""COMPUTED_VALUE"""),2.0)</f>
        <v>2</v>
      </c>
      <c r="G3" s="52">
        <f>IFERROR(__xludf.DUMMYFUNCTION("""COMPUTED_VALUE"""),0.01701388935534628)</f>
        <v>0.01701388936</v>
      </c>
      <c r="H3" s="53">
        <f>IFERROR(__xludf.DUMMYFUNCTION("""COMPUTED_VALUE"""),0.0029629630688226584)</f>
        <v>0.002962963069</v>
      </c>
      <c r="I3" s="53">
        <f>IFERROR(__xludf.DUMMYFUNCTION("""COMPUTED_VALUE"""),0.006203703759525812)</f>
        <v>0.00620370376</v>
      </c>
      <c r="J3" s="53">
        <f>IFERROR(__xludf.DUMMYFUNCTION("""COMPUTED_VALUE"""),0.007407407723074929)</f>
        <v>0.007407407723</v>
      </c>
      <c r="K3" s="54">
        <f>IFERROR(__xludf.DUMMYFUNCTION("""COMPUTED_VALUE"""),4.3981480392288157E-4)</f>
        <v>0.0004398148039</v>
      </c>
      <c r="L3" s="55"/>
      <c r="M3" s="55"/>
      <c r="N3" s="55"/>
      <c r="O3" s="55"/>
      <c r="P3" s="55"/>
      <c r="Q3" s="55"/>
      <c r="R3" s="55"/>
      <c r="S3" s="55"/>
      <c r="T3" s="55"/>
      <c r="U3" s="55"/>
      <c r="V3" s="56"/>
      <c r="W3" s="56"/>
      <c r="X3" s="56"/>
      <c r="Y3" s="56"/>
      <c r="Z3" s="57"/>
      <c r="AA3" s="58"/>
      <c r="AB3" s="59"/>
    </row>
    <row r="4" ht="13.5" customHeight="1">
      <c r="A4" s="60">
        <f>IFERROR(__xludf.DUMMYFUNCTION("""COMPUTED_VALUE"""),3.0)</f>
        <v>3</v>
      </c>
      <c r="B4" s="61" t="str">
        <f>IFERROR(__xludf.DUMMYFUNCTION("""COMPUTED_VALUE"""),"153")</f>
        <v>153</v>
      </c>
      <c r="C4" s="62" t="str">
        <f>IFERROR(__xludf.DUMMYFUNCTION("""COMPUTED_VALUE"""),"SAUVIAT")</f>
        <v>SAUVIAT</v>
      </c>
      <c r="D4" s="63" t="str">
        <f>IFERROR(__xludf.DUMMYFUNCTION("""COMPUTED_VALUE"""),"MARC-ANTOINE")</f>
        <v>MARC-ANTOINE</v>
      </c>
      <c r="E4" s="51" t="str">
        <f>IFERROR(__xludf.DUMMYFUNCTION("""COMPUTED_VALUE"""),"SH3")</f>
        <v>SH3</v>
      </c>
      <c r="F4" s="82">
        <f>IFERROR(__xludf.DUMMYFUNCTION("""COMPUTED_VALUE"""),1.0)</f>
        <v>1</v>
      </c>
      <c r="G4" s="52">
        <f>IFERROR(__xludf.DUMMYFUNCTION("""COMPUTED_VALUE"""),0.017326389722227546)</f>
        <v>0.01732638972</v>
      </c>
      <c r="H4" s="53">
        <f>IFERROR(__xludf.DUMMYFUNCTION("""COMPUTED_VALUE"""),0.0031018519120091016)</f>
        <v>0.003101851912</v>
      </c>
      <c r="I4" s="53">
        <f>IFERROR(__xludf.DUMMYFUNCTION("""COMPUTED_VALUE"""),0.006967592611820918)</f>
        <v>0.006967592612</v>
      </c>
      <c r="J4" s="53">
        <f>IFERROR(__xludf.DUMMYFUNCTION("""COMPUTED_VALUE"""),0.00675925896425341)</f>
        <v>0.006759258964</v>
      </c>
      <c r="K4" s="54">
        <f>IFERROR(__xludf.DUMMYFUNCTION("""COMPUTED_VALUE"""),4.976862341441166E-4)</f>
        <v>0.0004976862341</v>
      </c>
      <c r="L4" s="55"/>
      <c r="M4" s="55"/>
      <c r="N4" s="55"/>
      <c r="O4" s="55"/>
      <c r="P4" s="55"/>
      <c r="Q4" s="55"/>
      <c r="R4" s="55"/>
      <c r="S4" s="55"/>
      <c r="T4" s="55"/>
      <c r="U4" s="55"/>
      <c r="V4" s="56"/>
      <c r="W4" s="56"/>
      <c r="X4" s="56"/>
      <c r="Y4" s="56"/>
      <c r="Z4" s="57"/>
      <c r="AA4" s="58"/>
      <c r="AB4" s="59"/>
    </row>
    <row r="5" ht="13.5" customHeight="1">
      <c r="A5" s="60">
        <f>IFERROR(__xludf.DUMMYFUNCTION("""COMPUTED_VALUE"""),4.0)</f>
        <v>4</v>
      </c>
      <c r="B5" s="61" t="str">
        <f>IFERROR(__xludf.DUMMYFUNCTION("""COMPUTED_VALUE"""),"221")</f>
        <v>221</v>
      </c>
      <c r="C5" s="62" t="str">
        <f>IFERROR(__xludf.DUMMYFUNCTION("""COMPUTED_VALUE"""),"FROMENTEAU")</f>
        <v>FROMENTEAU</v>
      </c>
      <c r="D5" s="63" t="str">
        <f>IFERROR(__xludf.DUMMYFUNCTION("""COMPUTED_VALUE"""),"MATTHIEU")</f>
        <v>MATTHIEU</v>
      </c>
      <c r="E5" s="51" t="str">
        <f>IFERROR(__xludf.DUMMYFUNCTION("""COMPUTED_VALUE"""),"SH3")</f>
        <v>SH3</v>
      </c>
      <c r="F5" s="82">
        <f>IFERROR(__xludf.DUMMYFUNCTION("""COMPUTED_VALUE"""),2.0)</f>
        <v>2</v>
      </c>
      <c r="G5" s="52">
        <f>IFERROR(__xludf.DUMMYFUNCTION("""COMPUTED_VALUE"""),0.017731481948815582)</f>
        <v>0.01773148195</v>
      </c>
      <c r="H5" s="53">
        <f>IFERROR(__xludf.DUMMYFUNCTION("""COMPUTED_VALUE"""),0.00292824083000961)</f>
        <v>0.00292824083</v>
      </c>
      <c r="I5" s="53">
        <f>IFERROR(__xludf.DUMMYFUNCTION("""COMPUTED_VALUE"""),0.007002314898084527)</f>
        <v>0.007002314898</v>
      </c>
      <c r="J5" s="53">
        <f>IFERROR(__xludf.DUMMYFUNCTION("""COMPUTED_VALUE"""),0.007395833104588707)</f>
        <v>0.007395833105</v>
      </c>
      <c r="K5" s="54">
        <f>IFERROR(__xludf.DUMMYFUNCTION("""COMPUTED_VALUE"""),4.0509311613273844E-4)</f>
        <v>0.0004050931161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6"/>
      <c r="W5" s="56"/>
      <c r="X5" s="56"/>
      <c r="Y5" s="56"/>
      <c r="Z5" s="57"/>
      <c r="AA5" s="58"/>
      <c r="AB5" s="59"/>
    </row>
    <row r="6" ht="13.5" customHeight="1">
      <c r="A6" s="60">
        <f>IFERROR(__xludf.DUMMYFUNCTION("""COMPUTED_VALUE"""),5.0)</f>
        <v>5</v>
      </c>
      <c r="B6" s="61" t="str">
        <f>IFERROR(__xludf.DUMMYFUNCTION("""COMPUTED_VALUE"""),"215")</f>
        <v>215</v>
      </c>
      <c r="C6" s="62" t="str">
        <f>IFERROR(__xludf.DUMMYFUNCTION("""COMPUTED_VALUE"""),"OUSTRY")</f>
        <v>OUSTRY</v>
      </c>
      <c r="D6" s="63" t="str">
        <f>IFERROR(__xludf.DUMMYFUNCTION("""COMPUTED_VALUE"""),"JULIEN")</f>
        <v>JULIEN</v>
      </c>
      <c r="E6" s="51" t="str">
        <f>IFERROR(__xludf.DUMMYFUNCTION("""COMPUTED_VALUE"""),"SH4")</f>
        <v>SH4</v>
      </c>
      <c r="F6" s="82">
        <f>IFERROR(__xludf.DUMMYFUNCTION("""COMPUTED_VALUE"""),3.0)</f>
        <v>3</v>
      </c>
      <c r="G6" s="52">
        <f>IFERROR(__xludf.DUMMYFUNCTION("""COMPUTED_VALUE"""),0.017870371419474763)</f>
        <v>0.01787037142</v>
      </c>
      <c r="H6" s="53">
        <f>IFERROR(__xludf.DUMMYFUNCTION("""COMPUTED_VALUE"""),0.002719907502794591)</f>
        <v>0.002719907503</v>
      </c>
      <c r="I6" s="53">
        <f>IFERROR(__xludf.DUMMYFUNCTION("""COMPUTED_VALUE"""),0.00716435188884662)</f>
        <v>0.007164351889</v>
      </c>
      <c r="J6" s="53">
        <f>IFERROR(__xludf.DUMMYFUNCTION("""COMPUTED_VALUE"""),0.007488426685071029)</f>
        <v>0.007488426685</v>
      </c>
      <c r="K6" s="54">
        <f>IFERROR(__xludf.DUMMYFUNCTION("""COMPUTED_VALUE"""),4.97685342762524E-4)</f>
        <v>0.0004976853428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6"/>
      <c r="W6" s="56"/>
      <c r="X6" s="56"/>
      <c r="Y6" s="56"/>
      <c r="Z6" s="57"/>
      <c r="AA6" s="58"/>
      <c r="AB6" s="59"/>
    </row>
    <row r="7" ht="13.5" customHeight="1">
      <c r="A7" s="60">
        <f>IFERROR(__xludf.DUMMYFUNCTION("""COMPUTED_VALUE"""),6.0)</f>
        <v>6</v>
      </c>
      <c r="B7" s="61" t="str">
        <f>IFERROR(__xludf.DUMMYFUNCTION("""COMPUTED_VALUE"""),"218")</f>
        <v>218</v>
      </c>
      <c r="C7" s="62" t="str">
        <f>IFERROR(__xludf.DUMMYFUNCTION("""COMPUTED_VALUE"""),"KERGOAT")</f>
        <v>KERGOAT</v>
      </c>
      <c r="D7" s="63" t="str">
        <f>IFERROR(__xludf.DUMMYFUNCTION("""COMPUTED_VALUE"""),"FRANCOIS")</f>
        <v>FRANCOIS</v>
      </c>
      <c r="E7" s="51" t="str">
        <f>IFERROR(__xludf.DUMMYFUNCTION("""COMPUTED_VALUE"""),"SH4")</f>
        <v>SH4</v>
      </c>
      <c r="F7" s="82">
        <f>IFERROR(__xludf.DUMMYFUNCTION("""COMPUTED_VALUE"""),4.0)</f>
        <v>4</v>
      </c>
      <c r="G7" s="52">
        <f>IFERROR(__xludf.DUMMYFUNCTION("""COMPUTED_VALUE"""),0.017893518664576866)</f>
        <v>0.01789351866</v>
      </c>
      <c r="H7" s="53">
        <f>IFERROR(__xludf.DUMMYFUNCTION("""COMPUTED_VALUE"""),0.002986111113312133)</f>
        <v>0.002986111113</v>
      </c>
      <c r="I7" s="53">
        <f>IFERROR(__xludf.DUMMYFUNCTION("""COMPUTED_VALUE"""),0.007141203762140915)</f>
        <v>0.007141203762</v>
      </c>
      <c r="J7" s="53">
        <f>IFERROR(__xludf.DUMMYFUNCTION("""COMPUTED_VALUE"""),0.006979166283490533)</f>
        <v>0.006979166283</v>
      </c>
      <c r="K7" s="54">
        <f>IFERROR(__xludf.DUMMYFUNCTION("""COMPUTED_VALUE"""),7.870375056332848E-4)</f>
        <v>0.0007870375056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6"/>
      <c r="W7" s="56"/>
      <c r="X7" s="56"/>
      <c r="Y7" s="56"/>
      <c r="Z7" s="57"/>
      <c r="AA7" s="58"/>
      <c r="AB7" s="59"/>
    </row>
    <row r="8" ht="13.5" customHeight="1">
      <c r="A8" s="60">
        <f>IFERROR(__xludf.DUMMYFUNCTION("""COMPUTED_VALUE"""),7.0)</f>
        <v>7</v>
      </c>
      <c r="B8" s="61" t="str">
        <f>IFERROR(__xludf.DUMMYFUNCTION("""COMPUTED_VALUE"""),"132")</f>
        <v>132</v>
      </c>
      <c r="C8" s="62" t="str">
        <f>IFERROR(__xludf.DUMMYFUNCTION("""COMPUTED_VALUE"""),"LEDOUX")</f>
        <v>LEDOUX</v>
      </c>
      <c r="D8" s="63" t="str">
        <f>IFERROR(__xludf.DUMMYFUNCTION("""COMPUTED_VALUE"""),"VINCENT")</f>
        <v>VINCENT</v>
      </c>
      <c r="E8" s="51" t="str">
        <f>IFERROR(__xludf.DUMMYFUNCTION("""COMPUTED_VALUE"""),"SH3")</f>
        <v>SH3</v>
      </c>
      <c r="F8" s="82">
        <f>IFERROR(__xludf.DUMMYFUNCTION("""COMPUTED_VALUE"""),3.0)</f>
        <v>3</v>
      </c>
      <c r="G8" s="52">
        <f>IFERROR(__xludf.DUMMYFUNCTION("""COMPUTED_VALUE"""),0.017986112144996205)</f>
        <v>0.01798611214</v>
      </c>
      <c r="H8" s="53">
        <f>IFERROR(__xludf.DUMMYFUNCTION("""COMPUTED_VALUE"""),0.0034722222267817566)</f>
        <v>0.003472222227</v>
      </c>
      <c r="I8" s="53">
        <f>IFERROR(__xludf.DUMMYFUNCTION("""COMPUTED_VALUE"""),0.006712962983883255)</f>
        <v>0.006712962984</v>
      </c>
      <c r="J8" s="53">
        <f>IFERROR(__xludf.DUMMYFUNCTION("""COMPUTED_VALUE"""),0.00721064852974194)</f>
        <v>0.00721064853</v>
      </c>
      <c r="K8" s="54">
        <f>IFERROR(__xludf.DUMMYFUNCTION("""COMPUTED_VALUE"""),5.902784045892537E-4)</f>
        <v>0.0005902784046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6"/>
      <c r="W8" s="56"/>
      <c r="X8" s="56"/>
      <c r="Y8" s="56"/>
      <c r="Z8" s="57"/>
      <c r="AA8" s="58"/>
      <c r="AB8" s="59"/>
    </row>
    <row r="9" ht="13.5" customHeight="1">
      <c r="A9" s="60">
        <f>IFERROR(__xludf.DUMMYFUNCTION("""COMPUTED_VALUE"""),8.0)</f>
        <v>8</v>
      </c>
      <c r="B9" s="61" t="str">
        <f>IFERROR(__xludf.DUMMYFUNCTION("""COMPUTED_VALUE"""),"203")</f>
        <v>203</v>
      </c>
      <c r="C9" s="62" t="str">
        <f>IFERROR(__xludf.DUMMYFUNCTION("""COMPUTED_VALUE"""),"ELISA")</f>
        <v>ELISA</v>
      </c>
      <c r="D9" s="63" t="str">
        <f>IFERROR(__xludf.DUMMYFUNCTION("""COMPUTED_VALUE"""),"ANTOINE")</f>
        <v>ANTOINE</v>
      </c>
      <c r="E9" s="51" t="str">
        <f>IFERROR(__xludf.DUMMYFUNCTION("""COMPUTED_VALUE"""),"SH4")</f>
        <v>SH4</v>
      </c>
      <c r="F9" s="82">
        <f>IFERROR(__xludf.DUMMYFUNCTION("""COMPUTED_VALUE"""),5.0)</f>
        <v>5</v>
      </c>
      <c r="G9" s="52">
        <f>IFERROR(__xludf.DUMMYFUNCTION("""COMPUTED_VALUE"""),0.018437500331969735)</f>
        <v>0.01843750033</v>
      </c>
      <c r="H9" s="53">
        <f>IFERROR(__xludf.DUMMYFUNCTION("""COMPUTED_VALUE"""),0.0032638889396542294)</f>
        <v>0.00326388894</v>
      </c>
      <c r="I9" s="53">
        <f>IFERROR(__xludf.DUMMYFUNCTION("""COMPUTED_VALUE"""),0.007175925930398353)</f>
        <v>0.00717592593</v>
      </c>
      <c r="J9" s="53">
        <f>IFERROR(__xludf.DUMMYFUNCTION("""COMPUTED_VALUE"""),0.007094907049153431)</f>
        <v>0.007094907049</v>
      </c>
      <c r="K9" s="54">
        <f>IFERROR(__xludf.DUMMYFUNCTION("""COMPUTED_VALUE"""),9.027784127637229E-4)</f>
        <v>0.0009027784128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6"/>
      <c r="W9" s="56"/>
      <c r="X9" s="56"/>
      <c r="Y9" s="56"/>
      <c r="Z9" s="57"/>
      <c r="AA9" s="58"/>
      <c r="AB9" s="59"/>
    </row>
    <row r="10" ht="13.5" customHeight="1">
      <c r="A10" s="60">
        <f>IFERROR(__xludf.DUMMYFUNCTION("""COMPUTED_VALUE"""),9.0)</f>
        <v>9</v>
      </c>
      <c r="B10" s="61" t="str">
        <f>IFERROR(__xludf.DUMMYFUNCTION("""COMPUTED_VALUE"""),"178")</f>
        <v>178</v>
      </c>
      <c r="C10" s="62" t="str">
        <f>IFERROR(__xludf.DUMMYFUNCTION("""COMPUTED_VALUE"""),"ACHITE-HENNI")</f>
        <v>ACHITE-HENNI</v>
      </c>
      <c r="D10" s="63" t="str">
        <f>IFERROR(__xludf.DUMMYFUNCTION("""COMPUTED_VALUE"""),"SELIM")</f>
        <v>SELIM</v>
      </c>
      <c r="E10" s="51" t="str">
        <f>IFERROR(__xludf.DUMMYFUNCTION("""COMPUTED_VALUE"""),"SH3")</f>
        <v>SH3</v>
      </c>
      <c r="F10" s="82">
        <f>IFERROR(__xludf.DUMMYFUNCTION("""COMPUTED_VALUE"""),4.0)</f>
        <v>4</v>
      </c>
      <c r="G10" s="52">
        <f>IFERROR(__xludf.DUMMYFUNCTION("""COMPUTED_VALUE"""),0.018437500408239695)</f>
        <v>0.01843750041</v>
      </c>
      <c r="H10" s="53">
        <f>IFERROR(__xludf.DUMMYFUNCTION("""COMPUTED_VALUE"""),0.0034722222317054656)</f>
        <v>0.003472222232</v>
      </c>
      <c r="I10" s="53">
        <f>IFERROR(__xludf.DUMMYFUNCTION("""COMPUTED_VALUE"""),0.006909722320446284)</f>
        <v>0.00690972232</v>
      </c>
      <c r="J10" s="53">
        <f>IFERROR(__xludf.DUMMYFUNCTION("""COMPUTED_VALUE"""),0.0074305554383709334)</f>
        <v>0.007430555438</v>
      </c>
      <c r="K10" s="54">
        <f>IFERROR(__xludf.DUMMYFUNCTION("""COMPUTED_VALUE"""),6.250004177170113E-4)</f>
        <v>0.0006250004177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6"/>
      <c r="W10" s="56"/>
      <c r="X10" s="56"/>
      <c r="Y10" s="56"/>
      <c r="Z10" s="57"/>
      <c r="AA10" s="58"/>
      <c r="AB10" s="59"/>
    </row>
    <row r="11" ht="13.5" customHeight="1">
      <c r="A11" s="60">
        <f>IFERROR(__xludf.DUMMYFUNCTION("""COMPUTED_VALUE"""),10.0)</f>
        <v>10</v>
      </c>
      <c r="B11" s="61" t="str">
        <f>IFERROR(__xludf.DUMMYFUNCTION("""COMPUTED_VALUE"""),"216")</f>
        <v>216</v>
      </c>
      <c r="C11" s="62" t="str">
        <f>IFERROR(__xludf.DUMMYFUNCTION("""COMPUTED_VALUE"""),"GRAZIANI")</f>
        <v>GRAZIANI</v>
      </c>
      <c r="D11" s="63" t="str">
        <f>IFERROR(__xludf.DUMMYFUNCTION("""COMPUTED_VALUE"""),"LEO")</f>
        <v>LEO</v>
      </c>
      <c r="E11" s="51" t="str">
        <f>IFERROR(__xludf.DUMMYFUNCTION("""COMPUTED_VALUE"""),"SH3")</f>
        <v>SH3</v>
      </c>
      <c r="F11" s="82">
        <f>IFERROR(__xludf.DUMMYFUNCTION("""COMPUTED_VALUE"""),5.0)</f>
        <v>5</v>
      </c>
      <c r="G11" s="52">
        <f>IFERROR(__xludf.DUMMYFUNCTION("""COMPUTED_VALUE"""),0.0185763889037024)</f>
        <v>0.0185763889</v>
      </c>
      <c r="H11" s="53">
        <f>IFERROR(__xludf.DUMMYFUNCTION("""COMPUTED_VALUE"""),0.003796296332868693)</f>
        <v>0.003796296333</v>
      </c>
      <c r="I11" s="53">
        <f>IFERROR(__xludf.DUMMYFUNCTION("""COMPUTED_VALUE"""),0.006307870464210046)</f>
        <v>0.006307870464</v>
      </c>
      <c r="J11" s="53">
        <f>IFERROR(__xludf.DUMMYFUNCTION("""COMPUTED_VALUE"""),0.007870369338382376)</f>
        <v>0.007870369338</v>
      </c>
      <c r="K11" s="54">
        <f>IFERROR(__xludf.DUMMYFUNCTION("""COMPUTED_VALUE"""),6.018527682412848E-4)</f>
        <v>0.0006018527682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6"/>
      <c r="W11" s="56"/>
      <c r="X11" s="56"/>
      <c r="Y11" s="56"/>
      <c r="Z11" s="57"/>
      <c r="AA11" s="58"/>
      <c r="AB11" s="59"/>
    </row>
    <row r="12" ht="13.5" customHeight="1">
      <c r="A12" s="60">
        <f>IFERROR(__xludf.DUMMYFUNCTION("""COMPUTED_VALUE"""),11.0)</f>
        <v>11</v>
      </c>
      <c r="B12" s="61" t="str">
        <f>IFERROR(__xludf.DUMMYFUNCTION("""COMPUTED_VALUE"""),"120")</f>
        <v>120</v>
      </c>
      <c r="C12" s="62" t="str">
        <f>IFERROR(__xludf.DUMMYFUNCTION("""COMPUTED_VALUE"""),"CAMPAIN")</f>
        <v>CAMPAIN</v>
      </c>
      <c r="D12" s="63" t="str">
        <f>IFERROR(__xludf.DUMMYFUNCTION("""COMPUTED_VALUE"""),"TIMOTHEE")</f>
        <v>TIMOTHEE</v>
      </c>
      <c r="E12" s="51" t="str">
        <f>IFERROR(__xludf.DUMMYFUNCTION("""COMPUTED_VALUE"""),"SH3")</f>
        <v>SH3</v>
      </c>
      <c r="F12" s="82">
        <f>IFERROR(__xludf.DUMMYFUNCTION("""COMPUTED_VALUE"""),6.0)</f>
        <v>6</v>
      </c>
      <c r="G12" s="52">
        <f>IFERROR(__xludf.DUMMYFUNCTION("""COMPUTED_VALUE"""),0.01864583334569759)</f>
        <v>0.01864583335</v>
      </c>
      <c r="H12" s="53">
        <f>IFERROR(__xludf.DUMMYFUNCTION("""COMPUTED_VALUE"""),0.0028587963586603825)</f>
        <v>0.002858796359</v>
      </c>
      <c r="I12" s="53">
        <f>IFERROR(__xludf.DUMMYFUNCTION("""COMPUTED_VALUE"""),0.007106481575496299)</f>
        <v>0.007106481575</v>
      </c>
      <c r="J12" s="53">
        <f>IFERROR(__xludf.DUMMYFUNCTION("""COMPUTED_VALUE"""),0.007870369695256924)</f>
        <v>0.007870369695</v>
      </c>
      <c r="K12" s="54">
        <f>IFERROR(__xludf.DUMMYFUNCTION("""COMPUTED_VALUE"""),8.101857162839845E-4)</f>
        <v>0.0008101857163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6"/>
      <c r="W12" s="56"/>
      <c r="X12" s="56"/>
      <c r="Y12" s="56"/>
      <c r="Z12" s="57"/>
      <c r="AA12" s="58"/>
      <c r="AB12" s="59"/>
    </row>
    <row r="13" ht="13.5" customHeight="1">
      <c r="A13" s="60">
        <f>IFERROR(__xludf.DUMMYFUNCTION("""COMPUTED_VALUE"""),12.0)</f>
        <v>12</v>
      </c>
      <c r="B13" s="61" t="str">
        <f>IFERROR(__xludf.DUMMYFUNCTION("""COMPUTED_VALUE"""),"200")</f>
        <v>200</v>
      </c>
      <c r="C13" s="62" t="str">
        <f>IFERROR(__xludf.DUMMYFUNCTION("""COMPUTED_VALUE"""),"RELLA")</f>
        <v>RELLA</v>
      </c>
      <c r="D13" s="63" t="str">
        <f>IFERROR(__xludf.DUMMYFUNCTION("""COMPUTED_VALUE"""),"MATHIEU")</f>
        <v>MATHIEU</v>
      </c>
      <c r="E13" s="51" t="str">
        <f>IFERROR(__xludf.DUMMYFUNCTION("""COMPUTED_VALUE"""),"SH3")</f>
        <v>SH3</v>
      </c>
      <c r="F13" s="82">
        <f>IFERROR(__xludf.DUMMYFUNCTION("""COMPUTED_VALUE"""),7.0)</f>
        <v>7</v>
      </c>
      <c r="G13" s="52">
        <f>IFERROR(__xludf.DUMMYFUNCTION("""COMPUTED_VALUE"""),0.018703703719431176)</f>
        <v>0.01870370372</v>
      </c>
      <c r="H13" s="53">
        <f>IFERROR(__xludf.DUMMYFUNCTION("""COMPUTED_VALUE"""),0.003888888940403438)</f>
        <v>0.00388888894</v>
      </c>
      <c r="I13" s="53">
        <f>IFERROR(__xludf.DUMMYFUNCTION("""COMPUTED_VALUE"""),0.00740740746007617)</f>
        <v>0.00740740746</v>
      </c>
      <c r="J13" s="53">
        <f>IFERROR(__xludf.DUMMYFUNCTION("""COMPUTED_VALUE"""),0.0066782403180138655)</f>
        <v>0.006678240318</v>
      </c>
      <c r="K13" s="54">
        <f>IFERROR(__xludf.DUMMYFUNCTION("""COMPUTED_VALUE"""),7.291670009377028E-4)</f>
        <v>0.0007291670009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6"/>
      <c r="W13" s="56"/>
      <c r="X13" s="56"/>
      <c r="Y13" s="56"/>
      <c r="Z13" s="57"/>
      <c r="AA13" s="58"/>
      <c r="AB13" s="59"/>
    </row>
    <row r="14" ht="13.5" customHeight="1">
      <c r="A14" s="60">
        <f>IFERROR(__xludf.DUMMYFUNCTION("""COMPUTED_VALUE"""),13.0)</f>
        <v>13</v>
      </c>
      <c r="B14" s="61" t="str">
        <f>IFERROR(__xludf.DUMMYFUNCTION("""COMPUTED_VALUE"""),"209")</f>
        <v>209</v>
      </c>
      <c r="C14" s="62" t="str">
        <f>IFERROR(__xludf.DUMMYFUNCTION("""COMPUTED_VALUE"""),"FARINOLE")</f>
        <v>FARINOLE</v>
      </c>
      <c r="D14" s="63" t="str">
        <f>IFERROR(__xludf.DUMMYFUNCTION("""COMPUTED_VALUE"""),"BENOIT")</f>
        <v>BENOIT</v>
      </c>
      <c r="E14" s="51" t="str">
        <f>IFERROR(__xludf.DUMMYFUNCTION("""COMPUTED_VALUE"""),"SH4")</f>
        <v>SH4</v>
      </c>
      <c r="F14" s="82">
        <f>IFERROR(__xludf.DUMMYFUNCTION("""COMPUTED_VALUE"""),6.0)</f>
        <v>6</v>
      </c>
      <c r="G14" s="52">
        <f>IFERROR(__xludf.DUMMYFUNCTION("""COMPUTED_VALUE"""),0.018715277871790833)</f>
        <v>0.01871527787</v>
      </c>
      <c r="H14" s="53">
        <f>IFERROR(__xludf.DUMMYFUNCTION("""COMPUTED_VALUE"""),0.0026736111457445555)</f>
        <v>0.002673611146</v>
      </c>
      <c r="I14" s="53">
        <f>IFERROR(__xludf.DUMMYFUNCTION("""COMPUTED_VALUE"""),0.008171296369360096)</f>
        <v>0.008171296369</v>
      </c>
      <c r="J14" s="53">
        <f>IFERROR(__xludf.DUMMYFUNCTION("""COMPUTED_VALUE"""),0.007291666109411147)</f>
        <v>0.007291666109</v>
      </c>
      <c r="K14" s="54">
        <f>IFERROR(__xludf.DUMMYFUNCTION("""COMPUTED_VALUE"""),5.78704247275034E-4)</f>
        <v>0.0005787042473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6"/>
      <c r="W14" s="56"/>
      <c r="X14" s="56"/>
      <c r="Y14" s="56"/>
      <c r="Z14" s="57"/>
      <c r="AA14" s="58"/>
      <c r="AB14" s="59"/>
    </row>
    <row r="15" ht="13.5" customHeight="1">
      <c r="A15" s="60">
        <f>IFERROR(__xludf.DUMMYFUNCTION("""COMPUTED_VALUE"""),14.0)</f>
        <v>14</v>
      </c>
      <c r="B15" s="61" t="str">
        <f>IFERROR(__xludf.DUMMYFUNCTION("""COMPUTED_VALUE"""),"211")</f>
        <v>211</v>
      </c>
      <c r="C15" s="62" t="str">
        <f>IFERROR(__xludf.DUMMYFUNCTION("""COMPUTED_VALUE"""),"PASQUIER")</f>
        <v>PASQUIER</v>
      </c>
      <c r="D15" s="63" t="str">
        <f>IFERROR(__xludf.DUMMYFUNCTION("""COMPUTED_VALUE"""),"FÉLIX")</f>
        <v>FÉLIX</v>
      </c>
      <c r="E15" s="51" t="str">
        <f>IFERROR(__xludf.DUMMYFUNCTION("""COMPUTED_VALUE"""),"SH2")</f>
        <v>SH2</v>
      </c>
      <c r="F15" s="82">
        <f>IFERROR(__xludf.DUMMYFUNCTION("""COMPUTED_VALUE"""),1.0)</f>
        <v>1</v>
      </c>
      <c r="G15" s="52">
        <f>IFERROR(__xludf.DUMMYFUNCTION("""COMPUTED_VALUE"""),0.018715278747514257)</f>
        <v>0.01871527875</v>
      </c>
      <c r="H15" s="53">
        <f>IFERROR(__xludf.DUMMYFUNCTION("""COMPUTED_VALUE"""),0.0036111111930372942)</f>
        <v>0.003611111193</v>
      </c>
      <c r="I15" s="53">
        <f>IFERROR(__xludf.DUMMYFUNCTION("""COMPUTED_VALUE"""),0.007569444558629553)</f>
        <v>0.007569444559</v>
      </c>
      <c r="J15" s="53">
        <f>IFERROR(__xludf.DUMMYFUNCTION("""COMPUTED_VALUE"""),0.00672453751531457)</f>
        <v>0.006724537515</v>
      </c>
      <c r="K15" s="54">
        <f>IFERROR(__xludf.DUMMYFUNCTION("""COMPUTED_VALUE"""),8.101854805328402E-4)</f>
        <v>0.0008101854805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6"/>
      <c r="W15" s="56"/>
      <c r="X15" s="56"/>
      <c r="Y15" s="56"/>
      <c r="Z15" s="57"/>
      <c r="AA15" s="58"/>
      <c r="AB15" s="59"/>
    </row>
    <row r="16" ht="13.5" customHeight="1">
      <c r="A16" s="60">
        <f>IFERROR(__xludf.DUMMYFUNCTION("""COMPUTED_VALUE"""),15.0)</f>
        <v>15</v>
      </c>
      <c r="B16" s="61" t="str">
        <f>IFERROR(__xludf.DUMMYFUNCTION("""COMPUTED_VALUE"""),"105")</f>
        <v>105</v>
      </c>
      <c r="C16" s="62" t="str">
        <f>IFERROR(__xludf.DUMMYFUNCTION("""COMPUTED_VALUE"""),"DE PORTU")</f>
        <v>DE PORTU</v>
      </c>
      <c r="D16" s="63" t="str">
        <f>IFERROR(__xludf.DUMMYFUNCTION("""COMPUTED_VALUE"""),"SIMON")</f>
        <v>SIMON</v>
      </c>
      <c r="E16" s="51" t="str">
        <f>IFERROR(__xludf.DUMMYFUNCTION("""COMPUTED_VALUE"""),"SH2")</f>
        <v>SH2</v>
      </c>
      <c r="F16" s="82">
        <f>IFERROR(__xludf.DUMMYFUNCTION("""COMPUTED_VALUE"""),2.0)</f>
        <v>2</v>
      </c>
      <c r="G16" s="52">
        <f>IFERROR(__xludf.DUMMYFUNCTION("""COMPUTED_VALUE"""),0.018877315069487588)</f>
        <v>0.01887731507</v>
      </c>
      <c r="H16" s="53">
        <f>IFERROR(__xludf.DUMMYFUNCTION("""COMPUTED_VALUE"""),0.003958333448762198)</f>
        <v>0.003958333449</v>
      </c>
      <c r="I16" s="53">
        <f>IFERROR(__xludf.DUMMYFUNCTION("""COMPUTED_VALUE"""),0.006956018533413025)</f>
        <v>0.006956018533</v>
      </c>
      <c r="J16" s="53">
        <f>IFERROR(__xludf.DUMMYFUNCTION("""COMPUTED_VALUE"""),0.007210647729012778)</f>
        <v>0.007210647729</v>
      </c>
      <c r="K16" s="54">
        <f>IFERROR(__xludf.DUMMYFUNCTION("""COMPUTED_VALUE"""),7.52315358299587E-4)</f>
        <v>0.0007523153583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6"/>
      <c r="W16" s="56"/>
      <c r="X16" s="56"/>
      <c r="Y16" s="56"/>
      <c r="Z16" s="57"/>
      <c r="AA16" s="58"/>
      <c r="AB16" s="59"/>
    </row>
    <row r="17" ht="13.5" customHeight="1">
      <c r="A17" s="60">
        <f>IFERROR(__xludf.DUMMYFUNCTION("""COMPUTED_VALUE"""),16.0)</f>
        <v>16</v>
      </c>
      <c r="B17" s="61" t="str">
        <f>IFERROR(__xludf.DUMMYFUNCTION("""COMPUTED_VALUE"""),"150")</f>
        <v>150</v>
      </c>
      <c r="C17" s="62" t="str">
        <f>IFERROR(__xludf.DUMMYFUNCTION("""COMPUTED_VALUE"""),"MORET")</f>
        <v>MORET</v>
      </c>
      <c r="D17" s="63" t="str">
        <f>IFERROR(__xludf.DUMMYFUNCTION("""COMPUTED_VALUE"""),"QUENTIN")</f>
        <v>QUENTIN</v>
      </c>
      <c r="E17" s="51" t="str">
        <f>IFERROR(__xludf.DUMMYFUNCTION("""COMPUTED_VALUE"""),"SH3")</f>
        <v>SH3</v>
      </c>
      <c r="F17" s="82">
        <f>IFERROR(__xludf.DUMMYFUNCTION("""COMPUTED_VALUE"""),8.0)</f>
        <v>8</v>
      </c>
      <c r="G17" s="52">
        <f>IFERROR(__xludf.DUMMYFUNCTION("""COMPUTED_VALUE"""),0.018888889464911632)</f>
        <v>0.01888888946</v>
      </c>
      <c r="H17" s="53">
        <f>IFERROR(__xludf.DUMMYFUNCTION("""COMPUTED_VALUE"""),0.003657407413547919)</f>
        <v>0.003657407414</v>
      </c>
      <c r="I17" s="53">
        <f>IFERROR(__xludf.DUMMYFUNCTION("""COMPUTED_VALUE"""),0.007060185210199816)</f>
        <v>0.00706018521</v>
      </c>
      <c r="J17" s="53">
        <f>IFERROR(__xludf.DUMMYFUNCTION("""COMPUTED_VALUE"""),0.007222222480068362)</f>
        <v>0.00722222248</v>
      </c>
      <c r="K17" s="54">
        <f>IFERROR(__xludf.DUMMYFUNCTION("""COMPUTED_VALUE"""),9.490743610955353E-4)</f>
        <v>0.0009490743611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6"/>
      <c r="W17" s="56"/>
      <c r="X17" s="56"/>
      <c r="Y17" s="56"/>
      <c r="Z17" s="57"/>
      <c r="AA17" s="58"/>
      <c r="AB17" s="59"/>
    </row>
    <row r="18" ht="13.5" customHeight="1">
      <c r="A18" s="60">
        <f>IFERROR(__xludf.DUMMYFUNCTION("""COMPUTED_VALUE"""),17.0)</f>
        <v>17</v>
      </c>
      <c r="B18" s="61" t="str">
        <f>IFERROR(__xludf.DUMMYFUNCTION("""COMPUTED_VALUE"""),"190")</f>
        <v>190</v>
      </c>
      <c r="C18" s="62" t="str">
        <f>IFERROR(__xludf.DUMMYFUNCTION("""COMPUTED_VALUE"""),"BOYER")</f>
        <v>BOYER</v>
      </c>
      <c r="D18" s="63" t="str">
        <f>IFERROR(__xludf.DUMMYFUNCTION("""COMPUTED_VALUE"""),"MATTHIEU")</f>
        <v>MATTHIEU</v>
      </c>
      <c r="E18" s="51" t="str">
        <f>IFERROR(__xludf.DUMMYFUNCTION("""COMPUTED_VALUE"""),"SH4")</f>
        <v>SH4</v>
      </c>
      <c r="F18" s="82">
        <f>IFERROR(__xludf.DUMMYFUNCTION("""COMPUTED_VALUE"""),7.0)</f>
        <v>7</v>
      </c>
      <c r="G18" s="52">
        <f>IFERROR(__xludf.DUMMYFUNCTION("""COMPUTED_VALUE"""),0.018935186111913964)</f>
        <v>0.01893518611</v>
      </c>
      <c r="H18" s="53">
        <f>IFERROR(__xludf.DUMMYFUNCTION("""COMPUTED_VALUE"""),0.0032870370431747438)</f>
        <v>0.003287037043</v>
      </c>
      <c r="I18" s="53">
        <f>IFERROR(__xludf.DUMMYFUNCTION("""COMPUTED_VALUE"""),0.007638888888965918)</f>
        <v>0.007638888889</v>
      </c>
      <c r="J18" s="53">
        <f>IFERROR(__xludf.DUMMYFUNCTION("""COMPUTED_VALUE"""),0.007384259138585569)</f>
        <v>0.007384259139</v>
      </c>
      <c r="K18" s="54">
        <f>IFERROR(__xludf.DUMMYFUNCTION("""COMPUTED_VALUE"""),6.250010411877329E-4)</f>
        <v>0.0006250010412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6"/>
      <c r="W18" s="56"/>
      <c r="X18" s="56"/>
      <c r="Y18" s="56"/>
      <c r="Z18" s="57"/>
      <c r="AA18" s="58"/>
      <c r="AB18" s="59"/>
    </row>
    <row r="19" ht="13.5" customHeight="1">
      <c r="A19" s="60">
        <f>IFERROR(__xludf.DUMMYFUNCTION("""COMPUTED_VALUE"""),18.0)</f>
        <v>18</v>
      </c>
      <c r="B19" s="61" t="str">
        <f>IFERROR(__xludf.DUMMYFUNCTION("""COMPUTED_VALUE"""),"195")</f>
        <v>195</v>
      </c>
      <c r="C19" s="62" t="str">
        <f>IFERROR(__xludf.DUMMYFUNCTION("""COMPUTED_VALUE"""),"DELOUX")</f>
        <v>DELOUX</v>
      </c>
      <c r="D19" s="63" t="str">
        <f>IFERROR(__xludf.DUMMYFUNCTION("""COMPUTED_VALUE"""),"ROBIN")</f>
        <v>ROBIN</v>
      </c>
      <c r="E19" s="51" t="str">
        <f>IFERROR(__xludf.DUMMYFUNCTION("""COMPUTED_VALUE"""),"SH4")</f>
        <v>SH4</v>
      </c>
      <c r="F19" s="82">
        <f>IFERROR(__xludf.DUMMYFUNCTION("""COMPUTED_VALUE"""),8.0)</f>
        <v>8</v>
      </c>
      <c r="G19" s="52">
        <f>IFERROR(__xludf.DUMMYFUNCTION("""COMPUTED_VALUE"""),0.019050926761839414)</f>
        <v>0.01905092676</v>
      </c>
      <c r="H19" s="53">
        <f>IFERROR(__xludf.DUMMYFUNCTION("""COMPUTED_VALUE"""),0.0036458333832737836)</f>
        <v>0.003645833383</v>
      </c>
      <c r="I19" s="53">
        <f>IFERROR(__xludf.DUMMYFUNCTION("""COMPUTED_VALUE"""),0.007164351874991509)</f>
        <v>0.007164351875</v>
      </c>
      <c r="J19" s="53">
        <f>IFERROR(__xludf.DUMMYFUNCTION("""COMPUTED_VALUE"""),0.007361111442708072)</f>
        <v>0.007361111443</v>
      </c>
      <c r="K19" s="54">
        <f>IFERROR(__xludf.DUMMYFUNCTION("""COMPUTED_VALUE"""),8.796300608660493E-4)</f>
        <v>0.0008796300609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6"/>
      <c r="W19" s="56"/>
      <c r="X19" s="56"/>
      <c r="Y19" s="56"/>
      <c r="Z19" s="57"/>
      <c r="AA19" s="58"/>
      <c r="AB19" s="59"/>
    </row>
    <row r="20" ht="13.5" customHeight="1">
      <c r="A20" s="60">
        <f>IFERROR(__xludf.DUMMYFUNCTION("""COMPUTED_VALUE"""),19.0)</f>
        <v>19</v>
      </c>
      <c r="B20" s="61" t="str">
        <f>IFERROR(__xludf.DUMMYFUNCTION("""COMPUTED_VALUE"""),"104")</f>
        <v>104</v>
      </c>
      <c r="C20" s="62" t="str">
        <f>IFERROR(__xludf.DUMMYFUNCTION("""COMPUTED_VALUE"""),"LARNICOL")</f>
        <v>LARNICOL</v>
      </c>
      <c r="D20" s="63" t="str">
        <f>IFERROR(__xludf.DUMMYFUNCTION("""COMPUTED_VALUE"""),"OLIVIER")</f>
        <v>OLIVIER</v>
      </c>
      <c r="E20" s="51" t="str">
        <f>IFERROR(__xludf.DUMMYFUNCTION("""COMPUTED_VALUE"""),"SH4")</f>
        <v>SH4</v>
      </c>
      <c r="F20" s="82">
        <f>IFERROR(__xludf.DUMMYFUNCTION("""COMPUTED_VALUE"""),9.0)</f>
        <v>9</v>
      </c>
      <c r="G20" s="52">
        <f>IFERROR(__xludf.DUMMYFUNCTION("""COMPUTED_VALUE"""),0.019155092933555832)</f>
        <v>0.01915509293</v>
      </c>
      <c r="H20" s="53">
        <f>IFERROR(__xludf.DUMMYFUNCTION("""COMPUTED_VALUE"""),0.003611111187584643)</f>
        <v>0.003611111188</v>
      </c>
      <c r="I20" s="53">
        <f>IFERROR(__xludf.DUMMYFUNCTION("""COMPUTED_VALUE"""),0.006944444474821563)</f>
        <v>0.006944444475</v>
      </c>
      <c r="J20" s="53">
        <f>IFERROR(__xludf.DUMMYFUNCTION("""COMPUTED_VALUE"""),0.007951388155715064)</f>
        <v>0.007951388156</v>
      </c>
      <c r="K20" s="54">
        <f>IFERROR(__xludf.DUMMYFUNCTION("""COMPUTED_VALUE"""),6.481491154345614E-4)</f>
        <v>0.0006481491154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6"/>
      <c r="W20" s="56"/>
      <c r="X20" s="56"/>
      <c r="Y20" s="56"/>
      <c r="Z20" s="57"/>
      <c r="AA20" s="58"/>
      <c r="AB20" s="59"/>
    </row>
    <row r="21" ht="13.5" customHeight="1">
      <c r="A21" s="60">
        <f>IFERROR(__xludf.DUMMYFUNCTION("""COMPUTED_VALUE"""),20.0)</f>
        <v>20</v>
      </c>
      <c r="B21" s="61" t="str">
        <f>IFERROR(__xludf.DUMMYFUNCTION("""COMPUTED_VALUE"""),"154")</f>
        <v>154</v>
      </c>
      <c r="C21" s="62" t="str">
        <f>IFERROR(__xludf.DUMMYFUNCTION("""COMPUTED_VALUE"""),"NOÉ")</f>
        <v>NOÉ</v>
      </c>
      <c r="D21" s="63" t="str">
        <f>IFERROR(__xludf.DUMMYFUNCTION("""COMPUTED_VALUE"""),"LILIAN")</f>
        <v>LILIAN</v>
      </c>
      <c r="E21" s="51" t="str">
        <f>IFERROR(__xludf.DUMMYFUNCTION("""COMPUTED_VALUE"""),"SH2")</f>
        <v>SH2</v>
      </c>
      <c r="F21" s="82">
        <f>IFERROR(__xludf.DUMMYFUNCTION("""COMPUTED_VALUE"""),3.0)</f>
        <v>3</v>
      </c>
      <c r="G21" s="52">
        <f>IFERROR(__xludf.DUMMYFUNCTION("""COMPUTED_VALUE"""),0.019224537472947)</f>
        <v>0.01922453747</v>
      </c>
      <c r="H21" s="53">
        <f>IFERROR(__xludf.DUMMYFUNCTION("""COMPUTED_VALUE"""),0.0036805556572243295)</f>
        <v>0.003680555657</v>
      </c>
      <c r="I21" s="53">
        <f>IFERROR(__xludf.DUMMYFUNCTION("""COMPUTED_VALUE"""),0.007002314868091556)</f>
        <v>0.007002314868</v>
      </c>
      <c r="J21" s="53">
        <f>IFERROR(__xludf.DUMMYFUNCTION("""COMPUTED_VALUE"""),0.007893518103149278)</f>
        <v>0.007893518103</v>
      </c>
      <c r="K21" s="54">
        <f>IFERROR(__xludf.DUMMYFUNCTION("""COMPUTED_VALUE"""),6.481488444818376E-4)</f>
        <v>0.0006481488445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6"/>
      <c r="W21" s="56"/>
      <c r="X21" s="56"/>
      <c r="Y21" s="56"/>
      <c r="Z21" s="57"/>
      <c r="AA21" s="58"/>
      <c r="AB21" s="59"/>
    </row>
    <row r="22" ht="13.5" customHeight="1">
      <c r="A22" s="60">
        <f>IFERROR(__xludf.DUMMYFUNCTION("""COMPUTED_VALUE"""),21.0)</f>
        <v>21</v>
      </c>
      <c r="B22" s="61" t="str">
        <f>IFERROR(__xludf.DUMMYFUNCTION("""COMPUTED_VALUE"""),"146")</f>
        <v>146</v>
      </c>
      <c r="C22" s="62" t="str">
        <f>IFERROR(__xludf.DUMMYFUNCTION("""COMPUTED_VALUE"""),"SAMATEY")</f>
        <v>SAMATEY</v>
      </c>
      <c r="D22" s="63" t="str">
        <f>IFERROR(__xludf.DUMMYFUNCTION("""COMPUTED_VALUE"""),"YOHAN")</f>
        <v>YOHAN</v>
      </c>
      <c r="E22" s="51" t="str">
        <f>IFERROR(__xludf.DUMMYFUNCTION("""COMPUTED_VALUE"""),"SH3")</f>
        <v>SH3</v>
      </c>
      <c r="F22" s="82">
        <f>IFERROR(__xludf.DUMMYFUNCTION("""COMPUTED_VALUE"""),9.0)</f>
        <v>9</v>
      </c>
      <c r="G22" s="52">
        <f>IFERROR(__xludf.DUMMYFUNCTION("""COMPUTED_VALUE"""),0.019270833896510582)</f>
        <v>0.0192708339</v>
      </c>
      <c r="H22" s="53">
        <f>IFERROR(__xludf.DUMMYFUNCTION("""COMPUTED_VALUE"""),0.004710648219947143)</f>
        <v>0.00471064822</v>
      </c>
      <c r="I22" s="53">
        <f>IFERROR(__xludf.DUMMYFUNCTION("""COMPUTED_VALUE"""),0.006944444473484106)</f>
        <v>0.006944444473</v>
      </c>
      <c r="J22" s="53">
        <f>IFERROR(__xludf.DUMMYFUNCTION("""COMPUTED_VALUE"""),0.0070833330760552305)</f>
        <v>0.007083333076</v>
      </c>
      <c r="K22" s="54">
        <f>IFERROR(__xludf.DUMMYFUNCTION("""COMPUTED_VALUE"""),5.32408127024102E-4)</f>
        <v>0.000532408127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6"/>
      <c r="W22" s="56"/>
      <c r="X22" s="56"/>
      <c r="Y22" s="56"/>
      <c r="Z22" s="57"/>
      <c r="AA22" s="58"/>
      <c r="AB22" s="59"/>
    </row>
    <row r="23" ht="13.5" customHeight="1">
      <c r="A23" s="60">
        <f>IFERROR(__xludf.DUMMYFUNCTION("""COMPUTED_VALUE"""),22.0)</f>
        <v>22</v>
      </c>
      <c r="B23" s="61" t="str">
        <f>IFERROR(__xludf.DUMMYFUNCTION("""COMPUTED_VALUE"""),"92")</f>
        <v>92</v>
      </c>
      <c r="C23" s="62" t="str">
        <f>IFERROR(__xludf.DUMMYFUNCTION("""COMPUTED_VALUE"""),"PLAFORET")</f>
        <v>PLAFORET</v>
      </c>
      <c r="D23" s="63" t="str">
        <f>IFERROR(__xludf.DUMMYFUNCTION("""COMPUTED_VALUE"""),"VINCENT")</f>
        <v>VINCENT</v>
      </c>
      <c r="E23" s="51" t="str">
        <f>IFERROR(__xludf.DUMMYFUNCTION("""COMPUTED_VALUE"""),"SH3")</f>
        <v>SH3</v>
      </c>
      <c r="F23" s="82">
        <f>IFERROR(__xludf.DUMMYFUNCTION("""COMPUTED_VALUE"""),10.0)</f>
        <v>10</v>
      </c>
      <c r="G23" s="52">
        <f>IFERROR(__xludf.DUMMYFUNCTION("""COMPUTED_VALUE"""),0.019282407782098103)</f>
        <v>0.01928240778</v>
      </c>
      <c r="H23" s="53">
        <f>IFERROR(__xludf.DUMMYFUNCTION("""COMPUTED_VALUE"""),0.003831018582500281)</f>
        <v>0.003831018583</v>
      </c>
      <c r="I23" s="53">
        <f>IFERROR(__xludf.DUMMYFUNCTION("""COMPUTED_VALUE"""),0.006747685213994656)</f>
        <v>0.006747685214</v>
      </c>
      <c r="J23" s="53">
        <f>IFERROR(__xludf.DUMMYFUNCTION("""COMPUTED_VALUE"""),0.008032407631624328)</f>
        <v>0.008032407632</v>
      </c>
      <c r="K23" s="54">
        <f>IFERROR(__xludf.DUMMYFUNCTION("""COMPUTED_VALUE"""),6.712963539788385E-4)</f>
        <v>0.000671296354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6"/>
      <c r="W23" s="56"/>
      <c r="X23" s="56"/>
      <c r="Y23" s="56"/>
      <c r="Z23" s="57"/>
      <c r="AA23" s="58"/>
      <c r="AB23" s="59"/>
    </row>
    <row r="24" ht="13.5" customHeight="1">
      <c r="A24" s="60">
        <f>IFERROR(__xludf.DUMMYFUNCTION("""COMPUTED_VALUE"""),23.0)</f>
        <v>23</v>
      </c>
      <c r="B24" s="61" t="str">
        <f>IFERROR(__xludf.DUMMYFUNCTION("""COMPUTED_VALUE"""),"191")</f>
        <v>191</v>
      </c>
      <c r="C24" s="62" t="str">
        <f>IFERROR(__xludf.DUMMYFUNCTION("""COMPUTED_VALUE"""),"MERLEY")</f>
        <v>MERLEY</v>
      </c>
      <c r="D24" s="63" t="str">
        <f>IFERROR(__xludf.DUMMYFUNCTION("""COMPUTED_VALUE"""),"MAXENCE")</f>
        <v>MAXENCE</v>
      </c>
      <c r="E24" s="51" t="str">
        <f>IFERROR(__xludf.DUMMYFUNCTION("""COMPUTED_VALUE"""),"SH4")</f>
        <v>SH4</v>
      </c>
      <c r="F24" s="82">
        <f>IFERROR(__xludf.DUMMYFUNCTION("""COMPUTED_VALUE"""),10.0)</f>
        <v>10</v>
      </c>
      <c r="G24" s="52">
        <f>IFERROR(__xludf.DUMMYFUNCTION("""COMPUTED_VALUE"""),0.01930555638848809)</f>
        <v>0.01930555639</v>
      </c>
      <c r="H24" s="53">
        <f>IFERROR(__xludf.DUMMYFUNCTION("""COMPUTED_VALUE"""),0.003182870387524252)</f>
        <v>0.003182870388</v>
      </c>
      <c r="I24" s="53">
        <f>IFERROR(__xludf.DUMMYFUNCTION("""COMPUTED_VALUE"""),0.006701388932743377)</f>
        <v>0.006701388933</v>
      </c>
      <c r="J24" s="53">
        <f>IFERROR(__xludf.DUMMYFUNCTION("""COMPUTED_VALUE"""),0.008819445264456022)</f>
        <v>0.008819445264</v>
      </c>
      <c r="K24" s="54">
        <f>IFERROR(__xludf.DUMMYFUNCTION("""COMPUTED_VALUE"""),6.018518037644396E-4)</f>
        <v>0.0006018518038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6"/>
      <c r="W24" s="56"/>
      <c r="X24" s="56"/>
      <c r="Y24" s="56"/>
      <c r="Z24" s="57"/>
      <c r="AA24" s="58"/>
      <c r="AB24" s="59"/>
    </row>
    <row r="25" ht="13.5" customHeight="1">
      <c r="A25" s="60">
        <f>IFERROR(__xludf.DUMMYFUNCTION("""COMPUTED_VALUE"""),24.0)</f>
        <v>24</v>
      </c>
      <c r="B25" s="61" t="str">
        <f>IFERROR(__xludf.DUMMYFUNCTION("""COMPUTED_VALUE"""),"135")</f>
        <v>135</v>
      </c>
      <c r="C25" s="62" t="str">
        <f>IFERROR(__xludf.DUMMYFUNCTION("""COMPUTED_VALUE"""),"SERNA")</f>
        <v>SERNA</v>
      </c>
      <c r="D25" s="63" t="str">
        <f>IFERROR(__xludf.DUMMYFUNCTION("""COMPUTED_VALUE"""),"SIMON")</f>
        <v>SIMON</v>
      </c>
      <c r="E25" s="51" t="str">
        <f>IFERROR(__xludf.DUMMYFUNCTION("""COMPUTED_VALUE"""),"SH4")</f>
        <v>SH4</v>
      </c>
      <c r="F25" s="82">
        <f>IFERROR(__xludf.DUMMYFUNCTION("""COMPUTED_VALUE"""),11.0)</f>
        <v>11</v>
      </c>
      <c r="G25" s="52">
        <f>IFERROR(__xludf.DUMMYFUNCTION("""COMPUTED_VALUE"""),0.01943287102220292)</f>
        <v>0.01943287102</v>
      </c>
      <c r="H25" s="53">
        <f>IFERROR(__xludf.DUMMYFUNCTION("""COMPUTED_VALUE"""),0.0035300926516430306)</f>
        <v>0.003530092652</v>
      </c>
      <c r="I25" s="53">
        <f>IFERROR(__xludf.DUMMYFUNCTION("""COMPUTED_VALUE"""),0.007210648172214345)</f>
        <v>0.007210648172</v>
      </c>
      <c r="J25" s="53">
        <f>IFERROR(__xludf.DUMMYFUNCTION("""COMPUTED_VALUE"""),0.008032407831215225)</f>
        <v>0.008032407831</v>
      </c>
      <c r="K25" s="54">
        <f>IFERROR(__xludf.DUMMYFUNCTION("""COMPUTED_VALUE"""),6.597223671303198E-4)</f>
        <v>0.0006597223671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6"/>
      <c r="W25" s="56"/>
      <c r="X25" s="56"/>
      <c r="Y25" s="56"/>
      <c r="Z25" s="57"/>
      <c r="AA25" s="58"/>
      <c r="AB25" s="59"/>
    </row>
    <row r="26" ht="13.5" customHeight="1">
      <c r="A26" s="60">
        <f>IFERROR(__xludf.DUMMYFUNCTION("""COMPUTED_VALUE"""),25.0)</f>
        <v>25</v>
      </c>
      <c r="B26" s="61" t="str">
        <f>IFERROR(__xludf.DUMMYFUNCTION("""COMPUTED_VALUE"""),"75")</f>
        <v>75</v>
      </c>
      <c r="C26" s="62" t="str">
        <f>IFERROR(__xludf.DUMMYFUNCTION("""COMPUTED_VALUE"""),"BELLEGO")</f>
        <v>BELLEGO</v>
      </c>
      <c r="D26" s="63" t="str">
        <f>IFERROR(__xludf.DUMMYFUNCTION("""COMPUTED_VALUE"""),"CORENTIN")</f>
        <v>CORENTIN</v>
      </c>
      <c r="E26" s="51" t="str">
        <f>IFERROR(__xludf.DUMMYFUNCTION("""COMPUTED_VALUE"""),"SH3")</f>
        <v>SH3</v>
      </c>
      <c r="F26" s="82">
        <f>IFERROR(__xludf.DUMMYFUNCTION("""COMPUTED_VALUE"""),11.0)</f>
        <v>11</v>
      </c>
      <c r="G26" s="52">
        <f>IFERROR(__xludf.DUMMYFUNCTION("""COMPUTED_VALUE"""),0.019444444462097348)</f>
        <v>0.01944444446</v>
      </c>
      <c r="H26" s="53">
        <f>IFERROR(__xludf.DUMMYFUNCTION("""COMPUTED_VALUE"""),0.004259259266399106)</f>
        <v>0.004259259266</v>
      </c>
      <c r="I26" s="53">
        <f>IFERROR(__xludf.DUMMYFUNCTION("""COMPUTED_VALUE"""),0.006990740828635707)</f>
        <v>0.006990740829</v>
      </c>
      <c r="J26" s="53">
        <f>IFERROR(__xludf.DUMMYFUNCTION("""COMPUTED_VALUE"""),0.0070370365179516885)</f>
        <v>0.007037036518</v>
      </c>
      <c r="K26" s="54">
        <f>IFERROR(__xludf.DUMMYFUNCTION("""COMPUTED_VALUE"""),0.001157407849110846)</f>
        <v>0.001157407849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6"/>
      <c r="W26" s="56"/>
      <c r="X26" s="56"/>
      <c r="Y26" s="56"/>
      <c r="Z26" s="57"/>
      <c r="AA26" s="58"/>
      <c r="AB26" s="59"/>
    </row>
    <row r="27" ht="13.5" customHeight="1">
      <c r="A27" s="60">
        <f>IFERROR(__xludf.DUMMYFUNCTION("""COMPUTED_VALUE"""),26.0)</f>
        <v>26</v>
      </c>
      <c r="B27" s="61" t="str">
        <f>IFERROR(__xludf.DUMMYFUNCTION("""COMPUTED_VALUE"""),"188")</f>
        <v>188</v>
      </c>
      <c r="C27" s="62" t="str">
        <f>IFERROR(__xludf.DUMMYFUNCTION("""COMPUTED_VALUE"""),"ARMAROLI")</f>
        <v>ARMAROLI</v>
      </c>
      <c r="D27" s="63" t="str">
        <f>IFERROR(__xludf.DUMMYFUNCTION("""COMPUTED_VALUE"""),"ENZO")</f>
        <v>ENZO</v>
      </c>
      <c r="E27" s="51" t="str">
        <f>IFERROR(__xludf.DUMMYFUNCTION("""COMPUTED_VALUE"""),"SH3")</f>
        <v>SH3</v>
      </c>
      <c r="F27" s="82">
        <f>IFERROR(__xludf.DUMMYFUNCTION("""COMPUTED_VALUE"""),12.0)</f>
        <v>12</v>
      </c>
      <c r="G27" s="52">
        <f>IFERROR(__xludf.DUMMYFUNCTION("""COMPUTED_VALUE"""),0.01969907514029776)</f>
        <v>0.01969907514</v>
      </c>
      <c r="H27" s="53">
        <f>IFERROR(__xludf.DUMMYFUNCTION("""COMPUTED_VALUE"""),0.003472222256705909)</f>
        <v>0.003472222257</v>
      </c>
      <c r="I27" s="53">
        <f>IFERROR(__xludf.DUMMYFUNCTION("""COMPUTED_VALUE"""),0.006967592672347594)</f>
        <v>0.006967592672</v>
      </c>
      <c r="J27" s="53">
        <f>IFERROR(__xludf.DUMMYFUNCTION("""COMPUTED_VALUE"""),0.007905093075825046)</f>
        <v>0.007905093076</v>
      </c>
      <c r="K27" s="54">
        <f>IFERROR(__xludf.DUMMYFUNCTION("""COMPUTED_VALUE"""),0.00135416713541921)</f>
        <v>0.001354167135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6"/>
      <c r="W27" s="56"/>
      <c r="X27" s="56"/>
      <c r="Y27" s="56"/>
      <c r="Z27" s="57"/>
      <c r="AA27" s="58"/>
      <c r="AB27" s="59"/>
    </row>
    <row r="28" ht="13.5" customHeight="1">
      <c r="A28" s="60">
        <f>IFERROR(__xludf.DUMMYFUNCTION("""COMPUTED_VALUE"""),27.0)</f>
        <v>27</v>
      </c>
      <c r="B28" s="61" t="str">
        <f>IFERROR(__xludf.DUMMYFUNCTION("""COMPUTED_VALUE"""),"214")</f>
        <v>214</v>
      </c>
      <c r="C28" s="62" t="str">
        <f>IFERROR(__xludf.DUMMYFUNCTION("""COMPUTED_VALUE"""),"BOURCIER")</f>
        <v>BOURCIER</v>
      </c>
      <c r="D28" s="63" t="str">
        <f>IFERROR(__xludf.DUMMYFUNCTION("""COMPUTED_VALUE"""),"FLORIAN")</f>
        <v>FLORIAN</v>
      </c>
      <c r="E28" s="51" t="str">
        <f>IFERROR(__xludf.DUMMYFUNCTION("""COMPUTED_VALUE"""),"SH4")</f>
        <v>SH4</v>
      </c>
      <c r="F28" s="82">
        <f>IFERROR(__xludf.DUMMYFUNCTION("""COMPUTED_VALUE"""),12.0)</f>
        <v>12</v>
      </c>
      <c r="G28" s="52">
        <f>IFERROR(__xludf.DUMMYFUNCTION("""COMPUTED_VALUE"""),0.020081018662153925)</f>
        <v>0.02008101866</v>
      </c>
      <c r="H28" s="53">
        <f>IFERROR(__xludf.DUMMYFUNCTION("""COMPUTED_VALUE"""),0.0032986112013834957)</f>
        <v>0.003298611201</v>
      </c>
      <c r="I28" s="53">
        <f>IFERROR(__xludf.DUMMYFUNCTION("""COMPUTED_VALUE"""),0.007268518630952805)</f>
        <v>0.007268518631</v>
      </c>
      <c r="J28" s="53">
        <f>IFERROR(__xludf.DUMMYFUNCTION("""COMPUTED_VALUE"""),0.008622684336997533)</f>
        <v>0.008622684337</v>
      </c>
      <c r="K28" s="54">
        <f>IFERROR(__xludf.DUMMYFUNCTION("""COMPUTED_VALUE"""),8.912044928200916E-4)</f>
        <v>0.0008912044928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6"/>
      <c r="W28" s="56"/>
      <c r="X28" s="56"/>
      <c r="Y28" s="56"/>
      <c r="Z28" s="57"/>
      <c r="AA28" s="58"/>
      <c r="AB28" s="59"/>
    </row>
    <row r="29" ht="13.5" customHeight="1">
      <c r="A29" s="60">
        <f>IFERROR(__xludf.DUMMYFUNCTION("""COMPUTED_VALUE"""),28.0)</f>
        <v>28</v>
      </c>
      <c r="B29" s="61" t="str">
        <f>IFERROR(__xludf.DUMMYFUNCTION("""COMPUTED_VALUE"""),"189")</f>
        <v>189</v>
      </c>
      <c r="C29" s="62" t="str">
        <f>IFERROR(__xludf.DUMMYFUNCTION("""COMPUTED_VALUE"""),"GONZALEZ DE CABO")</f>
        <v>GONZALEZ DE CABO</v>
      </c>
      <c r="D29" s="63" t="str">
        <f>IFERROR(__xludf.DUMMYFUNCTION("""COMPUTED_VALUE"""),"DAVID")</f>
        <v>DAVID</v>
      </c>
      <c r="E29" s="51" t="str">
        <f>IFERROR(__xludf.DUMMYFUNCTION("""COMPUTED_VALUE"""),"SH4")</f>
        <v>SH4</v>
      </c>
      <c r="F29" s="82">
        <f>IFERROR(__xludf.DUMMYFUNCTION("""COMPUTED_VALUE"""),13.0)</f>
        <v>13</v>
      </c>
      <c r="G29" s="52">
        <f>IFERROR(__xludf.DUMMYFUNCTION("""COMPUTED_VALUE"""),0.020335649260114913)</f>
        <v>0.02033564926</v>
      </c>
      <c r="H29" s="53">
        <f>IFERROR(__xludf.DUMMYFUNCTION("""COMPUTED_VALUE"""),0.0037847222570010393)</f>
        <v>0.003784722257</v>
      </c>
      <c r="I29" s="53">
        <f>IFERROR(__xludf.DUMMYFUNCTION("""COMPUTED_VALUE"""),0.007129629678946536)</f>
        <v>0.007129629679</v>
      </c>
      <c r="J29" s="53">
        <f>IFERROR(__xludf.DUMMYFUNCTION("""COMPUTED_VALUE"""),0.008217593585364542)</f>
        <v>0.008217593585</v>
      </c>
      <c r="K29" s="54">
        <f>IFERROR(__xludf.DUMMYFUNCTION("""COMPUTED_VALUE"""),0.0012037037388027954)</f>
        <v>0.001203703739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6"/>
      <c r="W29" s="56"/>
      <c r="X29" s="56"/>
      <c r="Y29" s="56"/>
      <c r="Z29" s="57"/>
      <c r="AA29" s="58"/>
      <c r="AB29" s="59"/>
    </row>
    <row r="30" ht="13.5" customHeight="1">
      <c r="A30" s="60">
        <f>IFERROR(__xludf.DUMMYFUNCTION("""COMPUTED_VALUE"""),29.0)</f>
        <v>29</v>
      </c>
      <c r="B30" s="61" t="str">
        <f>IFERROR(__xludf.DUMMYFUNCTION("""COMPUTED_VALUE"""),"210")</f>
        <v>210</v>
      </c>
      <c r="C30" s="62" t="str">
        <f>IFERROR(__xludf.DUMMYFUNCTION("""COMPUTED_VALUE"""),"MOREIRA")</f>
        <v>MOREIRA</v>
      </c>
      <c r="D30" s="63" t="str">
        <f>IFERROR(__xludf.DUMMYFUNCTION("""COMPUTED_VALUE"""),"THOMAS")</f>
        <v>THOMAS</v>
      </c>
      <c r="E30" s="51" t="str">
        <f>IFERROR(__xludf.DUMMYFUNCTION("""COMPUTED_VALUE"""),"SH2")</f>
        <v>SH2</v>
      </c>
      <c r="F30" s="82">
        <f>IFERROR(__xludf.DUMMYFUNCTION("""COMPUTED_VALUE"""),4.0)</f>
        <v>4</v>
      </c>
      <c r="G30" s="52">
        <f>IFERROR(__xludf.DUMMYFUNCTION("""COMPUTED_VALUE"""),0.020567130471619035)</f>
        <v>0.02056713047</v>
      </c>
      <c r="H30" s="53">
        <f>IFERROR(__xludf.DUMMYFUNCTION("""COMPUTED_VALUE"""),0.0029050926206600756)</f>
        <v>0.002905092621</v>
      </c>
      <c r="I30" s="53">
        <f>IFERROR(__xludf.DUMMYFUNCTION("""COMPUTED_VALUE"""),0.009618055596290871)</f>
        <v>0.009618055596</v>
      </c>
      <c r="J30" s="53">
        <f>IFERROR(__xludf.DUMMYFUNCTION("""COMPUTED_VALUE"""),0.007303241106348042)</f>
        <v>0.007303241106</v>
      </c>
      <c r="K30" s="54">
        <f>IFERROR(__xludf.DUMMYFUNCTION("""COMPUTED_VALUE"""),7.407411483200464E-4)</f>
        <v>0.0007407411483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6"/>
      <c r="W30" s="56"/>
      <c r="X30" s="56"/>
      <c r="Y30" s="56"/>
      <c r="Z30" s="57"/>
      <c r="AA30" s="58"/>
      <c r="AB30" s="59"/>
    </row>
    <row r="31" ht="13.5" customHeight="1">
      <c r="A31" s="60">
        <f>IFERROR(__xludf.DUMMYFUNCTION("""COMPUTED_VALUE"""),30.0)</f>
        <v>30</v>
      </c>
      <c r="B31" s="61" t="str">
        <f>IFERROR(__xludf.DUMMYFUNCTION("""COMPUTED_VALUE"""),"194")</f>
        <v>194</v>
      </c>
      <c r="C31" s="62" t="str">
        <f>IFERROR(__xludf.DUMMYFUNCTION("""COMPUTED_VALUE"""),"TAFSI")</f>
        <v>TAFSI</v>
      </c>
      <c r="D31" s="63" t="str">
        <f>IFERROR(__xludf.DUMMYFUNCTION("""COMPUTED_VALUE"""),"OMAR")</f>
        <v>OMAR</v>
      </c>
      <c r="E31" s="51" t="str">
        <f>IFERROR(__xludf.DUMMYFUNCTION("""COMPUTED_VALUE"""),"SH2")</f>
        <v>SH2</v>
      </c>
      <c r="F31" s="82">
        <f>IFERROR(__xludf.DUMMYFUNCTION("""COMPUTED_VALUE"""),5.0)</f>
        <v>5</v>
      </c>
      <c r="G31" s="52">
        <f>IFERROR(__xludf.DUMMYFUNCTION("""COMPUTED_VALUE"""),0.02059027823261312)</f>
        <v>0.02059027823</v>
      </c>
      <c r="H31" s="53">
        <f>IFERROR(__xludf.DUMMYFUNCTION("""COMPUTED_VALUE"""),0.003993055578602643)</f>
        <v>0.003993055579</v>
      </c>
      <c r="I31" s="53">
        <f>IFERROR(__xludf.DUMMYFUNCTION("""COMPUTED_VALUE"""),0.00692129635294278)</f>
        <v>0.006921296353</v>
      </c>
      <c r="J31" s="53">
        <f>IFERROR(__xludf.DUMMYFUNCTION("""COMPUTED_VALUE"""),0.008634259108538943)</f>
        <v>0.008634259109</v>
      </c>
      <c r="K31" s="54">
        <f>IFERROR(__xludf.DUMMYFUNCTION("""COMPUTED_VALUE"""),0.001041667192528753)</f>
        <v>0.001041667193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6"/>
      <c r="W31" s="56"/>
      <c r="X31" s="56"/>
      <c r="Y31" s="56"/>
      <c r="Z31" s="57"/>
      <c r="AA31" s="58"/>
      <c r="AB31" s="59"/>
    </row>
    <row r="32" ht="13.5" customHeight="1">
      <c r="A32" s="60">
        <f>IFERROR(__xludf.DUMMYFUNCTION("""COMPUTED_VALUE"""),31.0)</f>
        <v>31</v>
      </c>
      <c r="B32" s="61" t="str">
        <f>IFERROR(__xludf.DUMMYFUNCTION("""COMPUTED_VALUE"""),"193")</f>
        <v>193</v>
      </c>
      <c r="C32" s="62" t="str">
        <f>IFERROR(__xludf.DUMMYFUNCTION("""COMPUTED_VALUE"""),"ROUSSEAU")</f>
        <v>ROUSSEAU</v>
      </c>
      <c r="D32" s="63" t="str">
        <f>IFERROR(__xludf.DUMMYFUNCTION("""COMPUTED_VALUE"""),"THOMAS")</f>
        <v>THOMAS</v>
      </c>
      <c r="E32" s="51" t="str">
        <f>IFERROR(__xludf.DUMMYFUNCTION("""COMPUTED_VALUE"""),"SH3")</f>
        <v>SH3</v>
      </c>
      <c r="F32" s="82">
        <f>IFERROR(__xludf.DUMMYFUNCTION("""COMPUTED_VALUE"""),13.0)</f>
        <v>13</v>
      </c>
      <c r="G32" s="52">
        <f>IFERROR(__xludf.DUMMYFUNCTION("""COMPUTED_VALUE"""),0.02064814878576802)</f>
        <v>0.02064814879</v>
      </c>
      <c r="H32" s="53">
        <f>IFERROR(__xludf.DUMMYFUNCTION("""COMPUTED_VALUE"""),0.004236111193935369)</f>
        <v>0.004236111194</v>
      </c>
      <c r="I32" s="53">
        <f>IFERROR(__xludf.DUMMYFUNCTION("""COMPUTED_VALUE"""),0.007488425966152335)</f>
        <v>0.007488425966</v>
      </c>
      <c r="J32" s="53">
        <f>IFERROR(__xludf.DUMMYFUNCTION("""COMPUTED_VALUE"""),0.008252315404655377)</f>
        <v>0.008252315405</v>
      </c>
      <c r="K32" s="54">
        <f>IFERROR(__xludf.DUMMYFUNCTION("""COMPUTED_VALUE"""),6.712962210249406E-4)</f>
        <v>0.000671296221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6"/>
      <c r="W32" s="56"/>
      <c r="X32" s="56"/>
      <c r="Y32" s="56"/>
      <c r="Z32" s="57"/>
      <c r="AA32" s="58"/>
      <c r="AB32" s="59"/>
    </row>
    <row r="33" ht="13.5" customHeight="1">
      <c r="A33" s="60">
        <f>IFERROR(__xludf.DUMMYFUNCTION("""COMPUTED_VALUE"""),32.0)</f>
        <v>32</v>
      </c>
      <c r="B33" s="61" t="str">
        <f>IFERROR(__xludf.DUMMYFUNCTION("""COMPUTED_VALUE"""),"197")</f>
        <v>197</v>
      </c>
      <c r="C33" s="62" t="str">
        <f>IFERROR(__xludf.DUMMYFUNCTION("""COMPUTED_VALUE"""),"LI")</f>
        <v>LI</v>
      </c>
      <c r="D33" s="63" t="str">
        <f>IFERROR(__xludf.DUMMYFUNCTION("""COMPUTED_VALUE"""),"MICHAEL")</f>
        <v>MICHAEL</v>
      </c>
      <c r="E33" s="51" t="str">
        <f>IFERROR(__xludf.DUMMYFUNCTION("""COMPUTED_VALUE"""),"SH2")</f>
        <v>SH2</v>
      </c>
      <c r="F33" s="82">
        <f>IFERROR(__xludf.DUMMYFUNCTION("""COMPUTED_VALUE"""),6.0)</f>
        <v>6</v>
      </c>
      <c r="G33" s="52">
        <f>IFERROR(__xludf.DUMMYFUNCTION("""COMPUTED_VALUE"""),0.020659722524237208)</f>
        <v>0.02065972252</v>
      </c>
      <c r="H33" s="53">
        <f>IFERROR(__xludf.DUMMYFUNCTION("""COMPUTED_VALUE"""),0.00317129632679981)</f>
        <v>0.003171296327</v>
      </c>
      <c r="I33" s="53">
        <f>IFERROR(__xludf.DUMMYFUNCTION("""COMPUTED_VALUE"""),0.007592592680941413)</f>
        <v>0.007592592681</v>
      </c>
      <c r="J33" s="53">
        <f>IFERROR(__xludf.DUMMYFUNCTION("""COMPUTED_VALUE"""),0.008113425477594745)</f>
        <v>0.008113425478</v>
      </c>
      <c r="K33" s="54">
        <f>IFERROR(__xludf.DUMMYFUNCTION("""COMPUTED_VALUE"""),0.001782408038901239)</f>
        <v>0.001782408039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  <c r="W33" s="56"/>
      <c r="X33" s="56"/>
      <c r="Y33" s="56"/>
      <c r="Z33" s="57"/>
      <c r="AA33" s="58"/>
      <c r="AB33" s="59"/>
    </row>
    <row r="34" ht="13.5" customHeight="1">
      <c r="A34" s="60">
        <f>IFERROR(__xludf.DUMMYFUNCTION("""COMPUTED_VALUE"""),33.0)</f>
        <v>33</v>
      </c>
      <c r="B34" s="61" t="str">
        <f>IFERROR(__xludf.DUMMYFUNCTION("""COMPUTED_VALUE"""),"73")</f>
        <v>73</v>
      </c>
      <c r="C34" s="62" t="str">
        <f>IFERROR(__xludf.DUMMYFUNCTION("""COMPUTED_VALUE"""),"MEYRUEY")</f>
        <v>MEYRUEY</v>
      </c>
      <c r="D34" s="63" t="str">
        <f>IFERROR(__xludf.DUMMYFUNCTION("""COMPUTED_VALUE"""),"ETIENNE")</f>
        <v>ETIENNE</v>
      </c>
      <c r="E34" s="51" t="str">
        <f>IFERROR(__xludf.DUMMYFUNCTION("""COMPUTED_VALUE"""),"SH3")</f>
        <v>SH3</v>
      </c>
      <c r="F34" s="82">
        <f>IFERROR(__xludf.DUMMYFUNCTION("""COMPUTED_VALUE"""),14.0)</f>
        <v>14</v>
      </c>
      <c r="G34" s="52">
        <f>IFERROR(__xludf.DUMMYFUNCTION("""COMPUTED_VALUE"""),0.02067129654107898)</f>
        <v>0.02067129654</v>
      </c>
      <c r="H34" s="53">
        <f>IFERROR(__xludf.DUMMYFUNCTION("""COMPUTED_VALUE"""),0.0045833333607618485)</f>
        <v>0.004583333361</v>
      </c>
      <c r="I34" s="53">
        <f>IFERROR(__xludf.DUMMYFUNCTION("""COMPUTED_VALUE"""),0.007245370453516609)</f>
        <v>0.007245370454</v>
      </c>
      <c r="J34" s="53">
        <f>IFERROR(__xludf.DUMMYFUNCTION("""COMPUTED_VALUE"""),0.00793981409213126)</f>
        <v>0.007939814092</v>
      </c>
      <c r="K34" s="54">
        <f>IFERROR(__xludf.DUMMYFUNCTION("""COMPUTED_VALUE"""),9.027786346692606E-4)</f>
        <v>0.0009027786347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56"/>
      <c r="X34" s="56"/>
      <c r="Y34" s="56"/>
      <c r="Z34" s="57"/>
      <c r="AA34" s="58"/>
      <c r="AB34" s="59"/>
    </row>
    <row r="35" ht="13.5" customHeight="1">
      <c r="A35" s="60">
        <f>IFERROR(__xludf.DUMMYFUNCTION("""COMPUTED_VALUE"""),34.0)</f>
        <v>34</v>
      </c>
      <c r="B35" s="61" t="str">
        <f>IFERROR(__xludf.DUMMYFUNCTION("""COMPUTED_VALUE"""),"207")</f>
        <v>207</v>
      </c>
      <c r="C35" s="62" t="str">
        <f>IFERROR(__xludf.DUMMYFUNCTION("""COMPUTED_VALUE"""),"LE HUEROU")</f>
        <v>LE HUEROU</v>
      </c>
      <c r="D35" s="63" t="str">
        <f>IFERROR(__xludf.DUMMYFUNCTION("""COMPUTED_VALUE"""),"ALEXIS")</f>
        <v>ALEXIS</v>
      </c>
      <c r="E35" s="51" t="str">
        <f>IFERROR(__xludf.DUMMYFUNCTION("""COMPUTED_VALUE"""),"SH3")</f>
        <v>SH3</v>
      </c>
      <c r="F35" s="82">
        <f>IFERROR(__xludf.DUMMYFUNCTION("""COMPUTED_VALUE"""),15.0)</f>
        <v>15</v>
      </c>
      <c r="G35" s="52">
        <f>IFERROR(__xludf.DUMMYFUNCTION("""COMPUTED_VALUE"""),0.020902778557697465)</f>
        <v>0.02090277856</v>
      </c>
      <c r="H35" s="53">
        <f>IFERROR(__xludf.DUMMYFUNCTION("""COMPUTED_VALUE"""),0.004571759330886624)</f>
        <v>0.004571759331</v>
      </c>
      <c r="I35" s="53">
        <f>IFERROR(__xludf.DUMMYFUNCTION("""COMPUTED_VALUE"""),0.007916666717491902)</f>
        <v>0.007916666717</v>
      </c>
      <c r="J35" s="53">
        <f>IFERROR(__xludf.DUMMYFUNCTION("""COMPUTED_VALUE"""),0.007291667274617587)</f>
        <v>0.007291667275</v>
      </c>
      <c r="K35" s="54">
        <f>IFERROR(__xludf.DUMMYFUNCTION("""COMPUTED_VALUE"""),0.0011226852347013512)</f>
        <v>0.001122685235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6"/>
      <c r="W35" s="56"/>
      <c r="X35" s="56"/>
      <c r="Y35" s="56"/>
      <c r="Z35" s="57"/>
      <c r="AA35" s="58"/>
      <c r="AB35" s="59"/>
    </row>
    <row r="36" ht="13.5" customHeight="1">
      <c r="A36" s="60">
        <f>IFERROR(__xludf.DUMMYFUNCTION("""COMPUTED_VALUE"""),35.0)</f>
        <v>35</v>
      </c>
      <c r="B36" s="61" t="str">
        <f>IFERROR(__xludf.DUMMYFUNCTION("""COMPUTED_VALUE"""),"223")</f>
        <v>223</v>
      </c>
      <c r="C36" s="62" t="str">
        <f>IFERROR(__xludf.DUMMYFUNCTION("""COMPUTED_VALUE"""),"LANDRY")</f>
        <v>LANDRY</v>
      </c>
      <c r="D36" s="63" t="str">
        <f>IFERROR(__xludf.DUMMYFUNCTION("""COMPUTED_VALUE"""),"GUILLAUME")</f>
        <v>GUILLAUME</v>
      </c>
      <c r="E36" s="51" t="str">
        <f>IFERROR(__xludf.DUMMYFUNCTION("""COMPUTED_VALUE"""),"SH4")</f>
        <v>SH4</v>
      </c>
      <c r="F36" s="82">
        <f>IFERROR(__xludf.DUMMYFUNCTION("""COMPUTED_VALUE"""),14.0)</f>
        <v>14</v>
      </c>
      <c r="G36" s="52">
        <f>IFERROR(__xludf.DUMMYFUNCTION("""COMPUTED_VALUE"""),0.02105324152417471)</f>
        <v>0.02105324152</v>
      </c>
      <c r="H36" s="53">
        <f>IFERROR(__xludf.DUMMYFUNCTION("""COMPUTED_VALUE"""),0.002824074099659732)</f>
        <v>0.0028240741</v>
      </c>
      <c r="I36" s="53">
        <f>IFERROR(__xludf.DUMMYFUNCTION("""COMPUTED_VALUE"""),0.008564814854066797)</f>
        <v>0.008564814854</v>
      </c>
      <c r="J36" s="53">
        <f>IFERROR(__xludf.DUMMYFUNCTION("""COMPUTED_VALUE"""),0.008263888873122745)</f>
        <v>0.008263888873</v>
      </c>
      <c r="K36" s="54">
        <f>IFERROR(__xludf.DUMMYFUNCTION("""COMPUTED_VALUE"""),0.0014004636973254372)</f>
        <v>0.001400463697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6"/>
      <c r="W36" s="56"/>
      <c r="X36" s="56"/>
      <c r="Y36" s="56"/>
      <c r="Z36" s="57"/>
      <c r="AA36" s="58"/>
      <c r="AB36" s="59"/>
    </row>
    <row r="37" ht="13.5" customHeight="1">
      <c r="A37" s="60">
        <f>IFERROR(__xludf.DUMMYFUNCTION("""COMPUTED_VALUE"""),36.0)</f>
        <v>36</v>
      </c>
      <c r="B37" s="61" t="str">
        <f>IFERROR(__xludf.DUMMYFUNCTION("""COMPUTED_VALUE"""),"149")</f>
        <v>149</v>
      </c>
      <c r="C37" s="62" t="str">
        <f>IFERROR(__xludf.DUMMYFUNCTION("""COMPUTED_VALUE"""),"FAIVRE")</f>
        <v>FAIVRE</v>
      </c>
      <c r="D37" s="63" t="str">
        <f>IFERROR(__xludf.DUMMYFUNCTION("""COMPUTED_VALUE"""),"LIONEL")</f>
        <v>LIONEL</v>
      </c>
      <c r="E37" s="51" t="str">
        <f>IFERROR(__xludf.DUMMYFUNCTION("""COMPUTED_VALUE"""),"SH4")</f>
        <v>SH4</v>
      </c>
      <c r="F37" s="82">
        <f>IFERROR(__xludf.DUMMYFUNCTION("""COMPUTED_VALUE"""),15.0)</f>
        <v>15</v>
      </c>
      <c r="G37" s="52">
        <f>IFERROR(__xludf.DUMMYFUNCTION("""COMPUTED_VALUE"""),0.021087963742525112)</f>
        <v>0.02108796374</v>
      </c>
      <c r="H37" s="53">
        <f>IFERROR(__xludf.DUMMYFUNCTION("""COMPUTED_VALUE"""),0.003819444455330476)</f>
        <v>0.003819444455</v>
      </c>
      <c r="I37" s="53">
        <f>IFERROR(__xludf.DUMMYFUNCTION("""COMPUTED_VALUE"""),0.007905092680849256)</f>
        <v>0.007905092681</v>
      </c>
      <c r="J37" s="53">
        <f>IFERROR(__xludf.DUMMYFUNCTION("""COMPUTED_VALUE"""),0.008495370135621965)</f>
        <v>0.008495370136</v>
      </c>
      <c r="K37" s="54">
        <f>IFERROR(__xludf.DUMMYFUNCTION("""COMPUTED_VALUE"""),8.680564707234145E-4)</f>
        <v>0.0008680564707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6"/>
      <c r="W37" s="56"/>
      <c r="X37" s="56"/>
      <c r="Y37" s="56"/>
      <c r="Z37" s="57"/>
      <c r="AA37" s="58"/>
      <c r="AB37" s="59"/>
    </row>
    <row r="38" ht="13.5" customHeight="1">
      <c r="A38" s="60">
        <f>IFERROR(__xludf.DUMMYFUNCTION("""COMPUTED_VALUE"""),37.0)</f>
        <v>37</v>
      </c>
      <c r="B38" s="61" t="str">
        <f>IFERROR(__xludf.DUMMYFUNCTION("""COMPUTED_VALUE"""),"134")</f>
        <v>134</v>
      </c>
      <c r="C38" s="62" t="str">
        <f>IFERROR(__xludf.DUMMYFUNCTION("""COMPUTED_VALUE"""),"POUTOUT")</f>
        <v>POUTOUT</v>
      </c>
      <c r="D38" s="63" t="str">
        <f>IFERROR(__xludf.DUMMYFUNCTION("""COMPUTED_VALUE"""),"ROMAIN")</f>
        <v>ROMAIN</v>
      </c>
      <c r="E38" s="51" t="str">
        <f>IFERROR(__xludf.DUMMYFUNCTION("""COMPUTED_VALUE"""),"SH3")</f>
        <v>SH3</v>
      </c>
      <c r="F38" s="82">
        <f>IFERROR(__xludf.DUMMYFUNCTION("""COMPUTED_VALUE"""),16.0)</f>
        <v>16</v>
      </c>
      <c r="G38" s="52">
        <f>IFERROR(__xludf.DUMMYFUNCTION("""COMPUTED_VALUE"""),0.021099538069560244)</f>
        <v>0.02109953807</v>
      </c>
      <c r="H38" s="53">
        <f>IFERROR(__xludf.DUMMYFUNCTION("""COMPUTED_VALUE"""),0.00414351858282849)</f>
        <v>0.004143518583</v>
      </c>
      <c r="I38" s="53">
        <f>IFERROR(__xludf.DUMMYFUNCTION("""COMPUTED_VALUE"""),0.007372685187764225)</f>
        <v>0.007372685188</v>
      </c>
      <c r="J38" s="53">
        <f>IFERROR(__xludf.DUMMYFUNCTION("""COMPUTED_VALUE"""),0.008599538049162286)</f>
        <v>0.008599538049</v>
      </c>
      <c r="K38" s="54">
        <f>IFERROR(__xludf.DUMMYFUNCTION("""COMPUTED_VALUE"""),9.837962498052437E-4)</f>
        <v>0.0009837962498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6"/>
      <c r="W38" s="56"/>
      <c r="X38" s="56"/>
      <c r="Y38" s="56"/>
      <c r="Z38" s="57"/>
      <c r="AA38" s="58"/>
      <c r="AB38" s="59"/>
    </row>
    <row r="39" ht="13.5" customHeight="1">
      <c r="A39" s="60">
        <f>IFERROR(__xludf.DUMMYFUNCTION("""COMPUTED_VALUE"""),38.0)</f>
        <v>38</v>
      </c>
      <c r="B39" s="61" t="str">
        <f>IFERROR(__xludf.DUMMYFUNCTION("""COMPUTED_VALUE"""),"101")</f>
        <v>101</v>
      </c>
      <c r="C39" s="62" t="str">
        <f>IFERROR(__xludf.DUMMYFUNCTION("""COMPUTED_VALUE"""),"BOUKHIBA")</f>
        <v>BOUKHIBA</v>
      </c>
      <c r="D39" s="63" t="str">
        <f>IFERROR(__xludf.DUMMYFUNCTION("""COMPUTED_VALUE"""),"YANNIS")</f>
        <v>YANNIS</v>
      </c>
      <c r="E39" s="51" t="str">
        <f>IFERROR(__xludf.DUMMYFUNCTION("""COMPUTED_VALUE"""),"SH3")</f>
        <v>SH3</v>
      </c>
      <c r="F39" s="82">
        <f>IFERROR(__xludf.DUMMYFUNCTION("""COMPUTED_VALUE"""),17.0)</f>
        <v>17</v>
      </c>
      <c r="G39" s="52">
        <f>IFERROR(__xludf.DUMMYFUNCTION("""COMPUTED_VALUE"""),0.021168981906123596)</f>
        <v>0.02116898191</v>
      </c>
      <c r="H39" s="53">
        <f>IFERROR(__xludf.DUMMYFUNCTION("""COMPUTED_VALUE"""),0.0034722223024677462)</f>
        <v>0.003472222302</v>
      </c>
      <c r="I39" s="53">
        <f>IFERROR(__xludf.DUMMYFUNCTION("""COMPUTED_VALUE"""),0.007534722229990941)</f>
        <v>0.00753472223</v>
      </c>
      <c r="J39" s="53">
        <f>IFERROR(__xludf.DUMMYFUNCTION("""COMPUTED_VALUE"""),0.00826388829342638)</f>
        <v>0.008263888293</v>
      </c>
      <c r="K39" s="54">
        <f>IFERROR(__xludf.DUMMYFUNCTION("""COMPUTED_VALUE"""),0.0018981490802385298)</f>
        <v>0.00189814908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6"/>
      <c r="W39" s="56"/>
      <c r="X39" s="56"/>
      <c r="Y39" s="56"/>
      <c r="Z39" s="57"/>
      <c r="AA39" s="58"/>
      <c r="AB39" s="59"/>
    </row>
    <row r="40" ht="13.5" customHeight="1">
      <c r="A40" s="60">
        <f>IFERROR(__xludf.DUMMYFUNCTION("""COMPUTED_VALUE"""),39.0)</f>
        <v>39</v>
      </c>
      <c r="B40" s="61" t="str">
        <f>IFERROR(__xludf.DUMMYFUNCTION("""COMPUTED_VALUE"""),"91")</f>
        <v>91</v>
      </c>
      <c r="C40" s="62" t="str">
        <f>IFERROR(__xludf.DUMMYFUNCTION("""COMPUTED_VALUE"""),"CHATENET")</f>
        <v>CHATENET</v>
      </c>
      <c r="D40" s="63" t="str">
        <f>IFERROR(__xludf.DUMMYFUNCTION("""COMPUTED_VALUE"""),"BENJAMIN")</f>
        <v>BENJAMIN</v>
      </c>
      <c r="E40" s="51" t="str">
        <f>IFERROR(__xludf.DUMMYFUNCTION("""COMPUTED_VALUE"""),"SH4")</f>
        <v>SH4</v>
      </c>
      <c r="F40" s="82">
        <f>IFERROR(__xludf.DUMMYFUNCTION("""COMPUTED_VALUE"""),16.0)</f>
        <v>16</v>
      </c>
      <c r="G40" s="52">
        <f>IFERROR(__xludf.DUMMYFUNCTION("""COMPUTED_VALUE"""),0.02156250026841064)</f>
        <v>0.02156250027</v>
      </c>
      <c r="H40" s="53">
        <f>IFERROR(__xludf.DUMMYFUNCTION("""COMPUTED_VALUE"""),0.0044328704301627294)</f>
        <v>0.00443287043</v>
      </c>
      <c r="I40" s="53">
        <f>IFERROR(__xludf.DUMMYFUNCTION("""COMPUTED_VALUE"""),0.006851851904946369)</f>
        <v>0.006851851905</v>
      </c>
      <c r="J40" s="53">
        <f>IFERROR(__xludf.DUMMYFUNCTION("""COMPUTED_VALUE"""),0.009618054896622033)</f>
        <v>0.009618054897</v>
      </c>
      <c r="K40" s="54">
        <f>IFERROR(__xludf.DUMMYFUNCTION("""COMPUTED_VALUE"""),6.597230366795085E-4)</f>
        <v>0.0006597230367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6"/>
      <c r="W40" s="56"/>
      <c r="X40" s="56"/>
      <c r="Y40" s="56"/>
      <c r="Z40" s="57"/>
      <c r="AA40" s="58"/>
      <c r="AB40" s="59"/>
    </row>
    <row r="41" ht="13.5" customHeight="1">
      <c r="A41" s="60">
        <f>IFERROR(__xludf.DUMMYFUNCTION("""COMPUTED_VALUE"""),40.0)</f>
        <v>40</v>
      </c>
      <c r="B41" s="61" t="str">
        <f>IFERROR(__xludf.DUMMYFUNCTION("""COMPUTED_VALUE"""),"161")</f>
        <v>161</v>
      </c>
      <c r="C41" s="62" t="str">
        <f>IFERROR(__xludf.DUMMYFUNCTION("""COMPUTED_VALUE"""),"ALORY")</f>
        <v>ALORY</v>
      </c>
      <c r="D41" s="63" t="str">
        <f>IFERROR(__xludf.DUMMYFUNCTION("""COMPUTED_VALUE"""),"JONATHAN")</f>
        <v>JONATHAN</v>
      </c>
      <c r="E41" s="51" t="str">
        <f>IFERROR(__xludf.DUMMYFUNCTION("""COMPUTED_VALUE"""),"SH4")</f>
        <v>SH4</v>
      </c>
      <c r="F41" s="82">
        <f>IFERROR(__xludf.DUMMYFUNCTION("""COMPUTED_VALUE"""),17.0)</f>
        <v>17</v>
      </c>
      <c r="G41" s="52">
        <f>IFERROR(__xludf.DUMMYFUNCTION("""COMPUTED_VALUE"""),0.02156250086148316)</f>
        <v>0.02156250086</v>
      </c>
      <c r="H41" s="53">
        <f>IFERROR(__xludf.DUMMYFUNCTION("""COMPUTED_VALUE"""),0.004212963013397811)</f>
        <v>0.004212963013</v>
      </c>
      <c r="I41" s="53">
        <f>IFERROR(__xludf.DUMMYFUNCTION("""COMPUTED_VALUE"""),0.00783564815519252)</f>
        <v>0.007835648155</v>
      </c>
      <c r="J41" s="53">
        <f>IFERROR(__xludf.DUMMYFUNCTION("""COMPUTED_VALUE"""),0.00834490822934924)</f>
        <v>0.008344908229</v>
      </c>
      <c r="K41" s="54">
        <f>IFERROR(__xludf.DUMMYFUNCTION("""COMPUTED_VALUE"""),0.0011689814635435902)</f>
        <v>0.001168981464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6"/>
      <c r="W41" s="56"/>
      <c r="X41" s="56"/>
      <c r="Y41" s="56"/>
      <c r="Z41" s="57"/>
      <c r="AA41" s="58"/>
      <c r="AB41" s="59"/>
    </row>
    <row r="42" ht="13.5" customHeight="1">
      <c r="A42" s="60">
        <f>IFERROR(__xludf.DUMMYFUNCTION("""COMPUTED_VALUE"""),41.0)</f>
        <v>41</v>
      </c>
      <c r="B42" s="61" t="str">
        <f>IFERROR(__xludf.DUMMYFUNCTION("""COMPUTED_VALUE"""),"159")</f>
        <v>159</v>
      </c>
      <c r="C42" s="62" t="str">
        <f>IFERROR(__xludf.DUMMYFUNCTION("""COMPUTED_VALUE"""),"PRADIER")</f>
        <v>PRADIER</v>
      </c>
      <c r="D42" s="63" t="str">
        <f>IFERROR(__xludf.DUMMYFUNCTION("""COMPUTED_VALUE"""),"VINCENT")</f>
        <v>VINCENT</v>
      </c>
      <c r="E42" s="51" t="str">
        <f>IFERROR(__xludf.DUMMYFUNCTION("""COMPUTED_VALUE"""),"SH4")</f>
        <v>SH4</v>
      </c>
      <c r="F42" s="82">
        <f>IFERROR(__xludf.DUMMYFUNCTION("""COMPUTED_VALUE"""),18.0)</f>
        <v>18</v>
      </c>
      <c r="G42" s="52">
        <f>IFERROR(__xludf.DUMMYFUNCTION("""COMPUTED_VALUE"""),0.022013888972676005)</f>
        <v>0.02201388897</v>
      </c>
      <c r="H42" s="53">
        <f>IFERROR(__xludf.DUMMYFUNCTION("""COMPUTED_VALUE"""),0.0037384260062550026)</f>
        <v>0.003738426006</v>
      </c>
      <c r="I42" s="53">
        <f>IFERROR(__xludf.DUMMYFUNCTION("""COMPUTED_VALUE"""),0.007685185186063136)</f>
        <v>0.007685185186</v>
      </c>
      <c r="J42" s="53">
        <f>IFERROR(__xludf.DUMMYFUNCTION("""COMPUTED_VALUE"""),0.009571759097722864)</f>
        <v>0.009571759098</v>
      </c>
      <c r="K42" s="54">
        <f>IFERROR(__xludf.DUMMYFUNCTION("""COMPUTED_VALUE"""),0.0010185186826350023)</f>
        <v>0.001018518683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6"/>
      <c r="W42" s="56"/>
      <c r="X42" s="56"/>
      <c r="Y42" s="56"/>
      <c r="Z42" s="57"/>
      <c r="AA42" s="58"/>
      <c r="AB42" s="59"/>
    </row>
    <row r="43" ht="13.5" customHeight="1">
      <c r="A43" s="60">
        <f>IFERROR(__xludf.DUMMYFUNCTION("""COMPUTED_VALUE"""),42.0)</f>
        <v>42</v>
      </c>
      <c r="B43" s="61" t="str">
        <f>IFERROR(__xludf.DUMMYFUNCTION("""COMPUTED_VALUE"""),"78")</f>
        <v>78</v>
      </c>
      <c r="C43" s="62" t="str">
        <f>IFERROR(__xludf.DUMMYFUNCTION("""COMPUTED_VALUE"""),"MENOU")</f>
        <v>MENOU</v>
      </c>
      <c r="D43" s="63" t="str">
        <f>IFERROR(__xludf.DUMMYFUNCTION("""COMPUTED_VALUE"""),"MATTHIEU")</f>
        <v>MATTHIEU</v>
      </c>
      <c r="E43" s="51" t="str">
        <f>IFERROR(__xludf.DUMMYFUNCTION("""COMPUTED_VALUE"""),"SH3")</f>
        <v>SH3</v>
      </c>
      <c r="F43" s="82">
        <f>IFERROR(__xludf.DUMMYFUNCTION("""COMPUTED_VALUE"""),18.0)</f>
        <v>18</v>
      </c>
      <c r="G43" s="52">
        <f>IFERROR(__xludf.DUMMYFUNCTION("""COMPUTED_VALUE"""),0.022314814849950168)</f>
        <v>0.02231481485</v>
      </c>
      <c r="H43" s="53">
        <f>IFERROR(__xludf.DUMMYFUNCTION("""COMPUTED_VALUE"""),0.00398148155428003)</f>
        <v>0.003981481554</v>
      </c>
      <c r="I43" s="53">
        <f>IFERROR(__xludf.DUMMYFUNCTION("""COMPUTED_VALUE"""),0.007870370422446335)</f>
        <v>0.007870370422</v>
      </c>
      <c r="J43" s="53">
        <f>IFERROR(__xludf.DUMMYFUNCTION("""COMPUTED_VALUE"""),0.009386573334957193)</f>
        <v>0.009386573335</v>
      </c>
      <c r="K43" s="54">
        <f>IFERROR(__xludf.DUMMYFUNCTION("""COMPUTED_VALUE"""),0.0010763895382666106)</f>
        <v>0.001076389538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6"/>
      <c r="W43" s="56"/>
      <c r="X43" s="56"/>
      <c r="Y43" s="56"/>
      <c r="Z43" s="57"/>
      <c r="AA43" s="58"/>
      <c r="AB43" s="59"/>
    </row>
    <row r="44" ht="13.5" customHeight="1">
      <c r="A44" s="60">
        <f>IFERROR(__xludf.DUMMYFUNCTION("""COMPUTED_VALUE"""),43.0)</f>
        <v>43</v>
      </c>
      <c r="B44" s="61" t="str">
        <f>IFERROR(__xludf.DUMMYFUNCTION("""COMPUTED_VALUE"""),"208")</f>
        <v>208</v>
      </c>
      <c r="C44" s="62" t="str">
        <f>IFERROR(__xludf.DUMMYFUNCTION("""COMPUTED_VALUE"""),"MAMES")</f>
        <v>MAMES</v>
      </c>
      <c r="D44" s="63" t="str">
        <f>IFERROR(__xludf.DUMMYFUNCTION("""COMPUTED_VALUE"""),"PIERRE")</f>
        <v>PIERRE</v>
      </c>
      <c r="E44" s="51" t="str">
        <f>IFERROR(__xludf.DUMMYFUNCTION("""COMPUTED_VALUE"""),"SH2")</f>
        <v>SH2</v>
      </c>
      <c r="F44" s="82">
        <f>IFERROR(__xludf.DUMMYFUNCTION("""COMPUTED_VALUE"""),7.0)</f>
        <v>7</v>
      </c>
      <c r="G44" s="52">
        <f>IFERROR(__xludf.DUMMYFUNCTION("""COMPUTED_VALUE"""),0.022372686296853912)</f>
        <v>0.0223726863</v>
      </c>
      <c r="H44" s="53">
        <f>IFERROR(__xludf.DUMMYFUNCTION("""COMPUTED_VALUE"""),0.0037731482529607223)</f>
        <v>0.003773148253</v>
      </c>
      <c r="I44" s="53">
        <f>IFERROR(__xludf.DUMMYFUNCTION("""COMPUTED_VALUE"""),0.00805555565238191)</f>
        <v>0.008055555652</v>
      </c>
      <c r="J44" s="53">
        <f>IFERROR(__xludf.DUMMYFUNCTION("""COMPUTED_VALUE"""),0.010046296321094645)</f>
        <v>0.01004629632</v>
      </c>
      <c r="K44" s="54">
        <f>IFERROR(__xludf.DUMMYFUNCTION("""COMPUTED_VALUE"""),4.97686070416635E-4)</f>
        <v>0.0004976860704</v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6"/>
      <c r="W44" s="56"/>
      <c r="X44" s="56"/>
      <c r="Y44" s="56"/>
      <c r="Z44" s="57"/>
      <c r="AA44" s="58"/>
      <c r="AB44" s="59"/>
    </row>
    <row r="45" ht="13.5" customHeight="1">
      <c r="A45" s="60">
        <f>IFERROR(__xludf.DUMMYFUNCTION("""COMPUTED_VALUE"""),44.0)</f>
        <v>44</v>
      </c>
      <c r="B45" s="61" t="str">
        <f>IFERROR(__xludf.DUMMYFUNCTION("""COMPUTED_VALUE"""),"181")</f>
        <v>181</v>
      </c>
      <c r="C45" s="62" t="str">
        <f>IFERROR(__xludf.DUMMYFUNCTION("""COMPUTED_VALUE"""),"RABIER")</f>
        <v>RABIER</v>
      </c>
      <c r="D45" s="63" t="str">
        <f>IFERROR(__xludf.DUMMYFUNCTION("""COMPUTED_VALUE"""),"GAËTAN")</f>
        <v>GAËTAN</v>
      </c>
      <c r="E45" s="51" t="str">
        <f>IFERROR(__xludf.DUMMYFUNCTION("""COMPUTED_VALUE"""),"SH4")</f>
        <v>SH4</v>
      </c>
      <c r="F45" s="82">
        <f>IFERROR(__xludf.DUMMYFUNCTION("""COMPUTED_VALUE"""),19.0)</f>
        <v>19</v>
      </c>
      <c r="G45" s="52">
        <f>IFERROR(__xludf.DUMMYFUNCTION("""COMPUTED_VALUE"""),0.02270833415039679)</f>
        <v>0.02270833415</v>
      </c>
      <c r="H45" s="53">
        <f>IFERROR(__xludf.DUMMYFUNCTION("""COMPUTED_VALUE"""),0.005277777863910716)</f>
        <v>0.005277777864</v>
      </c>
      <c r="I45" s="53">
        <f>IFERROR(__xludf.DUMMYFUNCTION("""COMPUTED_VALUE"""),0.008414351888816732)</f>
        <v>0.008414351889</v>
      </c>
      <c r="J45" s="53">
        <f>IFERROR(__xludf.DUMMYFUNCTION("""COMPUTED_VALUE"""),0.00793981509538069)</f>
        <v>0.007939815095</v>
      </c>
      <c r="K45" s="54">
        <f>IFERROR(__xludf.DUMMYFUNCTION("""COMPUTED_VALUE"""),0.0010763893022886495)</f>
        <v>0.001076389302</v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6"/>
      <c r="W45" s="56"/>
      <c r="X45" s="56"/>
      <c r="Y45" s="56"/>
      <c r="Z45" s="57"/>
      <c r="AA45" s="58"/>
      <c r="AB45" s="59"/>
    </row>
    <row r="46" ht="13.5" customHeight="1">
      <c r="A46" s="60">
        <f>IFERROR(__xludf.DUMMYFUNCTION("""COMPUTED_VALUE"""),45.0)</f>
        <v>45</v>
      </c>
      <c r="B46" s="61" t="str">
        <f>IFERROR(__xludf.DUMMYFUNCTION("""COMPUTED_VALUE"""),"206")</f>
        <v>206</v>
      </c>
      <c r="C46" s="62" t="str">
        <f>IFERROR(__xludf.DUMMYFUNCTION("""COMPUTED_VALUE"""),"GALLET")</f>
        <v>GALLET</v>
      </c>
      <c r="D46" s="63" t="str">
        <f>IFERROR(__xludf.DUMMYFUNCTION("""COMPUTED_VALUE"""),"FLORIAN")</f>
        <v>FLORIAN</v>
      </c>
      <c r="E46" s="51" t="str">
        <f>IFERROR(__xludf.DUMMYFUNCTION("""COMPUTED_VALUE"""),"SH4")</f>
        <v>SH4</v>
      </c>
      <c r="F46" s="82">
        <f>IFERROR(__xludf.DUMMYFUNCTION("""COMPUTED_VALUE"""),20.0)</f>
        <v>20</v>
      </c>
      <c r="G46" s="52">
        <f>IFERROR(__xludf.DUMMYFUNCTION("""COMPUTED_VALUE"""),0.02276620397728212)</f>
        <v>0.02276620398</v>
      </c>
      <c r="H46" s="53">
        <f>IFERROR(__xludf.DUMMYFUNCTION("""COMPUTED_VALUE"""),0.0036921297432811477)</f>
        <v>0.003692129743</v>
      </c>
      <c r="I46" s="53">
        <f>IFERROR(__xludf.DUMMYFUNCTION("""COMPUTED_VALUE"""),0.007708333395716756)</f>
        <v>0.007708333396</v>
      </c>
      <c r="J46" s="53">
        <f>IFERROR(__xludf.DUMMYFUNCTION("""COMPUTED_VALUE"""),0.010196759450828222)</f>
        <v>0.01019675945</v>
      </c>
      <c r="K46" s="54">
        <f>IFERROR(__xludf.DUMMYFUNCTION("""COMPUTED_VALUE"""),0.0011689813874559934)</f>
        <v>0.001168981387</v>
      </c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6"/>
      <c r="W46" s="56"/>
      <c r="X46" s="56"/>
      <c r="Y46" s="56"/>
      <c r="Z46" s="57"/>
      <c r="AA46" s="58"/>
      <c r="AB46" s="59"/>
    </row>
    <row r="47" ht="13.5" customHeight="1">
      <c r="A47" s="60">
        <f>IFERROR(__xludf.DUMMYFUNCTION("""COMPUTED_VALUE"""),46.0)</f>
        <v>46</v>
      </c>
      <c r="B47" s="61" t="str">
        <f>IFERROR(__xludf.DUMMYFUNCTION("""COMPUTED_VALUE"""),"139")</f>
        <v>139</v>
      </c>
      <c r="C47" s="62" t="str">
        <f>IFERROR(__xludf.DUMMYFUNCTION("""COMPUTED_VALUE"""),"GUTIERREZ")</f>
        <v>GUTIERREZ</v>
      </c>
      <c r="D47" s="63" t="str">
        <f>IFERROR(__xludf.DUMMYFUNCTION("""COMPUTED_VALUE"""),"JUAN PABLO")</f>
        <v>JUAN PABLO</v>
      </c>
      <c r="E47" s="51" t="str">
        <f>IFERROR(__xludf.DUMMYFUNCTION("""COMPUTED_VALUE"""),"SH2")</f>
        <v>SH2</v>
      </c>
      <c r="F47" s="82">
        <f>IFERROR(__xludf.DUMMYFUNCTION("""COMPUTED_VALUE"""),8.0)</f>
        <v>8</v>
      </c>
      <c r="G47" s="52">
        <f>IFERROR(__xludf.DUMMYFUNCTION("""COMPUTED_VALUE"""),0.02283564914218848)</f>
        <v>0.02283564914</v>
      </c>
      <c r="H47" s="53">
        <f>IFERROR(__xludf.DUMMYFUNCTION("""COMPUTED_VALUE"""),0.0043171296791527924)</f>
        <v>0.004317129679</v>
      </c>
      <c r="I47" s="53">
        <f>IFERROR(__xludf.DUMMYFUNCTION("""COMPUTED_VALUE"""),0.008657407417030073)</f>
        <v>0.008657407417</v>
      </c>
      <c r="J47" s="53">
        <f>IFERROR(__xludf.DUMMYFUNCTION("""COMPUTED_VALUE"""),0.008692130406379714)</f>
        <v>0.008692130406</v>
      </c>
      <c r="K47" s="54">
        <f>IFERROR(__xludf.DUMMYFUNCTION("""COMPUTED_VALUE"""),0.0011689816396259003)</f>
        <v>0.00116898164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6"/>
      <c r="W47" s="56"/>
      <c r="X47" s="56"/>
      <c r="Y47" s="56"/>
      <c r="Z47" s="57"/>
      <c r="AA47" s="58"/>
      <c r="AB47" s="59"/>
    </row>
    <row r="48" ht="13.5" customHeight="1">
      <c r="A48" s="60">
        <f>IFERROR(__xludf.DUMMYFUNCTION("""COMPUTED_VALUE"""),47.0)</f>
        <v>47</v>
      </c>
      <c r="B48" s="61" t="str">
        <f>IFERROR(__xludf.DUMMYFUNCTION("""COMPUTED_VALUE"""),"164")</f>
        <v>164</v>
      </c>
      <c r="C48" s="62" t="str">
        <f>IFERROR(__xludf.DUMMYFUNCTION("""COMPUTED_VALUE"""),"COISNE")</f>
        <v>COISNE</v>
      </c>
      <c r="D48" s="63" t="str">
        <f>IFERROR(__xludf.DUMMYFUNCTION("""COMPUTED_VALUE"""),"SYLVAIN")</f>
        <v>SYLVAIN</v>
      </c>
      <c r="E48" s="51" t="str">
        <f>IFERROR(__xludf.DUMMYFUNCTION("""COMPUTED_VALUE"""),"SH4")</f>
        <v>SH4</v>
      </c>
      <c r="F48" s="82">
        <f>IFERROR(__xludf.DUMMYFUNCTION("""COMPUTED_VALUE"""),21.0)</f>
        <v>21</v>
      </c>
      <c r="G48" s="52">
        <f>IFERROR(__xludf.DUMMYFUNCTION("""COMPUTED_VALUE"""),0.023333333874450878)</f>
        <v>0.02333333387</v>
      </c>
      <c r="H48" s="53">
        <f>IFERROR(__xludf.DUMMYFUNCTION("""COMPUTED_VALUE"""),0.00430555557648368)</f>
        <v>0.004305555576</v>
      </c>
      <c r="I48" s="53">
        <f>IFERROR(__xludf.DUMMYFUNCTION("""COMPUTED_VALUE"""),0.007569444536437565)</f>
        <v>0.007569444536</v>
      </c>
      <c r="J48" s="53">
        <f>IFERROR(__xludf.DUMMYFUNCTION("""COMPUTED_VALUE"""),0.010011574455487308)</f>
        <v>0.01001157446</v>
      </c>
      <c r="K48" s="54">
        <f>IFERROR(__xludf.DUMMYFUNCTION("""COMPUTED_VALUE"""),0.001446759306042324)</f>
        <v>0.001446759306</v>
      </c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6"/>
      <c r="W48" s="56"/>
      <c r="X48" s="56"/>
      <c r="Y48" s="56"/>
      <c r="Z48" s="57"/>
      <c r="AA48" s="58"/>
      <c r="AB48" s="59"/>
    </row>
    <row r="49" ht="13.5" customHeight="1">
      <c r="A49" s="60">
        <f>IFERROR(__xludf.DUMMYFUNCTION("""COMPUTED_VALUE"""),48.0)</f>
        <v>48</v>
      </c>
      <c r="B49" s="61" t="str">
        <f>IFERROR(__xludf.DUMMYFUNCTION("""COMPUTED_VALUE"""),"165")</f>
        <v>165</v>
      </c>
      <c r="C49" s="62" t="str">
        <f>IFERROR(__xludf.DUMMYFUNCTION("""COMPUTED_VALUE"""),"PINOT")</f>
        <v>PINOT</v>
      </c>
      <c r="D49" s="63" t="str">
        <f>IFERROR(__xludf.DUMMYFUNCTION("""COMPUTED_VALUE"""),"ALEXANDRE")</f>
        <v>ALEXANDRE</v>
      </c>
      <c r="E49" s="51" t="str">
        <f>IFERROR(__xludf.DUMMYFUNCTION("""COMPUTED_VALUE"""),"SH4")</f>
        <v>SH4</v>
      </c>
      <c r="F49" s="82">
        <f>IFERROR(__xludf.DUMMYFUNCTION("""COMPUTED_VALUE"""),22.0)</f>
        <v>22</v>
      </c>
      <c r="G49" s="52">
        <f>IFERROR(__xludf.DUMMYFUNCTION("""COMPUTED_VALUE"""),0.023402778655716487)</f>
        <v>0.02340277866</v>
      </c>
      <c r="H49" s="53">
        <f>IFERROR(__xludf.DUMMYFUNCTION("""COMPUTED_VALUE"""),0.005497685297255787)</f>
        <v>0.005497685297</v>
      </c>
      <c r="I49" s="53">
        <f>IFERROR(__xludf.DUMMYFUNCTION("""COMPUTED_VALUE"""),0.0077314815076099325)</f>
        <v>0.007731481508</v>
      </c>
      <c r="J49" s="53">
        <f>IFERROR(__xludf.DUMMYFUNCTION("""COMPUTED_VALUE"""),0.009062499971979861)</f>
        <v>0.009062499972</v>
      </c>
      <c r="K49" s="54">
        <f>IFERROR(__xludf.DUMMYFUNCTION("""COMPUTED_VALUE"""),0.0011111118788709063)</f>
        <v>0.001111111879</v>
      </c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6"/>
      <c r="W49" s="56"/>
      <c r="X49" s="56"/>
      <c r="Y49" s="56"/>
      <c r="Z49" s="57"/>
      <c r="AA49" s="58"/>
      <c r="AB49" s="59"/>
    </row>
    <row r="50" ht="13.5" customHeight="1">
      <c r="A50" s="60">
        <f>IFERROR(__xludf.DUMMYFUNCTION("""COMPUTED_VALUE"""),49.0)</f>
        <v>49</v>
      </c>
      <c r="B50" s="61" t="str">
        <f>IFERROR(__xludf.DUMMYFUNCTION("""COMPUTED_VALUE"""),"110")</f>
        <v>110</v>
      </c>
      <c r="C50" s="62" t="str">
        <f>IFERROR(__xludf.DUMMYFUNCTION("""COMPUTED_VALUE"""),"LECOCQ")</f>
        <v>LECOCQ</v>
      </c>
      <c r="D50" s="63" t="str">
        <f>IFERROR(__xludf.DUMMYFUNCTION("""COMPUTED_VALUE"""),"PIERRE")</f>
        <v>PIERRE</v>
      </c>
      <c r="E50" s="51" t="str">
        <f>IFERROR(__xludf.DUMMYFUNCTION("""COMPUTED_VALUE"""),"SH4")</f>
        <v>SH4</v>
      </c>
      <c r="F50" s="82">
        <f>IFERROR(__xludf.DUMMYFUNCTION("""COMPUTED_VALUE"""),23.0)</f>
        <v>23</v>
      </c>
      <c r="G50" s="52">
        <f>IFERROR(__xludf.DUMMYFUNCTION("""COMPUTED_VALUE"""),0.023483796656094687)</f>
        <v>0.02348379666</v>
      </c>
      <c r="H50" s="53">
        <f>IFERROR(__xludf.DUMMYFUNCTION("""COMPUTED_VALUE"""),0.004571759279316037)</f>
        <v>0.004571759279</v>
      </c>
      <c r="I50" s="53">
        <f>IFERROR(__xludf.DUMMYFUNCTION("""COMPUTED_VALUE"""),0.008090277823160212)</f>
        <v>0.008090277823</v>
      </c>
      <c r="J50" s="53">
        <f>IFERROR(__xludf.DUMMYFUNCTION("""COMPUTED_VALUE"""),0.009826388623265118)</f>
        <v>0.009826388623</v>
      </c>
      <c r="K50" s="54">
        <f>IFERROR(__xludf.DUMMYFUNCTION("""COMPUTED_VALUE"""),9.953709303533193E-4)</f>
        <v>0.0009953709304</v>
      </c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6"/>
      <c r="W50" s="56"/>
      <c r="X50" s="56"/>
      <c r="Y50" s="56"/>
      <c r="Z50" s="57"/>
      <c r="AA50" s="58"/>
      <c r="AB50" s="59"/>
    </row>
    <row r="51" ht="13.5" customHeight="1">
      <c r="A51" s="60">
        <f>IFERROR(__xludf.DUMMYFUNCTION("""COMPUTED_VALUE"""),50.0)</f>
        <v>50</v>
      </c>
      <c r="B51" s="61" t="str">
        <f>IFERROR(__xludf.DUMMYFUNCTION("""COMPUTED_VALUE"""),"66")</f>
        <v>66</v>
      </c>
      <c r="C51" s="62" t="str">
        <f>IFERROR(__xludf.DUMMYFUNCTION("""COMPUTED_VALUE"""),"COSSERON")</f>
        <v>COSSERON</v>
      </c>
      <c r="D51" s="63" t="str">
        <f>IFERROR(__xludf.DUMMYFUNCTION("""COMPUTED_VALUE"""),"FLORIAN")</f>
        <v>FLORIAN</v>
      </c>
      <c r="E51" s="51" t="str">
        <f>IFERROR(__xludf.DUMMYFUNCTION("""COMPUTED_VALUE"""),"SH2")</f>
        <v>SH2</v>
      </c>
      <c r="F51" s="82">
        <f>IFERROR(__xludf.DUMMYFUNCTION("""COMPUTED_VALUE"""),9.0)</f>
        <v>9</v>
      </c>
      <c r="G51" s="52">
        <f>IFERROR(__xludf.DUMMYFUNCTION("""COMPUTED_VALUE"""),0.024386574838902646)</f>
        <v>0.02438657484</v>
      </c>
      <c r="H51" s="53">
        <f>IFERROR(__xludf.DUMMYFUNCTION("""COMPUTED_VALUE"""),0.004502314882570483)</f>
        <v>0.004502314883</v>
      </c>
      <c r="I51" s="53">
        <f>IFERROR(__xludf.DUMMYFUNCTION("""COMPUTED_VALUE"""),0.009143518555501105)</f>
        <v>0.009143518556</v>
      </c>
      <c r="J51" s="53">
        <f>IFERROR(__xludf.DUMMYFUNCTION("""COMPUTED_VALUE"""),0.009594907121901584)</f>
        <v>0.009594907122</v>
      </c>
      <c r="K51" s="54">
        <f>IFERROR(__xludf.DUMMYFUNCTION("""COMPUTED_VALUE"""),0.0011458342789294742)</f>
        <v>0.001145834279</v>
      </c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6"/>
      <c r="W51" s="56"/>
      <c r="X51" s="56"/>
      <c r="Y51" s="56"/>
      <c r="Z51" s="57"/>
      <c r="AA51" s="58"/>
      <c r="AB51" s="59"/>
    </row>
    <row r="52" ht="13.5" customHeight="1">
      <c r="A52" s="60">
        <f>IFERROR(__xludf.DUMMYFUNCTION("""COMPUTED_VALUE"""),51.0)</f>
        <v>51</v>
      </c>
      <c r="B52" s="61" t="str">
        <f>IFERROR(__xludf.DUMMYFUNCTION("""COMPUTED_VALUE"""),"176")</f>
        <v>176</v>
      </c>
      <c r="C52" s="62" t="str">
        <f>IFERROR(__xludf.DUMMYFUNCTION("""COMPUTED_VALUE"""),"LOMBARD")</f>
        <v>LOMBARD</v>
      </c>
      <c r="D52" s="63" t="str">
        <f>IFERROR(__xludf.DUMMYFUNCTION("""COMPUTED_VALUE"""),"MAXIME")</f>
        <v>MAXIME</v>
      </c>
      <c r="E52" s="51" t="str">
        <f>IFERROR(__xludf.DUMMYFUNCTION("""COMPUTED_VALUE"""),"SH2")</f>
        <v>SH2</v>
      </c>
      <c r="F52" s="82">
        <f>IFERROR(__xludf.DUMMYFUNCTION("""COMPUTED_VALUE"""),10.0)</f>
        <v>10</v>
      </c>
      <c r="G52" s="52">
        <f>IFERROR(__xludf.DUMMYFUNCTION("""COMPUTED_VALUE"""),0.0244444446317668)</f>
        <v>0.02444444463</v>
      </c>
      <c r="H52" s="53">
        <f>IFERROR(__xludf.DUMMYFUNCTION("""COMPUTED_VALUE"""),0.004282407455118129)</f>
        <v>0.004282407455</v>
      </c>
      <c r="I52" s="53">
        <f>IFERROR(__xludf.DUMMYFUNCTION("""COMPUTED_VALUE"""),0.00961805558339146)</f>
        <v>0.009618055583</v>
      </c>
      <c r="J52" s="53">
        <f>IFERROR(__xludf.DUMMYFUNCTION("""COMPUTED_VALUE"""),0.009143517876602104)</f>
        <v>0.009143517877</v>
      </c>
      <c r="K52" s="54">
        <f>IFERROR(__xludf.DUMMYFUNCTION("""COMPUTED_VALUE"""),0.0014004637166551079)</f>
        <v>0.001400463717</v>
      </c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6"/>
      <c r="W52" s="56"/>
      <c r="X52" s="56"/>
      <c r="Y52" s="56"/>
      <c r="Z52" s="57"/>
      <c r="AA52" s="58"/>
      <c r="AB52" s="59"/>
    </row>
    <row r="53" ht="13.5" customHeight="1">
      <c r="A53" s="60">
        <f>IFERROR(__xludf.DUMMYFUNCTION("""COMPUTED_VALUE"""),52.0)</f>
        <v>52</v>
      </c>
      <c r="B53" s="61" t="str">
        <f>IFERROR(__xludf.DUMMYFUNCTION("""COMPUTED_VALUE"""),"158")</f>
        <v>158</v>
      </c>
      <c r="C53" s="62" t="str">
        <f>IFERROR(__xludf.DUMMYFUNCTION("""COMPUTED_VALUE"""),"GIRON")</f>
        <v>GIRON</v>
      </c>
      <c r="D53" s="63" t="str">
        <f>IFERROR(__xludf.DUMMYFUNCTION("""COMPUTED_VALUE"""),"ALEXANDRE")</f>
        <v>ALEXANDRE</v>
      </c>
      <c r="E53" s="51" t="str">
        <f>IFERROR(__xludf.DUMMYFUNCTION("""COMPUTED_VALUE"""),"SH1")</f>
        <v>SH1</v>
      </c>
      <c r="F53" s="82">
        <f>IFERROR(__xludf.DUMMYFUNCTION("""COMPUTED_VALUE"""),1.0)</f>
        <v>1</v>
      </c>
      <c r="G53" s="52">
        <f>IFERROR(__xludf.DUMMYFUNCTION("""COMPUTED_VALUE"""),0.025185186007511306)</f>
        <v>0.02518518601</v>
      </c>
      <c r="H53" s="53">
        <f>IFERROR(__xludf.DUMMYFUNCTION("""COMPUTED_VALUE"""),0.0052199074220254695)</f>
        <v>0.005219907422</v>
      </c>
      <c r="I53" s="53">
        <f>IFERROR(__xludf.DUMMYFUNCTION("""COMPUTED_VALUE"""),0.008761574092696426)</f>
        <v>0.008761574093</v>
      </c>
      <c r="J53" s="53">
        <f>IFERROR(__xludf.DUMMYFUNCTION("""COMPUTED_VALUE"""),0.009768518486336381)</f>
        <v>0.009768518486</v>
      </c>
      <c r="K53" s="54">
        <f>IFERROR(__xludf.DUMMYFUNCTION("""COMPUTED_VALUE"""),0.0014351860064530288)</f>
        <v>0.001435186006</v>
      </c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6"/>
      <c r="W53" s="56"/>
      <c r="X53" s="56"/>
      <c r="Y53" s="56"/>
      <c r="Z53" s="57"/>
      <c r="AA53" s="58"/>
      <c r="AB53" s="59"/>
    </row>
    <row r="54" ht="13.5" customHeight="1">
      <c r="A54" s="60">
        <f>IFERROR(__xludf.DUMMYFUNCTION("""COMPUTED_VALUE"""),53.0)</f>
        <v>53</v>
      </c>
      <c r="B54" s="61" t="str">
        <f>IFERROR(__xludf.DUMMYFUNCTION("""COMPUTED_VALUE"""),"116")</f>
        <v>116</v>
      </c>
      <c r="C54" s="62" t="str">
        <f>IFERROR(__xludf.DUMMYFUNCTION("""COMPUTED_VALUE"""),"BARDOUIL")</f>
        <v>BARDOUIL</v>
      </c>
      <c r="D54" s="63" t="str">
        <f>IFERROR(__xludf.DUMMYFUNCTION("""COMPUTED_VALUE"""),"GABIN")</f>
        <v>GABIN</v>
      </c>
      <c r="E54" s="51" t="str">
        <f>IFERROR(__xludf.DUMMYFUNCTION("""COMPUTED_VALUE"""),"SH2")</f>
        <v>SH2</v>
      </c>
      <c r="F54" s="82">
        <f>IFERROR(__xludf.DUMMYFUNCTION("""COMPUTED_VALUE"""),11.0)</f>
        <v>11</v>
      </c>
      <c r="G54" s="52">
        <f>IFERROR(__xludf.DUMMYFUNCTION("""COMPUTED_VALUE"""),0.0258101857526937)</f>
        <v>0.02581018575</v>
      </c>
      <c r="H54" s="53">
        <f>IFERROR(__xludf.DUMMYFUNCTION("""COMPUTED_VALUE"""),0.004768518582722712)</f>
        <v>0.004768518583</v>
      </c>
      <c r="I54" s="53">
        <f>IFERROR(__xludf.DUMMYFUNCTION("""COMPUTED_VALUE"""),0.008564814897265587)</f>
        <v>0.008564814897</v>
      </c>
      <c r="J54" s="53">
        <f>IFERROR(__xludf.DUMMYFUNCTION("""COMPUTED_VALUE"""),0.0109259262986205)</f>
        <v>0.0109259263</v>
      </c>
      <c r="K54" s="54">
        <f>IFERROR(__xludf.DUMMYFUNCTION("""COMPUTED_VALUE"""),0.0015509259740848986)</f>
        <v>0.001550925974</v>
      </c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6"/>
      <c r="W54" s="56"/>
      <c r="X54" s="56"/>
      <c r="Y54" s="56"/>
      <c r="Z54" s="57"/>
      <c r="AA54" s="58"/>
      <c r="AB54" s="59"/>
    </row>
    <row r="55" ht="13.5" customHeight="1">
      <c r="A55" s="60">
        <f>IFERROR(__xludf.DUMMYFUNCTION("""COMPUTED_VALUE"""),54.0)</f>
        <v>54</v>
      </c>
      <c r="B55" s="61" t="str">
        <f>IFERROR(__xludf.DUMMYFUNCTION("""COMPUTED_VALUE"""),"63")</f>
        <v>63</v>
      </c>
      <c r="C55" s="62" t="str">
        <f>IFERROR(__xludf.DUMMYFUNCTION("""COMPUTED_VALUE"""),"BASUEMI")</f>
        <v>BASUEMI</v>
      </c>
      <c r="D55" s="63" t="str">
        <f>IFERROR(__xludf.DUMMYFUNCTION("""COMPUTED_VALUE"""),"GEOFFREY")</f>
        <v>GEOFFREY</v>
      </c>
      <c r="E55" s="51" t="str">
        <f>IFERROR(__xludf.DUMMYFUNCTION("""COMPUTED_VALUE"""),"SH4")</f>
        <v>SH4</v>
      </c>
      <c r="F55" s="82">
        <f>IFERROR(__xludf.DUMMYFUNCTION("""COMPUTED_VALUE"""),24.0)</f>
        <v>24</v>
      </c>
      <c r="G55" s="52">
        <f>IFERROR(__xludf.DUMMYFUNCTION("""COMPUTED_VALUE"""),0.02659722301849501)</f>
        <v>0.02659722302</v>
      </c>
      <c r="H55" s="53">
        <f>IFERROR(__xludf.DUMMYFUNCTION("""COMPUTED_VALUE"""),0.005081018524934651)</f>
        <v>0.005081018525</v>
      </c>
      <c r="I55" s="53">
        <f>IFERROR(__xludf.DUMMYFUNCTION("""COMPUTED_VALUE"""),0.008136574184917925)</f>
        <v>0.008136574185</v>
      </c>
      <c r="J55" s="53">
        <f>IFERROR(__xludf.DUMMYFUNCTION("""COMPUTED_VALUE"""),0.011203703788335045)</f>
        <v>0.01120370379</v>
      </c>
      <c r="K55" s="54">
        <f>IFERROR(__xludf.DUMMYFUNCTION("""COMPUTED_VALUE"""),0.002175926520307389)</f>
        <v>0.00217592652</v>
      </c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6"/>
      <c r="W55" s="56"/>
      <c r="X55" s="56"/>
      <c r="Y55" s="56"/>
      <c r="Z55" s="57"/>
      <c r="AA55" s="58"/>
      <c r="AB55" s="59"/>
    </row>
    <row r="56" ht="13.5" customHeight="1">
      <c r="A56" s="60">
        <f>IFERROR(__xludf.DUMMYFUNCTION("""COMPUTED_VALUE"""),55.0)</f>
        <v>55</v>
      </c>
      <c r="B56" s="61" t="str">
        <f>IFERROR(__xludf.DUMMYFUNCTION("""COMPUTED_VALUE"""),"72")</f>
        <v>72</v>
      </c>
      <c r="C56" s="62" t="str">
        <f>IFERROR(__xludf.DUMMYFUNCTION("""COMPUTED_VALUE"""),"HUARANCCA NINANYA")</f>
        <v>HUARANCCA NINANYA</v>
      </c>
      <c r="D56" s="63" t="str">
        <f>IFERROR(__xludf.DUMMYFUNCTION("""COMPUTED_VALUE"""),"MARCO")</f>
        <v>MARCO</v>
      </c>
      <c r="E56" s="51" t="str">
        <f>IFERROR(__xludf.DUMMYFUNCTION("""COMPUTED_VALUE"""),"SH3")</f>
        <v>SH3</v>
      </c>
      <c r="F56" s="82">
        <f>IFERROR(__xludf.DUMMYFUNCTION("""COMPUTED_VALUE"""),19.0)</f>
        <v>19</v>
      </c>
      <c r="G56" s="52">
        <f>IFERROR(__xludf.DUMMYFUNCTION("""COMPUTED_VALUE"""),0.027013889737929148)</f>
        <v>0.02701388974</v>
      </c>
      <c r="H56" s="53">
        <f>IFERROR(__xludf.DUMMYFUNCTION("""COMPUTED_VALUE"""),0.006018518633077733)</f>
        <v>0.006018518633</v>
      </c>
      <c r="I56" s="53">
        <f>IFERROR(__xludf.DUMMYFUNCTION("""COMPUTED_VALUE"""),0.00895833343203025)</f>
        <v>0.008958333432</v>
      </c>
      <c r="J56" s="53">
        <f>IFERROR(__xludf.DUMMYFUNCTION("""COMPUTED_VALUE"""),0.010601852082659333)</f>
        <v>0.01060185208</v>
      </c>
      <c r="K56" s="54">
        <f>IFERROR(__xludf.DUMMYFUNCTION("""COMPUTED_VALUE"""),0.0014351855901618311)</f>
        <v>0.00143518559</v>
      </c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6"/>
      <c r="W56" s="56"/>
      <c r="X56" s="56"/>
      <c r="Y56" s="56"/>
      <c r="Z56" s="57"/>
      <c r="AA56" s="58"/>
      <c r="AB56" s="59"/>
    </row>
    <row r="57" ht="13.5" customHeight="1">
      <c r="A57" s="60">
        <f>IFERROR(__xludf.DUMMYFUNCTION("""COMPUTED_VALUE"""),56.0)</f>
        <v>56</v>
      </c>
      <c r="B57" s="61" t="str">
        <f>IFERROR(__xludf.DUMMYFUNCTION("""COMPUTED_VALUE"""),"58")</f>
        <v>58</v>
      </c>
      <c r="C57" s="62" t="str">
        <f>IFERROR(__xludf.DUMMYFUNCTION("""COMPUTED_VALUE"""),"NONY-DAVADIE")</f>
        <v>NONY-DAVADIE</v>
      </c>
      <c r="D57" s="63" t="str">
        <f>IFERROR(__xludf.DUMMYFUNCTION("""COMPUTED_VALUE"""),"MAXIMILIEN")</f>
        <v>MAXIMILIEN</v>
      </c>
      <c r="E57" s="51" t="str">
        <f>IFERROR(__xludf.DUMMYFUNCTION("""COMPUTED_VALUE"""),"SH4")</f>
        <v>SH4</v>
      </c>
      <c r="F57" s="82">
        <f>IFERROR(__xludf.DUMMYFUNCTION("""COMPUTED_VALUE"""),25.0)</f>
        <v>25</v>
      </c>
      <c r="G57" s="52">
        <f>IFERROR(__xludf.DUMMYFUNCTION("""COMPUTED_VALUE"""),0.027453704513199517)</f>
        <v>0.02745370451</v>
      </c>
      <c r="H57" s="53">
        <f>IFERROR(__xludf.DUMMYFUNCTION("""COMPUTED_VALUE"""),0.005625000103609586)</f>
        <v>0.005625000104</v>
      </c>
      <c r="I57" s="53">
        <f>IFERROR(__xludf.DUMMYFUNCTION("""COMPUTED_VALUE"""),0.008414351890867583)</f>
        <v>0.008414351891</v>
      </c>
      <c r="J57" s="53">
        <f>IFERROR(__xludf.DUMMYFUNCTION("""COMPUTED_VALUE"""),0.011608796791738825)</f>
        <v>0.01160879679</v>
      </c>
      <c r="K57" s="54">
        <f>IFERROR(__xludf.DUMMYFUNCTION("""COMPUTED_VALUE"""),0.0018055557269835223)</f>
        <v>0.001805555727</v>
      </c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6"/>
      <c r="W57" s="56"/>
      <c r="X57" s="56"/>
      <c r="Y57" s="56"/>
      <c r="Z57" s="57"/>
      <c r="AA57" s="58"/>
      <c r="AB57" s="59"/>
    </row>
    <row r="58" ht="13.5" customHeight="1">
      <c r="A58" s="60" t="str">
        <f>IFERROR(__xludf.DUMMYFUNCTION("""COMPUTED_VALUE"""),"")</f>
        <v/>
      </c>
      <c r="B58" s="64" t="str">
        <f>IFERROR(__xludf.DUMMYFUNCTION("""COMPUTED_VALUE"""),"")</f>
        <v/>
      </c>
      <c r="C58" s="63" t="str">
        <f>IFERROR(__xludf.DUMMYFUNCTION("""COMPUTED_VALUE"""),"")</f>
        <v/>
      </c>
      <c r="D58" s="63" t="str">
        <f>IFERROR(__xludf.DUMMYFUNCTION("""COMPUTED_VALUE"""),"")</f>
        <v/>
      </c>
      <c r="E58" s="51" t="str">
        <f>IFERROR(__xludf.DUMMYFUNCTION("""COMPUTED_VALUE"""),"")</f>
        <v/>
      </c>
      <c r="F58" s="82" t="str">
        <f>IFERROR(__xludf.DUMMYFUNCTION("""COMPUTED_VALUE"""),"")</f>
        <v/>
      </c>
      <c r="G58" s="52" t="str">
        <f>IFERROR(__xludf.DUMMYFUNCTION("""COMPUTED_VALUE"""),"")</f>
        <v/>
      </c>
      <c r="H58" s="53" t="str">
        <f>IFERROR(__xludf.DUMMYFUNCTION("""COMPUTED_VALUE"""),"")</f>
        <v/>
      </c>
      <c r="I58" s="53" t="str">
        <f>IFERROR(__xludf.DUMMYFUNCTION("""COMPUTED_VALUE"""),"")</f>
        <v/>
      </c>
      <c r="J58" s="53" t="str">
        <f>IFERROR(__xludf.DUMMYFUNCTION("""COMPUTED_VALUE"""),"")</f>
        <v/>
      </c>
      <c r="K58" s="54" t="str">
        <f>IFERROR(__xludf.DUMMYFUNCTION("""COMPUTED_VALUE"""),"")</f>
        <v/>
      </c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6"/>
      <c r="W58" s="56"/>
      <c r="X58" s="56"/>
      <c r="Y58" s="56"/>
      <c r="Z58" s="57"/>
      <c r="AA58" s="58"/>
      <c r="AB58" s="59"/>
    </row>
    <row r="59" ht="13.5" customHeight="1">
      <c r="A59" s="60" t="str">
        <f>IFERROR(__xludf.DUMMYFUNCTION("""COMPUTED_VALUE"""),"")</f>
        <v/>
      </c>
      <c r="B59" s="64" t="str">
        <f>IFERROR(__xludf.DUMMYFUNCTION("""COMPUTED_VALUE"""),"")</f>
        <v/>
      </c>
      <c r="C59" s="63" t="str">
        <f>IFERROR(__xludf.DUMMYFUNCTION("""COMPUTED_VALUE"""),"")</f>
        <v/>
      </c>
      <c r="D59" s="63" t="str">
        <f>IFERROR(__xludf.DUMMYFUNCTION("""COMPUTED_VALUE"""),"")</f>
        <v/>
      </c>
      <c r="E59" s="51" t="str">
        <f>IFERROR(__xludf.DUMMYFUNCTION("""COMPUTED_VALUE"""),"")</f>
        <v/>
      </c>
      <c r="F59" s="82" t="str">
        <f>IFERROR(__xludf.DUMMYFUNCTION("""COMPUTED_VALUE"""),"")</f>
        <v/>
      </c>
      <c r="G59" s="52" t="str">
        <f>IFERROR(__xludf.DUMMYFUNCTION("""COMPUTED_VALUE"""),"")</f>
        <v/>
      </c>
      <c r="H59" s="53" t="str">
        <f>IFERROR(__xludf.DUMMYFUNCTION("""COMPUTED_VALUE"""),"")</f>
        <v/>
      </c>
      <c r="I59" s="53" t="str">
        <f>IFERROR(__xludf.DUMMYFUNCTION("""COMPUTED_VALUE"""),"")</f>
        <v/>
      </c>
      <c r="J59" s="53" t="str">
        <f>IFERROR(__xludf.DUMMYFUNCTION("""COMPUTED_VALUE"""),"")</f>
        <v/>
      </c>
      <c r="K59" s="54" t="str">
        <f>IFERROR(__xludf.DUMMYFUNCTION("""COMPUTED_VALUE"""),"")</f>
        <v/>
      </c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6"/>
      <c r="W59" s="56"/>
      <c r="X59" s="56"/>
      <c r="Y59" s="56"/>
      <c r="Z59" s="57"/>
      <c r="AA59" s="58"/>
      <c r="AB59" s="59"/>
    </row>
    <row r="60" ht="13.5" customHeight="1">
      <c r="A60" s="60" t="str">
        <f>IFERROR(__xludf.DUMMYFUNCTION("""COMPUTED_VALUE"""),"")</f>
        <v/>
      </c>
      <c r="B60" s="64" t="str">
        <f>IFERROR(__xludf.DUMMYFUNCTION("""COMPUTED_VALUE"""),"")</f>
        <v/>
      </c>
      <c r="C60" s="63" t="str">
        <f>IFERROR(__xludf.DUMMYFUNCTION("""COMPUTED_VALUE"""),"")</f>
        <v/>
      </c>
      <c r="D60" s="63" t="str">
        <f>IFERROR(__xludf.DUMMYFUNCTION("""COMPUTED_VALUE"""),"")</f>
        <v/>
      </c>
      <c r="E60" s="51" t="str">
        <f>IFERROR(__xludf.DUMMYFUNCTION("""COMPUTED_VALUE"""),"")</f>
        <v/>
      </c>
      <c r="F60" s="82" t="str">
        <f>IFERROR(__xludf.DUMMYFUNCTION("""COMPUTED_VALUE"""),"")</f>
        <v/>
      </c>
      <c r="G60" s="52" t="str">
        <f>IFERROR(__xludf.DUMMYFUNCTION("""COMPUTED_VALUE"""),"")</f>
        <v/>
      </c>
      <c r="H60" s="53" t="str">
        <f>IFERROR(__xludf.DUMMYFUNCTION("""COMPUTED_VALUE"""),"")</f>
        <v/>
      </c>
      <c r="I60" s="53" t="str">
        <f>IFERROR(__xludf.DUMMYFUNCTION("""COMPUTED_VALUE"""),"")</f>
        <v/>
      </c>
      <c r="J60" s="53" t="str">
        <f>IFERROR(__xludf.DUMMYFUNCTION("""COMPUTED_VALUE"""),"")</f>
        <v/>
      </c>
      <c r="K60" s="54" t="str">
        <f>IFERROR(__xludf.DUMMYFUNCTION("""COMPUTED_VALUE"""),"")</f>
        <v/>
      </c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6"/>
      <c r="W60" s="56"/>
      <c r="X60" s="56"/>
      <c r="Y60" s="56"/>
      <c r="Z60" s="57"/>
      <c r="AA60" s="58"/>
      <c r="AB60" s="59"/>
    </row>
    <row r="61" ht="13.5" customHeight="1">
      <c r="A61" s="60" t="str">
        <f>IFERROR(__xludf.DUMMYFUNCTION("""COMPUTED_VALUE"""),"")</f>
        <v/>
      </c>
      <c r="B61" s="64" t="str">
        <f>IFERROR(__xludf.DUMMYFUNCTION("""COMPUTED_VALUE"""),"")</f>
        <v/>
      </c>
      <c r="C61" s="63" t="str">
        <f>IFERROR(__xludf.DUMMYFUNCTION("""COMPUTED_VALUE"""),"")</f>
        <v/>
      </c>
      <c r="D61" s="63" t="str">
        <f>IFERROR(__xludf.DUMMYFUNCTION("""COMPUTED_VALUE"""),"")</f>
        <v/>
      </c>
      <c r="E61" s="51" t="str">
        <f>IFERROR(__xludf.DUMMYFUNCTION("""COMPUTED_VALUE"""),"")</f>
        <v/>
      </c>
      <c r="F61" s="82" t="str">
        <f>IFERROR(__xludf.DUMMYFUNCTION("""COMPUTED_VALUE"""),"")</f>
        <v/>
      </c>
      <c r="G61" s="52" t="str">
        <f>IFERROR(__xludf.DUMMYFUNCTION("""COMPUTED_VALUE"""),"")</f>
        <v/>
      </c>
      <c r="H61" s="53" t="str">
        <f>IFERROR(__xludf.DUMMYFUNCTION("""COMPUTED_VALUE"""),"")</f>
        <v/>
      </c>
      <c r="I61" s="53" t="str">
        <f>IFERROR(__xludf.DUMMYFUNCTION("""COMPUTED_VALUE"""),"")</f>
        <v/>
      </c>
      <c r="J61" s="53" t="str">
        <f>IFERROR(__xludf.DUMMYFUNCTION("""COMPUTED_VALUE"""),"")</f>
        <v/>
      </c>
      <c r="K61" s="54" t="str">
        <f>IFERROR(__xludf.DUMMYFUNCTION("""COMPUTED_VALUE"""),"")</f>
        <v/>
      </c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6"/>
      <c r="W61" s="56"/>
      <c r="X61" s="56"/>
      <c r="Y61" s="56"/>
      <c r="Z61" s="57"/>
      <c r="AA61" s="58"/>
      <c r="AB61" s="59"/>
    </row>
    <row r="62" ht="13.5" customHeight="1">
      <c r="A62" s="60" t="str">
        <f>IFERROR(__xludf.DUMMYFUNCTION("""COMPUTED_VALUE"""),"")</f>
        <v/>
      </c>
      <c r="B62" s="64" t="str">
        <f>IFERROR(__xludf.DUMMYFUNCTION("""COMPUTED_VALUE"""),"")</f>
        <v/>
      </c>
      <c r="C62" s="63" t="str">
        <f>IFERROR(__xludf.DUMMYFUNCTION("""COMPUTED_VALUE"""),"")</f>
        <v/>
      </c>
      <c r="D62" s="63" t="str">
        <f>IFERROR(__xludf.DUMMYFUNCTION("""COMPUTED_VALUE"""),"")</f>
        <v/>
      </c>
      <c r="E62" s="51" t="str">
        <f>IFERROR(__xludf.DUMMYFUNCTION("""COMPUTED_VALUE"""),"")</f>
        <v/>
      </c>
      <c r="F62" s="82" t="str">
        <f>IFERROR(__xludf.DUMMYFUNCTION("""COMPUTED_VALUE"""),"")</f>
        <v/>
      </c>
      <c r="G62" s="52" t="str">
        <f>IFERROR(__xludf.DUMMYFUNCTION("""COMPUTED_VALUE"""),"")</f>
        <v/>
      </c>
      <c r="H62" s="53" t="str">
        <f>IFERROR(__xludf.DUMMYFUNCTION("""COMPUTED_VALUE"""),"")</f>
        <v/>
      </c>
      <c r="I62" s="53" t="str">
        <f>IFERROR(__xludf.DUMMYFUNCTION("""COMPUTED_VALUE"""),"")</f>
        <v/>
      </c>
      <c r="J62" s="53" t="str">
        <f>IFERROR(__xludf.DUMMYFUNCTION("""COMPUTED_VALUE"""),"")</f>
        <v/>
      </c>
      <c r="K62" s="54" t="str">
        <f>IFERROR(__xludf.DUMMYFUNCTION("""COMPUTED_VALUE"""),"")</f>
        <v/>
      </c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6"/>
      <c r="W62" s="56"/>
      <c r="X62" s="56"/>
      <c r="Y62" s="56"/>
      <c r="Z62" s="57"/>
      <c r="AA62" s="58"/>
      <c r="AB62" s="59"/>
    </row>
    <row r="63" ht="13.5" customHeight="1">
      <c r="A63" s="60" t="str">
        <f>IFERROR(__xludf.DUMMYFUNCTION("""COMPUTED_VALUE"""),"")</f>
        <v/>
      </c>
      <c r="B63" s="64" t="str">
        <f>IFERROR(__xludf.DUMMYFUNCTION("""COMPUTED_VALUE"""),"")</f>
        <v/>
      </c>
      <c r="C63" s="63" t="str">
        <f>IFERROR(__xludf.DUMMYFUNCTION("""COMPUTED_VALUE"""),"")</f>
        <v/>
      </c>
      <c r="D63" s="63" t="str">
        <f>IFERROR(__xludf.DUMMYFUNCTION("""COMPUTED_VALUE"""),"")</f>
        <v/>
      </c>
      <c r="E63" s="51" t="str">
        <f>IFERROR(__xludf.DUMMYFUNCTION("""COMPUTED_VALUE"""),"")</f>
        <v/>
      </c>
      <c r="F63" s="82" t="str">
        <f>IFERROR(__xludf.DUMMYFUNCTION("""COMPUTED_VALUE"""),"")</f>
        <v/>
      </c>
      <c r="G63" s="52" t="str">
        <f>IFERROR(__xludf.DUMMYFUNCTION("""COMPUTED_VALUE"""),"")</f>
        <v/>
      </c>
      <c r="H63" s="53" t="str">
        <f>IFERROR(__xludf.DUMMYFUNCTION("""COMPUTED_VALUE"""),"")</f>
        <v/>
      </c>
      <c r="I63" s="53" t="str">
        <f>IFERROR(__xludf.DUMMYFUNCTION("""COMPUTED_VALUE"""),"")</f>
        <v/>
      </c>
      <c r="J63" s="53" t="str">
        <f>IFERROR(__xludf.DUMMYFUNCTION("""COMPUTED_VALUE"""),"")</f>
        <v/>
      </c>
      <c r="K63" s="54" t="str">
        <f>IFERROR(__xludf.DUMMYFUNCTION("""COMPUTED_VALUE"""),"")</f>
        <v/>
      </c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6"/>
      <c r="W63" s="56"/>
      <c r="X63" s="56"/>
      <c r="Y63" s="56"/>
      <c r="Z63" s="57"/>
      <c r="AA63" s="58"/>
      <c r="AB63" s="59"/>
    </row>
    <row r="64" ht="13.5" customHeight="1">
      <c r="A64" s="60" t="str">
        <f>IFERROR(__xludf.DUMMYFUNCTION("""COMPUTED_VALUE"""),"")</f>
        <v/>
      </c>
      <c r="B64" s="64" t="str">
        <f>IFERROR(__xludf.DUMMYFUNCTION("""COMPUTED_VALUE"""),"")</f>
        <v/>
      </c>
      <c r="C64" s="63" t="str">
        <f>IFERROR(__xludf.DUMMYFUNCTION("""COMPUTED_VALUE"""),"")</f>
        <v/>
      </c>
      <c r="D64" s="63" t="str">
        <f>IFERROR(__xludf.DUMMYFUNCTION("""COMPUTED_VALUE"""),"")</f>
        <v/>
      </c>
      <c r="E64" s="51" t="str">
        <f>IFERROR(__xludf.DUMMYFUNCTION("""COMPUTED_VALUE"""),"")</f>
        <v/>
      </c>
      <c r="F64" s="82" t="str">
        <f>IFERROR(__xludf.DUMMYFUNCTION("""COMPUTED_VALUE"""),"")</f>
        <v/>
      </c>
      <c r="G64" s="52" t="str">
        <f>IFERROR(__xludf.DUMMYFUNCTION("""COMPUTED_VALUE"""),"")</f>
        <v/>
      </c>
      <c r="H64" s="53" t="str">
        <f>IFERROR(__xludf.DUMMYFUNCTION("""COMPUTED_VALUE"""),"")</f>
        <v/>
      </c>
      <c r="I64" s="53" t="str">
        <f>IFERROR(__xludf.DUMMYFUNCTION("""COMPUTED_VALUE"""),"")</f>
        <v/>
      </c>
      <c r="J64" s="53" t="str">
        <f>IFERROR(__xludf.DUMMYFUNCTION("""COMPUTED_VALUE"""),"")</f>
        <v/>
      </c>
      <c r="K64" s="54" t="str">
        <f>IFERROR(__xludf.DUMMYFUNCTION("""COMPUTED_VALUE"""),"")</f>
        <v/>
      </c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6"/>
      <c r="W64" s="56"/>
      <c r="X64" s="56"/>
      <c r="Y64" s="56"/>
      <c r="Z64" s="57"/>
      <c r="AA64" s="58"/>
      <c r="AB64" s="59"/>
    </row>
    <row r="65" ht="13.5" customHeight="1">
      <c r="A65" s="60" t="str">
        <f>IFERROR(__xludf.DUMMYFUNCTION("""COMPUTED_VALUE"""),"")</f>
        <v/>
      </c>
      <c r="B65" s="64" t="str">
        <f>IFERROR(__xludf.DUMMYFUNCTION("""COMPUTED_VALUE"""),"")</f>
        <v/>
      </c>
      <c r="C65" s="63" t="str">
        <f>IFERROR(__xludf.DUMMYFUNCTION("""COMPUTED_VALUE"""),"")</f>
        <v/>
      </c>
      <c r="D65" s="63" t="str">
        <f>IFERROR(__xludf.DUMMYFUNCTION("""COMPUTED_VALUE"""),"")</f>
        <v/>
      </c>
      <c r="E65" s="51" t="str">
        <f>IFERROR(__xludf.DUMMYFUNCTION("""COMPUTED_VALUE"""),"")</f>
        <v/>
      </c>
      <c r="F65" s="82" t="str">
        <f>IFERROR(__xludf.DUMMYFUNCTION("""COMPUTED_VALUE"""),"")</f>
        <v/>
      </c>
      <c r="G65" s="52" t="str">
        <f>IFERROR(__xludf.DUMMYFUNCTION("""COMPUTED_VALUE"""),"")</f>
        <v/>
      </c>
      <c r="H65" s="53" t="str">
        <f>IFERROR(__xludf.DUMMYFUNCTION("""COMPUTED_VALUE"""),"")</f>
        <v/>
      </c>
      <c r="I65" s="53" t="str">
        <f>IFERROR(__xludf.DUMMYFUNCTION("""COMPUTED_VALUE"""),"")</f>
        <v/>
      </c>
      <c r="J65" s="53" t="str">
        <f>IFERROR(__xludf.DUMMYFUNCTION("""COMPUTED_VALUE"""),"")</f>
        <v/>
      </c>
      <c r="K65" s="54" t="str">
        <f>IFERROR(__xludf.DUMMYFUNCTION("""COMPUTED_VALUE"""),"")</f>
        <v/>
      </c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6"/>
      <c r="W65" s="56"/>
      <c r="X65" s="56"/>
      <c r="Y65" s="56"/>
      <c r="Z65" s="57"/>
      <c r="AA65" s="58"/>
      <c r="AB65" s="59"/>
    </row>
    <row r="66" ht="13.5" customHeight="1">
      <c r="A66" s="60" t="str">
        <f>IFERROR(__xludf.DUMMYFUNCTION("""COMPUTED_VALUE"""),"")</f>
        <v/>
      </c>
      <c r="B66" s="64" t="str">
        <f>IFERROR(__xludf.DUMMYFUNCTION("""COMPUTED_VALUE"""),"")</f>
        <v/>
      </c>
      <c r="C66" s="63" t="str">
        <f>IFERROR(__xludf.DUMMYFUNCTION("""COMPUTED_VALUE"""),"")</f>
        <v/>
      </c>
      <c r="D66" s="63" t="str">
        <f>IFERROR(__xludf.DUMMYFUNCTION("""COMPUTED_VALUE"""),"")</f>
        <v/>
      </c>
      <c r="E66" s="51" t="str">
        <f>IFERROR(__xludf.DUMMYFUNCTION("""COMPUTED_VALUE"""),"")</f>
        <v/>
      </c>
      <c r="F66" s="82" t="str">
        <f>IFERROR(__xludf.DUMMYFUNCTION("""COMPUTED_VALUE"""),"")</f>
        <v/>
      </c>
      <c r="G66" s="52" t="str">
        <f>IFERROR(__xludf.DUMMYFUNCTION("""COMPUTED_VALUE"""),"")</f>
        <v/>
      </c>
      <c r="H66" s="53" t="str">
        <f>IFERROR(__xludf.DUMMYFUNCTION("""COMPUTED_VALUE"""),"")</f>
        <v/>
      </c>
      <c r="I66" s="53" t="str">
        <f>IFERROR(__xludf.DUMMYFUNCTION("""COMPUTED_VALUE"""),"")</f>
        <v/>
      </c>
      <c r="J66" s="53" t="str">
        <f>IFERROR(__xludf.DUMMYFUNCTION("""COMPUTED_VALUE"""),"")</f>
        <v/>
      </c>
      <c r="K66" s="54" t="str">
        <f>IFERROR(__xludf.DUMMYFUNCTION("""COMPUTED_VALUE"""),"")</f>
        <v/>
      </c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6"/>
      <c r="W66" s="56"/>
      <c r="X66" s="56"/>
      <c r="Y66" s="56"/>
      <c r="Z66" s="57"/>
      <c r="AA66" s="58"/>
      <c r="AB66" s="59"/>
    </row>
    <row r="67" ht="13.5" customHeight="1">
      <c r="A67" s="60" t="str">
        <f>IFERROR(__xludf.DUMMYFUNCTION("""COMPUTED_VALUE"""),"")</f>
        <v/>
      </c>
      <c r="B67" s="64" t="str">
        <f>IFERROR(__xludf.DUMMYFUNCTION("""COMPUTED_VALUE"""),"")</f>
        <v/>
      </c>
      <c r="C67" s="63" t="str">
        <f>IFERROR(__xludf.DUMMYFUNCTION("""COMPUTED_VALUE"""),"")</f>
        <v/>
      </c>
      <c r="D67" s="63" t="str">
        <f>IFERROR(__xludf.DUMMYFUNCTION("""COMPUTED_VALUE"""),"")</f>
        <v/>
      </c>
      <c r="E67" s="51" t="str">
        <f>IFERROR(__xludf.DUMMYFUNCTION("""COMPUTED_VALUE"""),"")</f>
        <v/>
      </c>
      <c r="F67" s="82" t="str">
        <f>IFERROR(__xludf.DUMMYFUNCTION("""COMPUTED_VALUE"""),"")</f>
        <v/>
      </c>
      <c r="G67" s="52" t="str">
        <f>IFERROR(__xludf.DUMMYFUNCTION("""COMPUTED_VALUE"""),"")</f>
        <v/>
      </c>
      <c r="H67" s="53" t="str">
        <f>IFERROR(__xludf.DUMMYFUNCTION("""COMPUTED_VALUE"""),"")</f>
        <v/>
      </c>
      <c r="I67" s="53" t="str">
        <f>IFERROR(__xludf.DUMMYFUNCTION("""COMPUTED_VALUE"""),"")</f>
        <v/>
      </c>
      <c r="J67" s="53" t="str">
        <f>IFERROR(__xludf.DUMMYFUNCTION("""COMPUTED_VALUE"""),"")</f>
        <v/>
      </c>
      <c r="K67" s="54" t="str">
        <f>IFERROR(__xludf.DUMMYFUNCTION("""COMPUTED_VALUE"""),"")</f>
        <v/>
      </c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6"/>
      <c r="W67" s="56"/>
      <c r="X67" s="56"/>
      <c r="Y67" s="56"/>
      <c r="Z67" s="57"/>
      <c r="AA67" s="58"/>
      <c r="AB67" s="59"/>
    </row>
    <row r="68" ht="13.5" customHeight="1">
      <c r="A68" s="60" t="str">
        <f>IFERROR(__xludf.DUMMYFUNCTION("""COMPUTED_VALUE"""),"")</f>
        <v/>
      </c>
      <c r="B68" s="64" t="str">
        <f>IFERROR(__xludf.DUMMYFUNCTION("""COMPUTED_VALUE"""),"")</f>
        <v/>
      </c>
      <c r="C68" s="63" t="str">
        <f>IFERROR(__xludf.DUMMYFUNCTION("""COMPUTED_VALUE"""),"")</f>
        <v/>
      </c>
      <c r="D68" s="63" t="str">
        <f>IFERROR(__xludf.DUMMYFUNCTION("""COMPUTED_VALUE"""),"")</f>
        <v/>
      </c>
      <c r="E68" s="51" t="str">
        <f>IFERROR(__xludf.DUMMYFUNCTION("""COMPUTED_VALUE"""),"")</f>
        <v/>
      </c>
      <c r="F68" s="82" t="str">
        <f>IFERROR(__xludf.DUMMYFUNCTION("""COMPUTED_VALUE"""),"")</f>
        <v/>
      </c>
      <c r="G68" s="52" t="str">
        <f>IFERROR(__xludf.DUMMYFUNCTION("""COMPUTED_VALUE"""),"")</f>
        <v/>
      </c>
      <c r="H68" s="53" t="str">
        <f>IFERROR(__xludf.DUMMYFUNCTION("""COMPUTED_VALUE"""),"")</f>
        <v/>
      </c>
      <c r="I68" s="53" t="str">
        <f>IFERROR(__xludf.DUMMYFUNCTION("""COMPUTED_VALUE"""),"")</f>
        <v/>
      </c>
      <c r="J68" s="53" t="str">
        <f>IFERROR(__xludf.DUMMYFUNCTION("""COMPUTED_VALUE"""),"")</f>
        <v/>
      </c>
      <c r="K68" s="54" t="str">
        <f>IFERROR(__xludf.DUMMYFUNCTION("""COMPUTED_VALUE"""),"")</f>
        <v/>
      </c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6"/>
      <c r="W68" s="56"/>
      <c r="X68" s="56"/>
      <c r="Y68" s="56"/>
      <c r="Z68" s="57"/>
      <c r="AA68" s="58"/>
      <c r="AB68" s="59"/>
    </row>
    <row r="69" ht="13.5" customHeight="1">
      <c r="A69" s="60" t="str">
        <f>IFERROR(__xludf.DUMMYFUNCTION("""COMPUTED_VALUE"""),"")</f>
        <v/>
      </c>
      <c r="B69" s="64" t="str">
        <f>IFERROR(__xludf.DUMMYFUNCTION("""COMPUTED_VALUE"""),"")</f>
        <v/>
      </c>
      <c r="C69" s="63" t="str">
        <f>IFERROR(__xludf.DUMMYFUNCTION("""COMPUTED_VALUE"""),"")</f>
        <v/>
      </c>
      <c r="D69" s="63" t="str">
        <f>IFERROR(__xludf.DUMMYFUNCTION("""COMPUTED_VALUE"""),"")</f>
        <v/>
      </c>
      <c r="E69" s="51" t="str">
        <f>IFERROR(__xludf.DUMMYFUNCTION("""COMPUTED_VALUE"""),"")</f>
        <v/>
      </c>
      <c r="F69" s="82" t="str">
        <f>IFERROR(__xludf.DUMMYFUNCTION("""COMPUTED_VALUE"""),"")</f>
        <v/>
      </c>
      <c r="G69" s="52" t="str">
        <f>IFERROR(__xludf.DUMMYFUNCTION("""COMPUTED_VALUE"""),"")</f>
        <v/>
      </c>
      <c r="H69" s="53" t="str">
        <f>IFERROR(__xludf.DUMMYFUNCTION("""COMPUTED_VALUE"""),"")</f>
        <v/>
      </c>
      <c r="I69" s="53" t="str">
        <f>IFERROR(__xludf.DUMMYFUNCTION("""COMPUTED_VALUE"""),"")</f>
        <v/>
      </c>
      <c r="J69" s="53" t="str">
        <f>IFERROR(__xludf.DUMMYFUNCTION("""COMPUTED_VALUE"""),"")</f>
        <v/>
      </c>
      <c r="K69" s="54" t="str">
        <f>IFERROR(__xludf.DUMMYFUNCTION("""COMPUTED_VALUE"""),"")</f>
        <v/>
      </c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6"/>
      <c r="W69" s="56"/>
      <c r="X69" s="56"/>
      <c r="Y69" s="56"/>
      <c r="Z69" s="57"/>
      <c r="AA69" s="58"/>
      <c r="AB69" s="59"/>
    </row>
    <row r="70" ht="13.5" customHeight="1">
      <c r="A70" s="60" t="str">
        <f>IFERROR(__xludf.DUMMYFUNCTION("""COMPUTED_VALUE"""),"")</f>
        <v/>
      </c>
      <c r="B70" s="64" t="str">
        <f>IFERROR(__xludf.DUMMYFUNCTION("""COMPUTED_VALUE"""),"")</f>
        <v/>
      </c>
      <c r="C70" s="63" t="str">
        <f>IFERROR(__xludf.DUMMYFUNCTION("""COMPUTED_VALUE"""),"")</f>
        <v/>
      </c>
      <c r="D70" s="63" t="str">
        <f>IFERROR(__xludf.DUMMYFUNCTION("""COMPUTED_VALUE"""),"")</f>
        <v/>
      </c>
      <c r="E70" s="51" t="str">
        <f>IFERROR(__xludf.DUMMYFUNCTION("""COMPUTED_VALUE"""),"")</f>
        <v/>
      </c>
      <c r="F70" s="82" t="str">
        <f>IFERROR(__xludf.DUMMYFUNCTION("""COMPUTED_VALUE"""),"")</f>
        <v/>
      </c>
      <c r="G70" s="52" t="str">
        <f>IFERROR(__xludf.DUMMYFUNCTION("""COMPUTED_VALUE"""),"")</f>
        <v/>
      </c>
      <c r="H70" s="53" t="str">
        <f>IFERROR(__xludf.DUMMYFUNCTION("""COMPUTED_VALUE"""),"")</f>
        <v/>
      </c>
      <c r="I70" s="53" t="str">
        <f>IFERROR(__xludf.DUMMYFUNCTION("""COMPUTED_VALUE"""),"")</f>
        <v/>
      </c>
      <c r="J70" s="53" t="str">
        <f>IFERROR(__xludf.DUMMYFUNCTION("""COMPUTED_VALUE"""),"")</f>
        <v/>
      </c>
      <c r="K70" s="54" t="str">
        <f>IFERROR(__xludf.DUMMYFUNCTION("""COMPUTED_VALUE"""),"")</f>
        <v/>
      </c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6"/>
      <c r="W70" s="56"/>
      <c r="X70" s="56"/>
      <c r="Y70" s="56"/>
      <c r="Z70" s="57"/>
      <c r="AA70" s="58"/>
      <c r="AB70" s="59"/>
    </row>
    <row r="71" ht="13.5" customHeight="1">
      <c r="A71" s="60" t="str">
        <f>IFERROR(__xludf.DUMMYFUNCTION("""COMPUTED_VALUE"""),"")</f>
        <v/>
      </c>
      <c r="B71" s="64" t="str">
        <f>IFERROR(__xludf.DUMMYFUNCTION("""COMPUTED_VALUE"""),"")</f>
        <v/>
      </c>
      <c r="C71" s="63" t="str">
        <f>IFERROR(__xludf.DUMMYFUNCTION("""COMPUTED_VALUE"""),"")</f>
        <v/>
      </c>
      <c r="D71" s="63" t="str">
        <f>IFERROR(__xludf.DUMMYFUNCTION("""COMPUTED_VALUE"""),"")</f>
        <v/>
      </c>
      <c r="E71" s="51" t="str">
        <f>IFERROR(__xludf.DUMMYFUNCTION("""COMPUTED_VALUE"""),"")</f>
        <v/>
      </c>
      <c r="F71" s="82" t="str">
        <f>IFERROR(__xludf.DUMMYFUNCTION("""COMPUTED_VALUE"""),"")</f>
        <v/>
      </c>
      <c r="G71" s="52" t="str">
        <f>IFERROR(__xludf.DUMMYFUNCTION("""COMPUTED_VALUE"""),"")</f>
        <v/>
      </c>
      <c r="H71" s="53" t="str">
        <f>IFERROR(__xludf.DUMMYFUNCTION("""COMPUTED_VALUE"""),"")</f>
        <v/>
      </c>
      <c r="I71" s="53" t="str">
        <f>IFERROR(__xludf.DUMMYFUNCTION("""COMPUTED_VALUE"""),"")</f>
        <v/>
      </c>
      <c r="J71" s="53" t="str">
        <f>IFERROR(__xludf.DUMMYFUNCTION("""COMPUTED_VALUE"""),"")</f>
        <v/>
      </c>
      <c r="K71" s="54" t="str">
        <f>IFERROR(__xludf.DUMMYFUNCTION("""COMPUTED_VALUE"""),"")</f>
        <v/>
      </c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6"/>
      <c r="W71" s="56"/>
      <c r="X71" s="56"/>
      <c r="Y71" s="56"/>
      <c r="Z71" s="57"/>
      <c r="AA71" s="58"/>
      <c r="AB71" s="59"/>
    </row>
    <row r="72" ht="13.5" customHeight="1">
      <c r="A72" s="60" t="str">
        <f>IFERROR(__xludf.DUMMYFUNCTION("""COMPUTED_VALUE"""),"")</f>
        <v/>
      </c>
      <c r="B72" s="64" t="str">
        <f>IFERROR(__xludf.DUMMYFUNCTION("""COMPUTED_VALUE"""),"")</f>
        <v/>
      </c>
      <c r="C72" s="63" t="str">
        <f>IFERROR(__xludf.DUMMYFUNCTION("""COMPUTED_VALUE"""),"")</f>
        <v/>
      </c>
      <c r="D72" s="63" t="str">
        <f>IFERROR(__xludf.DUMMYFUNCTION("""COMPUTED_VALUE"""),"")</f>
        <v/>
      </c>
      <c r="E72" s="51" t="str">
        <f>IFERROR(__xludf.DUMMYFUNCTION("""COMPUTED_VALUE"""),"")</f>
        <v/>
      </c>
      <c r="F72" s="82" t="str">
        <f>IFERROR(__xludf.DUMMYFUNCTION("""COMPUTED_VALUE"""),"")</f>
        <v/>
      </c>
      <c r="G72" s="52" t="str">
        <f>IFERROR(__xludf.DUMMYFUNCTION("""COMPUTED_VALUE"""),"")</f>
        <v/>
      </c>
      <c r="H72" s="53" t="str">
        <f>IFERROR(__xludf.DUMMYFUNCTION("""COMPUTED_VALUE"""),"")</f>
        <v/>
      </c>
      <c r="I72" s="53" t="str">
        <f>IFERROR(__xludf.DUMMYFUNCTION("""COMPUTED_VALUE"""),"")</f>
        <v/>
      </c>
      <c r="J72" s="53" t="str">
        <f>IFERROR(__xludf.DUMMYFUNCTION("""COMPUTED_VALUE"""),"")</f>
        <v/>
      </c>
      <c r="K72" s="54" t="str">
        <f>IFERROR(__xludf.DUMMYFUNCTION("""COMPUTED_VALUE"""),"")</f>
        <v/>
      </c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6"/>
      <c r="W72" s="56"/>
      <c r="X72" s="56"/>
      <c r="Y72" s="56"/>
      <c r="Z72" s="57"/>
      <c r="AA72" s="58"/>
      <c r="AB72" s="59"/>
    </row>
    <row r="73" ht="13.5" customHeight="1">
      <c r="A73" s="60" t="str">
        <f>IFERROR(__xludf.DUMMYFUNCTION("""COMPUTED_VALUE"""),"")</f>
        <v/>
      </c>
      <c r="B73" s="64" t="str">
        <f>IFERROR(__xludf.DUMMYFUNCTION("""COMPUTED_VALUE"""),"")</f>
        <v/>
      </c>
      <c r="C73" s="63" t="str">
        <f>IFERROR(__xludf.DUMMYFUNCTION("""COMPUTED_VALUE"""),"")</f>
        <v/>
      </c>
      <c r="D73" s="63" t="str">
        <f>IFERROR(__xludf.DUMMYFUNCTION("""COMPUTED_VALUE"""),"")</f>
        <v/>
      </c>
      <c r="E73" s="51" t="str">
        <f>IFERROR(__xludf.DUMMYFUNCTION("""COMPUTED_VALUE"""),"")</f>
        <v/>
      </c>
      <c r="F73" s="82" t="str">
        <f>IFERROR(__xludf.DUMMYFUNCTION("""COMPUTED_VALUE"""),"")</f>
        <v/>
      </c>
      <c r="G73" s="52" t="str">
        <f>IFERROR(__xludf.DUMMYFUNCTION("""COMPUTED_VALUE"""),"")</f>
        <v/>
      </c>
      <c r="H73" s="53" t="str">
        <f>IFERROR(__xludf.DUMMYFUNCTION("""COMPUTED_VALUE"""),"")</f>
        <v/>
      </c>
      <c r="I73" s="53" t="str">
        <f>IFERROR(__xludf.DUMMYFUNCTION("""COMPUTED_VALUE"""),"")</f>
        <v/>
      </c>
      <c r="J73" s="53" t="str">
        <f>IFERROR(__xludf.DUMMYFUNCTION("""COMPUTED_VALUE"""),"")</f>
        <v/>
      </c>
      <c r="K73" s="54" t="str">
        <f>IFERROR(__xludf.DUMMYFUNCTION("""COMPUTED_VALUE"""),"")</f>
        <v/>
      </c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6"/>
      <c r="W73" s="56"/>
      <c r="X73" s="56"/>
      <c r="Y73" s="56"/>
      <c r="Z73" s="57"/>
      <c r="AA73" s="58"/>
      <c r="AB73" s="59"/>
    </row>
    <row r="74" ht="13.5" customHeight="1">
      <c r="A74" s="60" t="str">
        <f>IFERROR(__xludf.DUMMYFUNCTION("""COMPUTED_VALUE"""),"")</f>
        <v/>
      </c>
      <c r="B74" s="64" t="str">
        <f>IFERROR(__xludf.DUMMYFUNCTION("""COMPUTED_VALUE"""),"")</f>
        <v/>
      </c>
      <c r="C74" s="63" t="str">
        <f>IFERROR(__xludf.DUMMYFUNCTION("""COMPUTED_VALUE"""),"")</f>
        <v/>
      </c>
      <c r="D74" s="63" t="str">
        <f>IFERROR(__xludf.DUMMYFUNCTION("""COMPUTED_VALUE"""),"")</f>
        <v/>
      </c>
      <c r="E74" s="51" t="str">
        <f>IFERROR(__xludf.DUMMYFUNCTION("""COMPUTED_VALUE"""),"")</f>
        <v/>
      </c>
      <c r="F74" s="82" t="str">
        <f>IFERROR(__xludf.DUMMYFUNCTION("""COMPUTED_VALUE"""),"")</f>
        <v/>
      </c>
      <c r="G74" s="52" t="str">
        <f>IFERROR(__xludf.DUMMYFUNCTION("""COMPUTED_VALUE"""),"")</f>
        <v/>
      </c>
      <c r="H74" s="53" t="str">
        <f>IFERROR(__xludf.DUMMYFUNCTION("""COMPUTED_VALUE"""),"")</f>
        <v/>
      </c>
      <c r="I74" s="53" t="str">
        <f>IFERROR(__xludf.DUMMYFUNCTION("""COMPUTED_VALUE"""),"")</f>
        <v/>
      </c>
      <c r="J74" s="53" t="str">
        <f>IFERROR(__xludf.DUMMYFUNCTION("""COMPUTED_VALUE"""),"")</f>
        <v/>
      </c>
      <c r="K74" s="54" t="str">
        <f>IFERROR(__xludf.DUMMYFUNCTION("""COMPUTED_VALUE"""),"")</f>
        <v/>
      </c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6"/>
      <c r="W74" s="56"/>
      <c r="X74" s="56"/>
      <c r="Y74" s="56"/>
      <c r="Z74" s="57"/>
      <c r="AA74" s="58"/>
      <c r="AB74" s="59"/>
    </row>
    <row r="75" ht="13.5" customHeight="1">
      <c r="A75" s="60" t="str">
        <f>IFERROR(__xludf.DUMMYFUNCTION("""COMPUTED_VALUE"""),"")</f>
        <v/>
      </c>
      <c r="B75" s="64" t="str">
        <f>IFERROR(__xludf.DUMMYFUNCTION("""COMPUTED_VALUE"""),"")</f>
        <v/>
      </c>
      <c r="C75" s="63" t="str">
        <f>IFERROR(__xludf.DUMMYFUNCTION("""COMPUTED_VALUE"""),"")</f>
        <v/>
      </c>
      <c r="D75" s="63" t="str">
        <f>IFERROR(__xludf.DUMMYFUNCTION("""COMPUTED_VALUE"""),"")</f>
        <v/>
      </c>
      <c r="E75" s="51" t="str">
        <f>IFERROR(__xludf.DUMMYFUNCTION("""COMPUTED_VALUE"""),"")</f>
        <v/>
      </c>
      <c r="F75" s="82" t="str">
        <f>IFERROR(__xludf.DUMMYFUNCTION("""COMPUTED_VALUE"""),"")</f>
        <v/>
      </c>
      <c r="G75" s="52" t="str">
        <f>IFERROR(__xludf.DUMMYFUNCTION("""COMPUTED_VALUE"""),"")</f>
        <v/>
      </c>
      <c r="H75" s="53" t="str">
        <f>IFERROR(__xludf.DUMMYFUNCTION("""COMPUTED_VALUE"""),"")</f>
        <v/>
      </c>
      <c r="I75" s="53" t="str">
        <f>IFERROR(__xludf.DUMMYFUNCTION("""COMPUTED_VALUE"""),"")</f>
        <v/>
      </c>
      <c r="J75" s="53" t="str">
        <f>IFERROR(__xludf.DUMMYFUNCTION("""COMPUTED_VALUE"""),"")</f>
        <v/>
      </c>
      <c r="K75" s="54" t="str">
        <f>IFERROR(__xludf.DUMMYFUNCTION("""COMPUTED_VALUE"""),"")</f>
        <v/>
      </c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6"/>
      <c r="W75" s="56"/>
      <c r="X75" s="56"/>
      <c r="Y75" s="56"/>
      <c r="Z75" s="57"/>
      <c r="AA75" s="58"/>
      <c r="AB75" s="59"/>
    </row>
    <row r="76" ht="13.5" customHeight="1">
      <c r="A76" s="60" t="str">
        <f>IFERROR(__xludf.DUMMYFUNCTION("""COMPUTED_VALUE"""),"")</f>
        <v/>
      </c>
      <c r="B76" s="64" t="str">
        <f>IFERROR(__xludf.DUMMYFUNCTION("""COMPUTED_VALUE"""),"")</f>
        <v/>
      </c>
      <c r="C76" s="63" t="str">
        <f>IFERROR(__xludf.DUMMYFUNCTION("""COMPUTED_VALUE"""),"")</f>
        <v/>
      </c>
      <c r="D76" s="63" t="str">
        <f>IFERROR(__xludf.DUMMYFUNCTION("""COMPUTED_VALUE"""),"")</f>
        <v/>
      </c>
      <c r="E76" s="51" t="str">
        <f>IFERROR(__xludf.DUMMYFUNCTION("""COMPUTED_VALUE"""),"")</f>
        <v/>
      </c>
      <c r="F76" s="82" t="str">
        <f>IFERROR(__xludf.DUMMYFUNCTION("""COMPUTED_VALUE"""),"")</f>
        <v/>
      </c>
      <c r="G76" s="52" t="str">
        <f>IFERROR(__xludf.DUMMYFUNCTION("""COMPUTED_VALUE"""),"")</f>
        <v/>
      </c>
      <c r="H76" s="53" t="str">
        <f>IFERROR(__xludf.DUMMYFUNCTION("""COMPUTED_VALUE"""),"")</f>
        <v/>
      </c>
      <c r="I76" s="53" t="str">
        <f>IFERROR(__xludf.DUMMYFUNCTION("""COMPUTED_VALUE"""),"")</f>
        <v/>
      </c>
      <c r="J76" s="53" t="str">
        <f>IFERROR(__xludf.DUMMYFUNCTION("""COMPUTED_VALUE"""),"")</f>
        <v/>
      </c>
      <c r="K76" s="54" t="str">
        <f>IFERROR(__xludf.DUMMYFUNCTION("""COMPUTED_VALUE"""),"")</f>
        <v/>
      </c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6"/>
      <c r="W76" s="56"/>
      <c r="X76" s="56"/>
      <c r="Y76" s="56"/>
      <c r="Z76" s="57"/>
      <c r="AA76" s="58"/>
      <c r="AB76" s="59"/>
    </row>
    <row r="77" ht="13.5" customHeight="1">
      <c r="A77" s="60" t="str">
        <f>IFERROR(__xludf.DUMMYFUNCTION("""COMPUTED_VALUE"""),"")</f>
        <v/>
      </c>
      <c r="B77" s="64" t="str">
        <f>IFERROR(__xludf.DUMMYFUNCTION("""COMPUTED_VALUE"""),"")</f>
        <v/>
      </c>
      <c r="C77" s="63" t="str">
        <f>IFERROR(__xludf.DUMMYFUNCTION("""COMPUTED_VALUE"""),"")</f>
        <v/>
      </c>
      <c r="D77" s="63" t="str">
        <f>IFERROR(__xludf.DUMMYFUNCTION("""COMPUTED_VALUE"""),"")</f>
        <v/>
      </c>
      <c r="E77" s="51" t="str">
        <f>IFERROR(__xludf.DUMMYFUNCTION("""COMPUTED_VALUE"""),"")</f>
        <v/>
      </c>
      <c r="F77" s="82" t="str">
        <f>IFERROR(__xludf.DUMMYFUNCTION("""COMPUTED_VALUE"""),"")</f>
        <v/>
      </c>
      <c r="G77" s="52" t="str">
        <f>IFERROR(__xludf.DUMMYFUNCTION("""COMPUTED_VALUE"""),"")</f>
        <v/>
      </c>
      <c r="H77" s="53" t="str">
        <f>IFERROR(__xludf.DUMMYFUNCTION("""COMPUTED_VALUE"""),"")</f>
        <v/>
      </c>
      <c r="I77" s="53" t="str">
        <f>IFERROR(__xludf.DUMMYFUNCTION("""COMPUTED_VALUE"""),"")</f>
        <v/>
      </c>
      <c r="J77" s="53" t="str">
        <f>IFERROR(__xludf.DUMMYFUNCTION("""COMPUTED_VALUE"""),"")</f>
        <v/>
      </c>
      <c r="K77" s="54" t="str">
        <f>IFERROR(__xludf.DUMMYFUNCTION("""COMPUTED_VALUE"""),"")</f>
        <v/>
      </c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6"/>
      <c r="W77" s="56"/>
      <c r="X77" s="56"/>
      <c r="Y77" s="56"/>
      <c r="Z77" s="57"/>
      <c r="AA77" s="58"/>
      <c r="AB77" s="59"/>
    </row>
    <row r="78" ht="13.5" customHeight="1">
      <c r="A78" s="60" t="str">
        <f>IFERROR(__xludf.DUMMYFUNCTION("""COMPUTED_VALUE"""),"")</f>
        <v/>
      </c>
      <c r="B78" s="64" t="str">
        <f>IFERROR(__xludf.DUMMYFUNCTION("""COMPUTED_VALUE"""),"")</f>
        <v/>
      </c>
      <c r="C78" s="63" t="str">
        <f>IFERROR(__xludf.DUMMYFUNCTION("""COMPUTED_VALUE"""),"")</f>
        <v/>
      </c>
      <c r="D78" s="63" t="str">
        <f>IFERROR(__xludf.DUMMYFUNCTION("""COMPUTED_VALUE"""),"")</f>
        <v/>
      </c>
      <c r="E78" s="51" t="str">
        <f>IFERROR(__xludf.DUMMYFUNCTION("""COMPUTED_VALUE"""),"")</f>
        <v/>
      </c>
      <c r="F78" s="82" t="str">
        <f>IFERROR(__xludf.DUMMYFUNCTION("""COMPUTED_VALUE"""),"")</f>
        <v/>
      </c>
      <c r="G78" s="52" t="str">
        <f>IFERROR(__xludf.DUMMYFUNCTION("""COMPUTED_VALUE"""),"")</f>
        <v/>
      </c>
      <c r="H78" s="53" t="str">
        <f>IFERROR(__xludf.DUMMYFUNCTION("""COMPUTED_VALUE"""),"")</f>
        <v/>
      </c>
      <c r="I78" s="53" t="str">
        <f>IFERROR(__xludf.DUMMYFUNCTION("""COMPUTED_VALUE"""),"")</f>
        <v/>
      </c>
      <c r="J78" s="53" t="str">
        <f>IFERROR(__xludf.DUMMYFUNCTION("""COMPUTED_VALUE"""),"")</f>
        <v/>
      </c>
      <c r="K78" s="54" t="str">
        <f>IFERROR(__xludf.DUMMYFUNCTION("""COMPUTED_VALUE"""),"")</f>
        <v/>
      </c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6"/>
      <c r="W78" s="56"/>
      <c r="X78" s="56"/>
      <c r="Y78" s="56"/>
      <c r="Z78" s="57"/>
      <c r="AA78" s="58"/>
      <c r="AB78" s="59"/>
    </row>
    <row r="79" ht="13.5" customHeight="1">
      <c r="A79" s="60" t="str">
        <f>IFERROR(__xludf.DUMMYFUNCTION("""COMPUTED_VALUE"""),"")</f>
        <v/>
      </c>
      <c r="B79" s="64" t="str">
        <f>IFERROR(__xludf.DUMMYFUNCTION("""COMPUTED_VALUE"""),"")</f>
        <v/>
      </c>
      <c r="C79" s="63" t="str">
        <f>IFERROR(__xludf.DUMMYFUNCTION("""COMPUTED_VALUE"""),"")</f>
        <v/>
      </c>
      <c r="D79" s="63" t="str">
        <f>IFERROR(__xludf.DUMMYFUNCTION("""COMPUTED_VALUE"""),"")</f>
        <v/>
      </c>
      <c r="E79" s="51" t="str">
        <f>IFERROR(__xludf.DUMMYFUNCTION("""COMPUTED_VALUE"""),"")</f>
        <v/>
      </c>
      <c r="F79" s="82" t="str">
        <f>IFERROR(__xludf.DUMMYFUNCTION("""COMPUTED_VALUE"""),"")</f>
        <v/>
      </c>
      <c r="G79" s="52" t="str">
        <f>IFERROR(__xludf.DUMMYFUNCTION("""COMPUTED_VALUE"""),"")</f>
        <v/>
      </c>
      <c r="H79" s="53" t="str">
        <f>IFERROR(__xludf.DUMMYFUNCTION("""COMPUTED_VALUE"""),"")</f>
        <v/>
      </c>
      <c r="I79" s="53" t="str">
        <f>IFERROR(__xludf.DUMMYFUNCTION("""COMPUTED_VALUE"""),"")</f>
        <v/>
      </c>
      <c r="J79" s="53" t="str">
        <f>IFERROR(__xludf.DUMMYFUNCTION("""COMPUTED_VALUE"""),"")</f>
        <v/>
      </c>
      <c r="K79" s="54" t="str">
        <f>IFERROR(__xludf.DUMMYFUNCTION("""COMPUTED_VALUE"""),"")</f>
        <v/>
      </c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6"/>
      <c r="W79" s="56"/>
      <c r="X79" s="56"/>
      <c r="Y79" s="56"/>
      <c r="Z79" s="57"/>
      <c r="AA79" s="58"/>
      <c r="AB79" s="59"/>
    </row>
    <row r="80" ht="13.5" customHeight="1">
      <c r="A80" s="60" t="str">
        <f>IFERROR(__xludf.DUMMYFUNCTION("""COMPUTED_VALUE"""),"")</f>
        <v/>
      </c>
      <c r="B80" s="64" t="str">
        <f>IFERROR(__xludf.DUMMYFUNCTION("""COMPUTED_VALUE"""),"")</f>
        <v/>
      </c>
      <c r="C80" s="63" t="str">
        <f>IFERROR(__xludf.DUMMYFUNCTION("""COMPUTED_VALUE"""),"")</f>
        <v/>
      </c>
      <c r="D80" s="63" t="str">
        <f>IFERROR(__xludf.DUMMYFUNCTION("""COMPUTED_VALUE"""),"")</f>
        <v/>
      </c>
      <c r="E80" s="51" t="str">
        <f>IFERROR(__xludf.DUMMYFUNCTION("""COMPUTED_VALUE"""),"")</f>
        <v/>
      </c>
      <c r="F80" s="82" t="str">
        <f>IFERROR(__xludf.DUMMYFUNCTION("""COMPUTED_VALUE"""),"")</f>
        <v/>
      </c>
      <c r="G80" s="52" t="str">
        <f>IFERROR(__xludf.DUMMYFUNCTION("""COMPUTED_VALUE"""),"")</f>
        <v/>
      </c>
      <c r="H80" s="53" t="str">
        <f>IFERROR(__xludf.DUMMYFUNCTION("""COMPUTED_VALUE"""),"")</f>
        <v/>
      </c>
      <c r="I80" s="53" t="str">
        <f>IFERROR(__xludf.DUMMYFUNCTION("""COMPUTED_VALUE"""),"")</f>
        <v/>
      </c>
      <c r="J80" s="53" t="str">
        <f>IFERROR(__xludf.DUMMYFUNCTION("""COMPUTED_VALUE"""),"")</f>
        <v/>
      </c>
      <c r="K80" s="54" t="str">
        <f>IFERROR(__xludf.DUMMYFUNCTION("""COMPUTED_VALUE"""),"")</f>
        <v/>
      </c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6"/>
      <c r="W80" s="56"/>
      <c r="X80" s="56"/>
      <c r="Y80" s="56"/>
      <c r="Z80" s="57"/>
      <c r="AA80" s="58"/>
      <c r="AB80" s="59"/>
    </row>
    <row r="81" ht="13.5" customHeight="1">
      <c r="A81" s="60" t="str">
        <f>IFERROR(__xludf.DUMMYFUNCTION("""COMPUTED_VALUE"""),"")</f>
        <v/>
      </c>
      <c r="B81" s="64" t="str">
        <f>IFERROR(__xludf.DUMMYFUNCTION("""COMPUTED_VALUE"""),"")</f>
        <v/>
      </c>
      <c r="C81" s="63" t="str">
        <f>IFERROR(__xludf.DUMMYFUNCTION("""COMPUTED_VALUE"""),"")</f>
        <v/>
      </c>
      <c r="D81" s="63" t="str">
        <f>IFERROR(__xludf.DUMMYFUNCTION("""COMPUTED_VALUE"""),"")</f>
        <v/>
      </c>
      <c r="E81" s="51" t="str">
        <f>IFERROR(__xludf.DUMMYFUNCTION("""COMPUTED_VALUE"""),"")</f>
        <v/>
      </c>
      <c r="F81" s="82" t="str">
        <f>IFERROR(__xludf.DUMMYFUNCTION("""COMPUTED_VALUE"""),"")</f>
        <v/>
      </c>
      <c r="G81" s="52" t="str">
        <f>IFERROR(__xludf.DUMMYFUNCTION("""COMPUTED_VALUE"""),"")</f>
        <v/>
      </c>
      <c r="H81" s="53" t="str">
        <f>IFERROR(__xludf.DUMMYFUNCTION("""COMPUTED_VALUE"""),"")</f>
        <v/>
      </c>
      <c r="I81" s="53" t="str">
        <f>IFERROR(__xludf.DUMMYFUNCTION("""COMPUTED_VALUE"""),"")</f>
        <v/>
      </c>
      <c r="J81" s="53" t="str">
        <f>IFERROR(__xludf.DUMMYFUNCTION("""COMPUTED_VALUE"""),"")</f>
        <v/>
      </c>
      <c r="K81" s="54" t="str">
        <f>IFERROR(__xludf.DUMMYFUNCTION("""COMPUTED_VALUE"""),"")</f>
        <v/>
      </c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6"/>
      <c r="W81" s="56"/>
      <c r="X81" s="56"/>
      <c r="Y81" s="56"/>
      <c r="Z81" s="57"/>
      <c r="AA81" s="58"/>
      <c r="AB81" s="59"/>
    </row>
    <row r="82" ht="13.5" customHeight="1">
      <c r="A82" s="60" t="str">
        <f>IFERROR(__xludf.DUMMYFUNCTION("""COMPUTED_VALUE"""),"")</f>
        <v/>
      </c>
      <c r="B82" s="64" t="str">
        <f>IFERROR(__xludf.DUMMYFUNCTION("""COMPUTED_VALUE"""),"")</f>
        <v/>
      </c>
      <c r="C82" s="63" t="str">
        <f>IFERROR(__xludf.DUMMYFUNCTION("""COMPUTED_VALUE"""),"")</f>
        <v/>
      </c>
      <c r="D82" s="63" t="str">
        <f>IFERROR(__xludf.DUMMYFUNCTION("""COMPUTED_VALUE"""),"")</f>
        <v/>
      </c>
      <c r="E82" s="51" t="str">
        <f>IFERROR(__xludf.DUMMYFUNCTION("""COMPUTED_VALUE"""),"")</f>
        <v/>
      </c>
      <c r="F82" s="82" t="str">
        <f>IFERROR(__xludf.DUMMYFUNCTION("""COMPUTED_VALUE"""),"")</f>
        <v/>
      </c>
      <c r="G82" s="52" t="str">
        <f>IFERROR(__xludf.DUMMYFUNCTION("""COMPUTED_VALUE"""),"")</f>
        <v/>
      </c>
      <c r="H82" s="53" t="str">
        <f>IFERROR(__xludf.DUMMYFUNCTION("""COMPUTED_VALUE"""),"")</f>
        <v/>
      </c>
      <c r="I82" s="53" t="str">
        <f>IFERROR(__xludf.DUMMYFUNCTION("""COMPUTED_VALUE"""),"")</f>
        <v/>
      </c>
      <c r="J82" s="53" t="str">
        <f>IFERROR(__xludf.DUMMYFUNCTION("""COMPUTED_VALUE"""),"")</f>
        <v/>
      </c>
      <c r="K82" s="54" t="str">
        <f>IFERROR(__xludf.DUMMYFUNCTION("""COMPUTED_VALUE"""),"")</f>
        <v/>
      </c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6"/>
      <c r="W82" s="56"/>
      <c r="X82" s="56"/>
      <c r="Y82" s="56"/>
      <c r="Z82" s="57"/>
      <c r="AA82" s="58"/>
      <c r="AB82" s="59"/>
    </row>
    <row r="83" ht="13.5" customHeight="1">
      <c r="A83" s="60" t="str">
        <f>IFERROR(__xludf.DUMMYFUNCTION("""COMPUTED_VALUE"""),"")</f>
        <v/>
      </c>
      <c r="B83" s="64" t="str">
        <f>IFERROR(__xludf.DUMMYFUNCTION("""COMPUTED_VALUE"""),"")</f>
        <v/>
      </c>
      <c r="C83" s="63" t="str">
        <f>IFERROR(__xludf.DUMMYFUNCTION("""COMPUTED_VALUE"""),"")</f>
        <v/>
      </c>
      <c r="D83" s="63" t="str">
        <f>IFERROR(__xludf.DUMMYFUNCTION("""COMPUTED_VALUE"""),"")</f>
        <v/>
      </c>
      <c r="E83" s="51" t="str">
        <f>IFERROR(__xludf.DUMMYFUNCTION("""COMPUTED_VALUE"""),"")</f>
        <v/>
      </c>
      <c r="F83" s="82" t="str">
        <f>IFERROR(__xludf.DUMMYFUNCTION("""COMPUTED_VALUE"""),"")</f>
        <v/>
      </c>
      <c r="G83" s="52" t="str">
        <f>IFERROR(__xludf.DUMMYFUNCTION("""COMPUTED_VALUE"""),"")</f>
        <v/>
      </c>
      <c r="H83" s="53" t="str">
        <f>IFERROR(__xludf.DUMMYFUNCTION("""COMPUTED_VALUE"""),"")</f>
        <v/>
      </c>
      <c r="I83" s="53" t="str">
        <f>IFERROR(__xludf.DUMMYFUNCTION("""COMPUTED_VALUE"""),"")</f>
        <v/>
      </c>
      <c r="J83" s="53" t="str">
        <f>IFERROR(__xludf.DUMMYFUNCTION("""COMPUTED_VALUE"""),"")</f>
        <v/>
      </c>
      <c r="K83" s="54" t="str">
        <f>IFERROR(__xludf.DUMMYFUNCTION("""COMPUTED_VALUE"""),"")</f>
        <v/>
      </c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6"/>
      <c r="W83" s="56"/>
      <c r="X83" s="56"/>
      <c r="Y83" s="56"/>
      <c r="Z83" s="57"/>
      <c r="AA83" s="58"/>
      <c r="AB83" s="59"/>
    </row>
    <row r="84" ht="13.5" customHeight="1">
      <c r="A84" s="60" t="str">
        <f>IFERROR(__xludf.DUMMYFUNCTION("""COMPUTED_VALUE"""),"")</f>
        <v/>
      </c>
      <c r="B84" s="64" t="str">
        <f>IFERROR(__xludf.DUMMYFUNCTION("""COMPUTED_VALUE"""),"")</f>
        <v/>
      </c>
      <c r="C84" s="63" t="str">
        <f>IFERROR(__xludf.DUMMYFUNCTION("""COMPUTED_VALUE"""),"")</f>
        <v/>
      </c>
      <c r="D84" s="63" t="str">
        <f>IFERROR(__xludf.DUMMYFUNCTION("""COMPUTED_VALUE"""),"")</f>
        <v/>
      </c>
      <c r="E84" s="51" t="str">
        <f>IFERROR(__xludf.DUMMYFUNCTION("""COMPUTED_VALUE"""),"")</f>
        <v/>
      </c>
      <c r="F84" s="82" t="str">
        <f>IFERROR(__xludf.DUMMYFUNCTION("""COMPUTED_VALUE"""),"")</f>
        <v/>
      </c>
      <c r="G84" s="52" t="str">
        <f>IFERROR(__xludf.DUMMYFUNCTION("""COMPUTED_VALUE"""),"")</f>
        <v/>
      </c>
      <c r="H84" s="53" t="str">
        <f>IFERROR(__xludf.DUMMYFUNCTION("""COMPUTED_VALUE"""),"")</f>
        <v/>
      </c>
      <c r="I84" s="53" t="str">
        <f>IFERROR(__xludf.DUMMYFUNCTION("""COMPUTED_VALUE"""),"")</f>
        <v/>
      </c>
      <c r="J84" s="53" t="str">
        <f>IFERROR(__xludf.DUMMYFUNCTION("""COMPUTED_VALUE"""),"")</f>
        <v/>
      </c>
      <c r="K84" s="54" t="str">
        <f>IFERROR(__xludf.DUMMYFUNCTION("""COMPUTED_VALUE"""),"")</f>
        <v/>
      </c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6"/>
      <c r="W84" s="56"/>
      <c r="X84" s="56"/>
      <c r="Y84" s="56"/>
      <c r="Z84" s="57"/>
      <c r="AA84" s="58"/>
      <c r="AB84" s="59"/>
    </row>
    <row r="85" ht="13.5" customHeight="1">
      <c r="A85" s="60" t="str">
        <f>IFERROR(__xludf.DUMMYFUNCTION("""COMPUTED_VALUE"""),"")</f>
        <v/>
      </c>
      <c r="B85" s="64" t="str">
        <f>IFERROR(__xludf.DUMMYFUNCTION("""COMPUTED_VALUE"""),"")</f>
        <v/>
      </c>
      <c r="C85" s="63" t="str">
        <f>IFERROR(__xludf.DUMMYFUNCTION("""COMPUTED_VALUE"""),"")</f>
        <v/>
      </c>
      <c r="D85" s="63" t="str">
        <f>IFERROR(__xludf.DUMMYFUNCTION("""COMPUTED_VALUE"""),"")</f>
        <v/>
      </c>
      <c r="E85" s="51" t="str">
        <f>IFERROR(__xludf.DUMMYFUNCTION("""COMPUTED_VALUE"""),"")</f>
        <v/>
      </c>
      <c r="F85" s="82" t="str">
        <f>IFERROR(__xludf.DUMMYFUNCTION("""COMPUTED_VALUE"""),"")</f>
        <v/>
      </c>
      <c r="G85" s="52" t="str">
        <f>IFERROR(__xludf.DUMMYFUNCTION("""COMPUTED_VALUE"""),"")</f>
        <v/>
      </c>
      <c r="H85" s="53" t="str">
        <f>IFERROR(__xludf.DUMMYFUNCTION("""COMPUTED_VALUE"""),"")</f>
        <v/>
      </c>
      <c r="I85" s="53" t="str">
        <f>IFERROR(__xludf.DUMMYFUNCTION("""COMPUTED_VALUE"""),"")</f>
        <v/>
      </c>
      <c r="J85" s="53" t="str">
        <f>IFERROR(__xludf.DUMMYFUNCTION("""COMPUTED_VALUE"""),"")</f>
        <v/>
      </c>
      <c r="K85" s="54" t="str">
        <f>IFERROR(__xludf.DUMMYFUNCTION("""COMPUTED_VALUE"""),"")</f>
        <v/>
      </c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6"/>
      <c r="W85" s="56"/>
      <c r="X85" s="56"/>
      <c r="Y85" s="56"/>
      <c r="Z85" s="57"/>
      <c r="AA85" s="58"/>
      <c r="AB85" s="59"/>
    </row>
    <row r="86" ht="13.5" customHeight="1">
      <c r="A86" s="60" t="str">
        <f>IFERROR(__xludf.DUMMYFUNCTION("""COMPUTED_VALUE"""),"")</f>
        <v/>
      </c>
      <c r="B86" s="64" t="str">
        <f>IFERROR(__xludf.DUMMYFUNCTION("""COMPUTED_VALUE"""),"")</f>
        <v/>
      </c>
      <c r="C86" s="63" t="str">
        <f>IFERROR(__xludf.DUMMYFUNCTION("""COMPUTED_VALUE"""),"")</f>
        <v/>
      </c>
      <c r="D86" s="63" t="str">
        <f>IFERROR(__xludf.DUMMYFUNCTION("""COMPUTED_VALUE"""),"")</f>
        <v/>
      </c>
      <c r="E86" s="51" t="str">
        <f>IFERROR(__xludf.DUMMYFUNCTION("""COMPUTED_VALUE"""),"")</f>
        <v/>
      </c>
      <c r="F86" s="82" t="str">
        <f>IFERROR(__xludf.DUMMYFUNCTION("""COMPUTED_VALUE"""),"")</f>
        <v/>
      </c>
      <c r="G86" s="52" t="str">
        <f>IFERROR(__xludf.DUMMYFUNCTION("""COMPUTED_VALUE"""),"")</f>
        <v/>
      </c>
      <c r="H86" s="53" t="str">
        <f>IFERROR(__xludf.DUMMYFUNCTION("""COMPUTED_VALUE"""),"")</f>
        <v/>
      </c>
      <c r="I86" s="53" t="str">
        <f>IFERROR(__xludf.DUMMYFUNCTION("""COMPUTED_VALUE"""),"")</f>
        <v/>
      </c>
      <c r="J86" s="53" t="str">
        <f>IFERROR(__xludf.DUMMYFUNCTION("""COMPUTED_VALUE"""),"")</f>
        <v/>
      </c>
      <c r="K86" s="54" t="str">
        <f>IFERROR(__xludf.DUMMYFUNCTION("""COMPUTED_VALUE"""),"")</f>
        <v/>
      </c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6"/>
      <c r="W86" s="56"/>
      <c r="X86" s="56"/>
      <c r="Y86" s="56"/>
      <c r="Z86" s="57"/>
      <c r="AA86" s="58"/>
      <c r="AB86" s="59"/>
    </row>
    <row r="87" ht="13.5" customHeight="1">
      <c r="A87" s="60" t="str">
        <f>IFERROR(__xludf.DUMMYFUNCTION("""COMPUTED_VALUE"""),"")</f>
        <v/>
      </c>
      <c r="B87" s="64" t="str">
        <f>IFERROR(__xludf.DUMMYFUNCTION("""COMPUTED_VALUE"""),"")</f>
        <v/>
      </c>
      <c r="C87" s="63" t="str">
        <f>IFERROR(__xludf.DUMMYFUNCTION("""COMPUTED_VALUE"""),"")</f>
        <v/>
      </c>
      <c r="D87" s="63" t="str">
        <f>IFERROR(__xludf.DUMMYFUNCTION("""COMPUTED_VALUE"""),"")</f>
        <v/>
      </c>
      <c r="E87" s="51" t="str">
        <f>IFERROR(__xludf.DUMMYFUNCTION("""COMPUTED_VALUE"""),"")</f>
        <v/>
      </c>
      <c r="F87" s="82" t="str">
        <f>IFERROR(__xludf.DUMMYFUNCTION("""COMPUTED_VALUE"""),"")</f>
        <v/>
      </c>
      <c r="G87" s="52" t="str">
        <f>IFERROR(__xludf.DUMMYFUNCTION("""COMPUTED_VALUE"""),"")</f>
        <v/>
      </c>
      <c r="H87" s="53" t="str">
        <f>IFERROR(__xludf.DUMMYFUNCTION("""COMPUTED_VALUE"""),"")</f>
        <v/>
      </c>
      <c r="I87" s="53" t="str">
        <f>IFERROR(__xludf.DUMMYFUNCTION("""COMPUTED_VALUE"""),"")</f>
        <v/>
      </c>
      <c r="J87" s="53" t="str">
        <f>IFERROR(__xludf.DUMMYFUNCTION("""COMPUTED_VALUE"""),"")</f>
        <v/>
      </c>
      <c r="K87" s="54" t="str">
        <f>IFERROR(__xludf.DUMMYFUNCTION("""COMPUTED_VALUE"""),"")</f>
        <v/>
      </c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6"/>
      <c r="W87" s="56"/>
      <c r="X87" s="56"/>
      <c r="Y87" s="56"/>
      <c r="Z87" s="57"/>
      <c r="AA87" s="58"/>
      <c r="AB87" s="59"/>
    </row>
    <row r="88" ht="13.5" customHeight="1">
      <c r="A88" s="60" t="str">
        <f>IFERROR(__xludf.DUMMYFUNCTION("""COMPUTED_VALUE"""),"")</f>
        <v/>
      </c>
      <c r="B88" s="64" t="str">
        <f>IFERROR(__xludf.DUMMYFUNCTION("""COMPUTED_VALUE"""),"")</f>
        <v/>
      </c>
      <c r="C88" s="63" t="str">
        <f>IFERROR(__xludf.DUMMYFUNCTION("""COMPUTED_VALUE"""),"")</f>
        <v/>
      </c>
      <c r="D88" s="63" t="str">
        <f>IFERROR(__xludf.DUMMYFUNCTION("""COMPUTED_VALUE"""),"")</f>
        <v/>
      </c>
      <c r="E88" s="51" t="str">
        <f>IFERROR(__xludf.DUMMYFUNCTION("""COMPUTED_VALUE"""),"")</f>
        <v/>
      </c>
      <c r="F88" s="82" t="str">
        <f>IFERROR(__xludf.DUMMYFUNCTION("""COMPUTED_VALUE"""),"")</f>
        <v/>
      </c>
      <c r="G88" s="52" t="str">
        <f>IFERROR(__xludf.DUMMYFUNCTION("""COMPUTED_VALUE"""),"")</f>
        <v/>
      </c>
      <c r="H88" s="53" t="str">
        <f>IFERROR(__xludf.DUMMYFUNCTION("""COMPUTED_VALUE"""),"")</f>
        <v/>
      </c>
      <c r="I88" s="53" t="str">
        <f>IFERROR(__xludf.DUMMYFUNCTION("""COMPUTED_VALUE"""),"")</f>
        <v/>
      </c>
      <c r="J88" s="53" t="str">
        <f>IFERROR(__xludf.DUMMYFUNCTION("""COMPUTED_VALUE"""),"")</f>
        <v/>
      </c>
      <c r="K88" s="54" t="str">
        <f>IFERROR(__xludf.DUMMYFUNCTION("""COMPUTED_VALUE"""),"")</f>
        <v/>
      </c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6"/>
      <c r="W88" s="56"/>
      <c r="X88" s="56"/>
      <c r="Y88" s="56"/>
      <c r="Z88" s="57"/>
      <c r="AA88" s="58"/>
      <c r="AB88" s="59"/>
    </row>
    <row r="89" ht="13.5" customHeight="1">
      <c r="A89" s="60" t="str">
        <f>IFERROR(__xludf.DUMMYFUNCTION("""COMPUTED_VALUE"""),"")</f>
        <v/>
      </c>
      <c r="B89" s="64" t="str">
        <f>IFERROR(__xludf.DUMMYFUNCTION("""COMPUTED_VALUE"""),"")</f>
        <v/>
      </c>
      <c r="C89" s="63" t="str">
        <f>IFERROR(__xludf.DUMMYFUNCTION("""COMPUTED_VALUE"""),"")</f>
        <v/>
      </c>
      <c r="D89" s="63" t="str">
        <f>IFERROR(__xludf.DUMMYFUNCTION("""COMPUTED_VALUE"""),"")</f>
        <v/>
      </c>
      <c r="E89" s="51" t="str">
        <f>IFERROR(__xludf.DUMMYFUNCTION("""COMPUTED_VALUE"""),"")</f>
        <v/>
      </c>
      <c r="F89" s="82" t="str">
        <f>IFERROR(__xludf.DUMMYFUNCTION("""COMPUTED_VALUE"""),"")</f>
        <v/>
      </c>
      <c r="G89" s="52" t="str">
        <f>IFERROR(__xludf.DUMMYFUNCTION("""COMPUTED_VALUE"""),"")</f>
        <v/>
      </c>
      <c r="H89" s="53" t="str">
        <f>IFERROR(__xludf.DUMMYFUNCTION("""COMPUTED_VALUE"""),"")</f>
        <v/>
      </c>
      <c r="I89" s="53" t="str">
        <f>IFERROR(__xludf.DUMMYFUNCTION("""COMPUTED_VALUE"""),"")</f>
        <v/>
      </c>
      <c r="J89" s="53" t="str">
        <f>IFERROR(__xludf.DUMMYFUNCTION("""COMPUTED_VALUE"""),"")</f>
        <v/>
      </c>
      <c r="K89" s="54" t="str">
        <f>IFERROR(__xludf.DUMMYFUNCTION("""COMPUTED_VALUE"""),"")</f>
        <v/>
      </c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6"/>
      <c r="W89" s="56"/>
      <c r="X89" s="56"/>
      <c r="Y89" s="56"/>
      <c r="Z89" s="57"/>
      <c r="AA89" s="58"/>
      <c r="AB89" s="59"/>
    </row>
    <row r="90" ht="13.5" customHeight="1">
      <c r="A90" s="60" t="str">
        <f>IFERROR(__xludf.DUMMYFUNCTION("""COMPUTED_VALUE"""),"")</f>
        <v/>
      </c>
      <c r="B90" s="64" t="str">
        <f>IFERROR(__xludf.DUMMYFUNCTION("""COMPUTED_VALUE"""),"")</f>
        <v/>
      </c>
      <c r="C90" s="63" t="str">
        <f>IFERROR(__xludf.DUMMYFUNCTION("""COMPUTED_VALUE"""),"")</f>
        <v/>
      </c>
      <c r="D90" s="63" t="str">
        <f>IFERROR(__xludf.DUMMYFUNCTION("""COMPUTED_VALUE"""),"")</f>
        <v/>
      </c>
      <c r="E90" s="51" t="str">
        <f>IFERROR(__xludf.DUMMYFUNCTION("""COMPUTED_VALUE"""),"")</f>
        <v/>
      </c>
      <c r="F90" s="82" t="str">
        <f>IFERROR(__xludf.DUMMYFUNCTION("""COMPUTED_VALUE"""),"")</f>
        <v/>
      </c>
      <c r="G90" s="52" t="str">
        <f>IFERROR(__xludf.DUMMYFUNCTION("""COMPUTED_VALUE"""),"")</f>
        <v/>
      </c>
      <c r="H90" s="53" t="str">
        <f>IFERROR(__xludf.DUMMYFUNCTION("""COMPUTED_VALUE"""),"")</f>
        <v/>
      </c>
      <c r="I90" s="53" t="str">
        <f>IFERROR(__xludf.DUMMYFUNCTION("""COMPUTED_VALUE"""),"")</f>
        <v/>
      </c>
      <c r="J90" s="53" t="str">
        <f>IFERROR(__xludf.DUMMYFUNCTION("""COMPUTED_VALUE"""),"")</f>
        <v/>
      </c>
      <c r="K90" s="54" t="str">
        <f>IFERROR(__xludf.DUMMYFUNCTION("""COMPUTED_VALUE"""),"")</f>
        <v/>
      </c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6"/>
      <c r="W90" s="56"/>
      <c r="X90" s="56"/>
      <c r="Y90" s="56"/>
      <c r="Z90" s="57"/>
      <c r="AA90" s="58"/>
      <c r="AB90" s="59"/>
    </row>
    <row r="91" ht="13.5" customHeight="1">
      <c r="A91" s="60" t="str">
        <f>IFERROR(__xludf.DUMMYFUNCTION("""COMPUTED_VALUE"""),"")</f>
        <v/>
      </c>
      <c r="B91" s="64" t="str">
        <f>IFERROR(__xludf.DUMMYFUNCTION("""COMPUTED_VALUE"""),"")</f>
        <v/>
      </c>
      <c r="C91" s="63" t="str">
        <f>IFERROR(__xludf.DUMMYFUNCTION("""COMPUTED_VALUE"""),"")</f>
        <v/>
      </c>
      <c r="D91" s="63" t="str">
        <f>IFERROR(__xludf.DUMMYFUNCTION("""COMPUTED_VALUE"""),"")</f>
        <v/>
      </c>
      <c r="E91" s="51" t="str">
        <f>IFERROR(__xludf.DUMMYFUNCTION("""COMPUTED_VALUE"""),"")</f>
        <v/>
      </c>
      <c r="F91" s="82" t="str">
        <f>IFERROR(__xludf.DUMMYFUNCTION("""COMPUTED_VALUE"""),"")</f>
        <v/>
      </c>
      <c r="G91" s="52" t="str">
        <f>IFERROR(__xludf.DUMMYFUNCTION("""COMPUTED_VALUE"""),"")</f>
        <v/>
      </c>
      <c r="H91" s="53" t="str">
        <f>IFERROR(__xludf.DUMMYFUNCTION("""COMPUTED_VALUE"""),"")</f>
        <v/>
      </c>
      <c r="I91" s="53" t="str">
        <f>IFERROR(__xludf.DUMMYFUNCTION("""COMPUTED_VALUE"""),"")</f>
        <v/>
      </c>
      <c r="J91" s="53" t="str">
        <f>IFERROR(__xludf.DUMMYFUNCTION("""COMPUTED_VALUE"""),"")</f>
        <v/>
      </c>
      <c r="K91" s="54" t="str">
        <f>IFERROR(__xludf.DUMMYFUNCTION("""COMPUTED_VALUE"""),"")</f>
        <v/>
      </c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6"/>
      <c r="W91" s="56"/>
      <c r="X91" s="56"/>
      <c r="Y91" s="56"/>
      <c r="Z91" s="57"/>
      <c r="AA91" s="58"/>
      <c r="AB91" s="59"/>
    </row>
    <row r="92" ht="13.5" customHeight="1">
      <c r="A92" s="60" t="str">
        <f>IFERROR(__xludf.DUMMYFUNCTION("""COMPUTED_VALUE"""),"")</f>
        <v/>
      </c>
      <c r="B92" s="64" t="str">
        <f>IFERROR(__xludf.DUMMYFUNCTION("""COMPUTED_VALUE"""),"")</f>
        <v/>
      </c>
      <c r="C92" s="63" t="str">
        <f>IFERROR(__xludf.DUMMYFUNCTION("""COMPUTED_VALUE"""),"")</f>
        <v/>
      </c>
      <c r="D92" s="63" t="str">
        <f>IFERROR(__xludf.DUMMYFUNCTION("""COMPUTED_VALUE"""),"")</f>
        <v/>
      </c>
      <c r="E92" s="51" t="str">
        <f>IFERROR(__xludf.DUMMYFUNCTION("""COMPUTED_VALUE"""),"")</f>
        <v/>
      </c>
      <c r="F92" s="82" t="str">
        <f>IFERROR(__xludf.DUMMYFUNCTION("""COMPUTED_VALUE"""),"")</f>
        <v/>
      </c>
      <c r="G92" s="52" t="str">
        <f>IFERROR(__xludf.DUMMYFUNCTION("""COMPUTED_VALUE"""),"")</f>
        <v/>
      </c>
      <c r="H92" s="53" t="str">
        <f>IFERROR(__xludf.DUMMYFUNCTION("""COMPUTED_VALUE"""),"")</f>
        <v/>
      </c>
      <c r="I92" s="53" t="str">
        <f>IFERROR(__xludf.DUMMYFUNCTION("""COMPUTED_VALUE"""),"")</f>
        <v/>
      </c>
      <c r="J92" s="53" t="str">
        <f>IFERROR(__xludf.DUMMYFUNCTION("""COMPUTED_VALUE"""),"")</f>
        <v/>
      </c>
      <c r="K92" s="54" t="str">
        <f>IFERROR(__xludf.DUMMYFUNCTION("""COMPUTED_VALUE"""),"")</f>
        <v/>
      </c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6"/>
      <c r="W92" s="56"/>
      <c r="X92" s="56"/>
      <c r="Y92" s="56"/>
      <c r="Z92" s="57"/>
      <c r="AA92" s="58"/>
      <c r="AB92" s="59"/>
    </row>
    <row r="93" ht="13.5" customHeight="1">
      <c r="A93" s="60" t="str">
        <f>IFERROR(__xludf.DUMMYFUNCTION("""COMPUTED_VALUE"""),"")</f>
        <v/>
      </c>
      <c r="B93" s="64" t="str">
        <f>IFERROR(__xludf.DUMMYFUNCTION("""COMPUTED_VALUE"""),"")</f>
        <v/>
      </c>
      <c r="C93" s="63" t="str">
        <f>IFERROR(__xludf.DUMMYFUNCTION("""COMPUTED_VALUE"""),"")</f>
        <v/>
      </c>
      <c r="D93" s="63" t="str">
        <f>IFERROR(__xludf.DUMMYFUNCTION("""COMPUTED_VALUE"""),"")</f>
        <v/>
      </c>
      <c r="E93" s="51" t="str">
        <f>IFERROR(__xludf.DUMMYFUNCTION("""COMPUTED_VALUE"""),"")</f>
        <v/>
      </c>
      <c r="F93" s="82" t="str">
        <f>IFERROR(__xludf.DUMMYFUNCTION("""COMPUTED_VALUE"""),"")</f>
        <v/>
      </c>
      <c r="G93" s="52" t="str">
        <f>IFERROR(__xludf.DUMMYFUNCTION("""COMPUTED_VALUE"""),"")</f>
        <v/>
      </c>
      <c r="H93" s="53" t="str">
        <f>IFERROR(__xludf.DUMMYFUNCTION("""COMPUTED_VALUE"""),"")</f>
        <v/>
      </c>
      <c r="I93" s="53" t="str">
        <f>IFERROR(__xludf.DUMMYFUNCTION("""COMPUTED_VALUE"""),"")</f>
        <v/>
      </c>
      <c r="J93" s="53" t="str">
        <f>IFERROR(__xludf.DUMMYFUNCTION("""COMPUTED_VALUE"""),"")</f>
        <v/>
      </c>
      <c r="K93" s="54" t="str">
        <f>IFERROR(__xludf.DUMMYFUNCTION("""COMPUTED_VALUE"""),"")</f>
        <v/>
      </c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6"/>
      <c r="W93" s="56"/>
      <c r="X93" s="56"/>
      <c r="Y93" s="56"/>
      <c r="Z93" s="57"/>
      <c r="AA93" s="58"/>
      <c r="AB93" s="59"/>
    </row>
    <row r="94" ht="13.5" customHeight="1">
      <c r="A94" s="60" t="str">
        <f>IFERROR(__xludf.DUMMYFUNCTION("""COMPUTED_VALUE"""),"")</f>
        <v/>
      </c>
      <c r="B94" s="64" t="str">
        <f>IFERROR(__xludf.DUMMYFUNCTION("""COMPUTED_VALUE"""),"")</f>
        <v/>
      </c>
      <c r="C94" s="63" t="str">
        <f>IFERROR(__xludf.DUMMYFUNCTION("""COMPUTED_VALUE"""),"")</f>
        <v/>
      </c>
      <c r="D94" s="63" t="str">
        <f>IFERROR(__xludf.DUMMYFUNCTION("""COMPUTED_VALUE"""),"")</f>
        <v/>
      </c>
      <c r="E94" s="51" t="str">
        <f>IFERROR(__xludf.DUMMYFUNCTION("""COMPUTED_VALUE"""),"")</f>
        <v/>
      </c>
      <c r="F94" s="82" t="str">
        <f>IFERROR(__xludf.DUMMYFUNCTION("""COMPUTED_VALUE"""),"")</f>
        <v/>
      </c>
      <c r="G94" s="52" t="str">
        <f>IFERROR(__xludf.DUMMYFUNCTION("""COMPUTED_VALUE"""),"")</f>
        <v/>
      </c>
      <c r="H94" s="53" t="str">
        <f>IFERROR(__xludf.DUMMYFUNCTION("""COMPUTED_VALUE"""),"")</f>
        <v/>
      </c>
      <c r="I94" s="53" t="str">
        <f>IFERROR(__xludf.DUMMYFUNCTION("""COMPUTED_VALUE"""),"")</f>
        <v/>
      </c>
      <c r="J94" s="53" t="str">
        <f>IFERROR(__xludf.DUMMYFUNCTION("""COMPUTED_VALUE"""),"")</f>
        <v/>
      </c>
      <c r="K94" s="54" t="str">
        <f>IFERROR(__xludf.DUMMYFUNCTION("""COMPUTED_VALUE"""),"")</f>
        <v/>
      </c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6"/>
      <c r="W94" s="56"/>
      <c r="X94" s="56"/>
      <c r="Y94" s="56"/>
      <c r="Z94" s="57"/>
      <c r="AA94" s="58"/>
      <c r="AB94" s="59"/>
    </row>
    <row r="95" ht="13.5" customHeight="1">
      <c r="A95" s="60" t="str">
        <f>IFERROR(__xludf.DUMMYFUNCTION("""COMPUTED_VALUE"""),"")</f>
        <v/>
      </c>
      <c r="B95" s="64" t="str">
        <f>IFERROR(__xludf.DUMMYFUNCTION("""COMPUTED_VALUE"""),"")</f>
        <v/>
      </c>
      <c r="C95" s="63" t="str">
        <f>IFERROR(__xludf.DUMMYFUNCTION("""COMPUTED_VALUE"""),"")</f>
        <v/>
      </c>
      <c r="D95" s="63" t="str">
        <f>IFERROR(__xludf.DUMMYFUNCTION("""COMPUTED_VALUE"""),"")</f>
        <v/>
      </c>
      <c r="E95" s="51" t="str">
        <f>IFERROR(__xludf.DUMMYFUNCTION("""COMPUTED_VALUE"""),"")</f>
        <v/>
      </c>
      <c r="F95" s="82" t="str">
        <f>IFERROR(__xludf.DUMMYFUNCTION("""COMPUTED_VALUE"""),"")</f>
        <v/>
      </c>
      <c r="G95" s="52" t="str">
        <f>IFERROR(__xludf.DUMMYFUNCTION("""COMPUTED_VALUE"""),"")</f>
        <v/>
      </c>
      <c r="H95" s="53" t="str">
        <f>IFERROR(__xludf.DUMMYFUNCTION("""COMPUTED_VALUE"""),"")</f>
        <v/>
      </c>
      <c r="I95" s="53" t="str">
        <f>IFERROR(__xludf.DUMMYFUNCTION("""COMPUTED_VALUE"""),"")</f>
        <v/>
      </c>
      <c r="J95" s="53" t="str">
        <f>IFERROR(__xludf.DUMMYFUNCTION("""COMPUTED_VALUE"""),"")</f>
        <v/>
      </c>
      <c r="K95" s="54" t="str">
        <f>IFERROR(__xludf.DUMMYFUNCTION("""COMPUTED_VALUE"""),"")</f>
        <v/>
      </c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6"/>
      <c r="W95" s="56"/>
      <c r="X95" s="56"/>
      <c r="Y95" s="56"/>
      <c r="Z95" s="57"/>
      <c r="AA95" s="58"/>
      <c r="AB95" s="59"/>
    </row>
    <row r="96" ht="13.5" customHeight="1">
      <c r="A96" s="60" t="str">
        <f>IFERROR(__xludf.DUMMYFUNCTION("""COMPUTED_VALUE"""),"")</f>
        <v/>
      </c>
      <c r="B96" s="64" t="str">
        <f>IFERROR(__xludf.DUMMYFUNCTION("""COMPUTED_VALUE"""),"")</f>
        <v/>
      </c>
      <c r="C96" s="63" t="str">
        <f>IFERROR(__xludf.DUMMYFUNCTION("""COMPUTED_VALUE"""),"")</f>
        <v/>
      </c>
      <c r="D96" s="63" t="str">
        <f>IFERROR(__xludf.DUMMYFUNCTION("""COMPUTED_VALUE"""),"")</f>
        <v/>
      </c>
      <c r="E96" s="51" t="str">
        <f>IFERROR(__xludf.DUMMYFUNCTION("""COMPUTED_VALUE"""),"")</f>
        <v/>
      </c>
      <c r="F96" s="82" t="str">
        <f>IFERROR(__xludf.DUMMYFUNCTION("""COMPUTED_VALUE"""),"")</f>
        <v/>
      </c>
      <c r="G96" s="52" t="str">
        <f>IFERROR(__xludf.DUMMYFUNCTION("""COMPUTED_VALUE"""),"")</f>
        <v/>
      </c>
      <c r="H96" s="53" t="str">
        <f>IFERROR(__xludf.DUMMYFUNCTION("""COMPUTED_VALUE"""),"")</f>
        <v/>
      </c>
      <c r="I96" s="53" t="str">
        <f>IFERROR(__xludf.DUMMYFUNCTION("""COMPUTED_VALUE"""),"")</f>
        <v/>
      </c>
      <c r="J96" s="53" t="str">
        <f>IFERROR(__xludf.DUMMYFUNCTION("""COMPUTED_VALUE"""),"")</f>
        <v/>
      </c>
      <c r="K96" s="54" t="str">
        <f>IFERROR(__xludf.DUMMYFUNCTION("""COMPUTED_VALUE"""),"")</f>
        <v/>
      </c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6"/>
      <c r="W96" s="56"/>
      <c r="X96" s="56"/>
      <c r="Y96" s="56"/>
      <c r="Z96" s="57"/>
      <c r="AA96" s="58"/>
      <c r="AB96" s="59"/>
    </row>
    <row r="97" ht="13.5" customHeight="1">
      <c r="A97" s="60" t="str">
        <f>IFERROR(__xludf.DUMMYFUNCTION("""COMPUTED_VALUE"""),"")</f>
        <v/>
      </c>
      <c r="B97" s="64" t="str">
        <f>IFERROR(__xludf.DUMMYFUNCTION("""COMPUTED_VALUE"""),"")</f>
        <v/>
      </c>
      <c r="C97" s="63" t="str">
        <f>IFERROR(__xludf.DUMMYFUNCTION("""COMPUTED_VALUE"""),"")</f>
        <v/>
      </c>
      <c r="D97" s="63" t="str">
        <f>IFERROR(__xludf.DUMMYFUNCTION("""COMPUTED_VALUE"""),"")</f>
        <v/>
      </c>
      <c r="E97" s="51" t="str">
        <f>IFERROR(__xludf.DUMMYFUNCTION("""COMPUTED_VALUE"""),"")</f>
        <v/>
      </c>
      <c r="F97" s="82" t="str">
        <f>IFERROR(__xludf.DUMMYFUNCTION("""COMPUTED_VALUE"""),"")</f>
        <v/>
      </c>
      <c r="G97" s="52" t="str">
        <f>IFERROR(__xludf.DUMMYFUNCTION("""COMPUTED_VALUE"""),"")</f>
        <v/>
      </c>
      <c r="H97" s="53" t="str">
        <f>IFERROR(__xludf.DUMMYFUNCTION("""COMPUTED_VALUE"""),"")</f>
        <v/>
      </c>
      <c r="I97" s="53" t="str">
        <f>IFERROR(__xludf.DUMMYFUNCTION("""COMPUTED_VALUE"""),"")</f>
        <v/>
      </c>
      <c r="J97" s="53" t="str">
        <f>IFERROR(__xludf.DUMMYFUNCTION("""COMPUTED_VALUE"""),"")</f>
        <v/>
      </c>
      <c r="K97" s="54" t="str">
        <f>IFERROR(__xludf.DUMMYFUNCTION("""COMPUTED_VALUE"""),"")</f>
        <v/>
      </c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6"/>
      <c r="W97" s="56"/>
      <c r="X97" s="56"/>
      <c r="Y97" s="56"/>
      <c r="Z97" s="57"/>
      <c r="AA97" s="58"/>
      <c r="AB97" s="59"/>
    </row>
    <row r="98" ht="13.5" customHeight="1">
      <c r="A98" s="60" t="str">
        <f>IFERROR(__xludf.DUMMYFUNCTION("""COMPUTED_VALUE"""),"")</f>
        <v/>
      </c>
      <c r="B98" s="64" t="str">
        <f>IFERROR(__xludf.DUMMYFUNCTION("""COMPUTED_VALUE"""),"")</f>
        <v/>
      </c>
      <c r="C98" s="63" t="str">
        <f>IFERROR(__xludf.DUMMYFUNCTION("""COMPUTED_VALUE"""),"")</f>
        <v/>
      </c>
      <c r="D98" s="63" t="str">
        <f>IFERROR(__xludf.DUMMYFUNCTION("""COMPUTED_VALUE"""),"")</f>
        <v/>
      </c>
      <c r="E98" s="51" t="str">
        <f>IFERROR(__xludf.DUMMYFUNCTION("""COMPUTED_VALUE"""),"")</f>
        <v/>
      </c>
      <c r="F98" s="82" t="str">
        <f>IFERROR(__xludf.DUMMYFUNCTION("""COMPUTED_VALUE"""),"")</f>
        <v/>
      </c>
      <c r="G98" s="52" t="str">
        <f>IFERROR(__xludf.DUMMYFUNCTION("""COMPUTED_VALUE"""),"")</f>
        <v/>
      </c>
      <c r="H98" s="53" t="str">
        <f>IFERROR(__xludf.DUMMYFUNCTION("""COMPUTED_VALUE"""),"")</f>
        <v/>
      </c>
      <c r="I98" s="53" t="str">
        <f>IFERROR(__xludf.DUMMYFUNCTION("""COMPUTED_VALUE"""),"")</f>
        <v/>
      </c>
      <c r="J98" s="53" t="str">
        <f>IFERROR(__xludf.DUMMYFUNCTION("""COMPUTED_VALUE"""),"")</f>
        <v/>
      </c>
      <c r="K98" s="54" t="str">
        <f>IFERROR(__xludf.DUMMYFUNCTION("""COMPUTED_VALUE"""),"")</f>
        <v/>
      </c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6"/>
      <c r="W98" s="56"/>
      <c r="X98" s="56"/>
      <c r="Y98" s="56"/>
      <c r="Z98" s="57"/>
      <c r="AA98" s="58"/>
      <c r="AB98" s="59"/>
    </row>
    <row r="99" ht="13.5" customHeight="1">
      <c r="A99" s="60" t="str">
        <f>IFERROR(__xludf.DUMMYFUNCTION("""COMPUTED_VALUE"""),"")</f>
        <v/>
      </c>
      <c r="B99" s="64" t="str">
        <f>IFERROR(__xludf.DUMMYFUNCTION("""COMPUTED_VALUE"""),"")</f>
        <v/>
      </c>
      <c r="C99" s="63" t="str">
        <f>IFERROR(__xludf.DUMMYFUNCTION("""COMPUTED_VALUE"""),"")</f>
        <v/>
      </c>
      <c r="D99" s="63" t="str">
        <f>IFERROR(__xludf.DUMMYFUNCTION("""COMPUTED_VALUE"""),"")</f>
        <v/>
      </c>
      <c r="E99" s="51" t="str">
        <f>IFERROR(__xludf.DUMMYFUNCTION("""COMPUTED_VALUE"""),"")</f>
        <v/>
      </c>
      <c r="F99" s="82" t="str">
        <f>IFERROR(__xludf.DUMMYFUNCTION("""COMPUTED_VALUE"""),"")</f>
        <v/>
      </c>
      <c r="G99" s="52" t="str">
        <f>IFERROR(__xludf.DUMMYFUNCTION("""COMPUTED_VALUE"""),"")</f>
        <v/>
      </c>
      <c r="H99" s="53" t="str">
        <f>IFERROR(__xludf.DUMMYFUNCTION("""COMPUTED_VALUE"""),"")</f>
        <v/>
      </c>
      <c r="I99" s="53" t="str">
        <f>IFERROR(__xludf.DUMMYFUNCTION("""COMPUTED_VALUE"""),"")</f>
        <v/>
      </c>
      <c r="J99" s="53" t="str">
        <f>IFERROR(__xludf.DUMMYFUNCTION("""COMPUTED_VALUE"""),"")</f>
        <v/>
      </c>
      <c r="K99" s="54" t="str">
        <f>IFERROR(__xludf.DUMMYFUNCTION("""COMPUTED_VALUE"""),"")</f>
        <v/>
      </c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6"/>
      <c r="W99" s="56"/>
      <c r="X99" s="56"/>
      <c r="Y99" s="56"/>
      <c r="Z99" s="57"/>
      <c r="AA99" s="58"/>
      <c r="AB99" s="59"/>
    </row>
    <row r="100" ht="13.5" customHeight="1">
      <c r="A100" s="60" t="str">
        <f>IFERROR(__xludf.DUMMYFUNCTION("""COMPUTED_VALUE"""),"")</f>
        <v/>
      </c>
      <c r="B100" s="64" t="str">
        <f>IFERROR(__xludf.DUMMYFUNCTION("""COMPUTED_VALUE"""),"")</f>
        <v/>
      </c>
      <c r="C100" s="63" t="str">
        <f>IFERROR(__xludf.DUMMYFUNCTION("""COMPUTED_VALUE"""),"")</f>
        <v/>
      </c>
      <c r="D100" s="63" t="str">
        <f>IFERROR(__xludf.DUMMYFUNCTION("""COMPUTED_VALUE"""),"")</f>
        <v/>
      </c>
      <c r="E100" s="51" t="str">
        <f>IFERROR(__xludf.DUMMYFUNCTION("""COMPUTED_VALUE"""),"")</f>
        <v/>
      </c>
      <c r="F100" s="82" t="str">
        <f>IFERROR(__xludf.DUMMYFUNCTION("""COMPUTED_VALUE"""),"")</f>
        <v/>
      </c>
      <c r="G100" s="52" t="str">
        <f>IFERROR(__xludf.DUMMYFUNCTION("""COMPUTED_VALUE"""),"")</f>
        <v/>
      </c>
      <c r="H100" s="53" t="str">
        <f>IFERROR(__xludf.DUMMYFUNCTION("""COMPUTED_VALUE"""),"")</f>
        <v/>
      </c>
      <c r="I100" s="53" t="str">
        <f>IFERROR(__xludf.DUMMYFUNCTION("""COMPUTED_VALUE"""),"")</f>
        <v/>
      </c>
      <c r="J100" s="53" t="str">
        <f>IFERROR(__xludf.DUMMYFUNCTION("""COMPUTED_VALUE"""),"")</f>
        <v/>
      </c>
      <c r="K100" s="54" t="str">
        <f>IFERROR(__xludf.DUMMYFUNCTION("""COMPUTED_VALUE"""),"")</f>
        <v/>
      </c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6"/>
      <c r="W100" s="56"/>
      <c r="X100" s="56"/>
      <c r="Y100" s="56"/>
      <c r="Z100" s="57"/>
      <c r="AA100" s="58"/>
      <c r="AB100" s="59"/>
    </row>
    <row r="101" ht="13.5" customHeight="1">
      <c r="A101" s="60" t="str">
        <f>IFERROR(__xludf.DUMMYFUNCTION("""COMPUTED_VALUE"""),"")</f>
        <v/>
      </c>
      <c r="B101" s="64" t="str">
        <f>IFERROR(__xludf.DUMMYFUNCTION("""COMPUTED_VALUE"""),"")</f>
        <v/>
      </c>
      <c r="C101" s="63" t="str">
        <f>IFERROR(__xludf.DUMMYFUNCTION("""COMPUTED_VALUE"""),"")</f>
        <v/>
      </c>
      <c r="D101" s="63" t="str">
        <f>IFERROR(__xludf.DUMMYFUNCTION("""COMPUTED_VALUE"""),"")</f>
        <v/>
      </c>
      <c r="E101" s="51" t="str">
        <f>IFERROR(__xludf.DUMMYFUNCTION("""COMPUTED_VALUE"""),"")</f>
        <v/>
      </c>
      <c r="F101" s="82" t="str">
        <f>IFERROR(__xludf.DUMMYFUNCTION("""COMPUTED_VALUE"""),"")</f>
        <v/>
      </c>
      <c r="G101" s="52" t="str">
        <f>IFERROR(__xludf.DUMMYFUNCTION("""COMPUTED_VALUE"""),"")</f>
        <v/>
      </c>
      <c r="H101" s="53" t="str">
        <f>IFERROR(__xludf.DUMMYFUNCTION("""COMPUTED_VALUE"""),"")</f>
        <v/>
      </c>
      <c r="I101" s="53" t="str">
        <f>IFERROR(__xludf.DUMMYFUNCTION("""COMPUTED_VALUE"""),"")</f>
        <v/>
      </c>
      <c r="J101" s="53" t="str">
        <f>IFERROR(__xludf.DUMMYFUNCTION("""COMPUTED_VALUE"""),"")</f>
        <v/>
      </c>
      <c r="K101" s="54" t="str">
        <f>IFERROR(__xludf.DUMMYFUNCTION("""COMPUTED_VALUE"""),"")</f>
        <v/>
      </c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6"/>
      <c r="W101" s="56"/>
      <c r="X101" s="56"/>
      <c r="Y101" s="56"/>
      <c r="Z101" s="57"/>
      <c r="AA101" s="58"/>
      <c r="AB101" s="59"/>
    </row>
    <row r="102" ht="13.5" customHeight="1">
      <c r="A102" s="60" t="str">
        <f>IFERROR(__xludf.DUMMYFUNCTION("""COMPUTED_VALUE"""),"")</f>
        <v/>
      </c>
      <c r="B102" s="64" t="str">
        <f>IFERROR(__xludf.DUMMYFUNCTION("""COMPUTED_VALUE"""),"")</f>
        <v/>
      </c>
      <c r="C102" s="63" t="str">
        <f>IFERROR(__xludf.DUMMYFUNCTION("""COMPUTED_VALUE"""),"")</f>
        <v/>
      </c>
      <c r="D102" s="63" t="str">
        <f>IFERROR(__xludf.DUMMYFUNCTION("""COMPUTED_VALUE"""),"")</f>
        <v/>
      </c>
      <c r="E102" s="51" t="str">
        <f>IFERROR(__xludf.DUMMYFUNCTION("""COMPUTED_VALUE"""),"")</f>
        <v/>
      </c>
      <c r="F102" s="82" t="str">
        <f>IFERROR(__xludf.DUMMYFUNCTION("""COMPUTED_VALUE"""),"")</f>
        <v/>
      </c>
      <c r="G102" s="52" t="str">
        <f>IFERROR(__xludf.DUMMYFUNCTION("""COMPUTED_VALUE"""),"")</f>
        <v/>
      </c>
      <c r="H102" s="53" t="str">
        <f>IFERROR(__xludf.DUMMYFUNCTION("""COMPUTED_VALUE"""),"")</f>
        <v/>
      </c>
      <c r="I102" s="53" t="str">
        <f>IFERROR(__xludf.DUMMYFUNCTION("""COMPUTED_VALUE"""),"")</f>
        <v/>
      </c>
      <c r="J102" s="53" t="str">
        <f>IFERROR(__xludf.DUMMYFUNCTION("""COMPUTED_VALUE"""),"")</f>
        <v/>
      </c>
      <c r="K102" s="54" t="str">
        <f>IFERROR(__xludf.DUMMYFUNCTION("""COMPUTED_VALUE"""),"")</f>
        <v/>
      </c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6"/>
      <c r="W102" s="56"/>
      <c r="X102" s="56"/>
      <c r="Y102" s="56"/>
      <c r="Z102" s="57"/>
      <c r="AA102" s="58"/>
      <c r="AB102" s="59"/>
    </row>
    <row r="103" ht="13.5" customHeight="1">
      <c r="A103" s="60" t="str">
        <f>IFERROR(__xludf.DUMMYFUNCTION("""COMPUTED_VALUE"""),"")</f>
        <v/>
      </c>
      <c r="B103" s="64" t="str">
        <f>IFERROR(__xludf.DUMMYFUNCTION("""COMPUTED_VALUE"""),"")</f>
        <v/>
      </c>
      <c r="C103" s="63" t="str">
        <f>IFERROR(__xludf.DUMMYFUNCTION("""COMPUTED_VALUE"""),"")</f>
        <v/>
      </c>
      <c r="D103" s="63" t="str">
        <f>IFERROR(__xludf.DUMMYFUNCTION("""COMPUTED_VALUE"""),"")</f>
        <v/>
      </c>
      <c r="E103" s="51" t="str">
        <f>IFERROR(__xludf.DUMMYFUNCTION("""COMPUTED_VALUE"""),"")</f>
        <v/>
      </c>
      <c r="F103" s="82" t="str">
        <f>IFERROR(__xludf.DUMMYFUNCTION("""COMPUTED_VALUE"""),"")</f>
        <v/>
      </c>
      <c r="G103" s="52" t="str">
        <f>IFERROR(__xludf.DUMMYFUNCTION("""COMPUTED_VALUE"""),"")</f>
        <v/>
      </c>
      <c r="H103" s="53" t="str">
        <f>IFERROR(__xludf.DUMMYFUNCTION("""COMPUTED_VALUE"""),"")</f>
        <v/>
      </c>
      <c r="I103" s="53" t="str">
        <f>IFERROR(__xludf.DUMMYFUNCTION("""COMPUTED_VALUE"""),"")</f>
        <v/>
      </c>
      <c r="J103" s="53" t="str">
        <f>IFERROR(__xludf.DUMMYFUNCTION("""COMPUTED_VALUE"""),"")</f>
        <v/>
      </c>
      <c r="K103" s="54" t="str">
        <f>IFERROR(__xludf.DUMMYFUNCTION("""COMPUTED_VALUE"""),"")</f>
        <v/>
      </c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6"/>
      <c r="W103" s="56"/>
      <c r="X103" s="56"/>
      <c r="Y103" s="56"/>
      <c r="Z103" s="57"/>
      <c r="AA103" s="58"/>
      <c r="AB103" s="59"/>
    </row>
    <row r="104" ht="13.5" customHeight="1">
      <c r="A104" s="60" t="str">
        <f>IFERROR(__xludf.DUMMYFUNCTION("""COMPUTED_VALUE"""),"")</f>
        <v/>
      </c>
      <c r="B104" s="64" t="str">
        <f>IFERROR(__xludf.DUMMYFUNCTION("""COMPUTED_VALUE"""),"")</f>
        <v/>
      </c>
      <c r="C104" s="63" t="str">
        <f>IFERROR(__xludf.DUMMYFUNCTION("""COMPUTED_VALUE"""),"")</f>
        <v/>
      </c>
      <c r="D104" s="63" t="str">
        <f>IFERROR(__xludf.DUMMYFUNCTION("""COMPUTED_VALUE"""),"")</f>
        <v/>
      </c>
      <c r="E104" s="51" t="str">
        <f>IFERROR(__xludf.DUMMYFUNCTION("""COMPUTED_VALUE"""),"")</f>
        <v/>
      </c>
      <c r="F104" s="82" t="str">
        <f>IFERROR(__xludf.DUMMYFUNCTION("""COMPUTED_VALUE"""),"")</f>
        <v/>
      </c>
      <c r="G104" s="52" t="str">
        <f>IFERROR(__xludf.DUMMYFUNCTION("""COMPUTED_VALUE"""),"")</f>
        <v/>
      </c>
      <c r="H104" s="53" t="str">
        <f>IFERROR(__xludf.DUMMYFUNCTION("""COMPUTED_VALUE"""),"")</f>
        <v/>
      </c>
      <c r="I104" s="53" t="str">
        <f>IFERROR(__xludf.DUMMYFUNCTION("""COMPUTED_VALUE"""),"")</f>
        <v/>
      </c>
      <c r="J104" s="53" t="str">
        <f>IFERROR(__xludf.DUMMYFUNCTION("""COMPUTED_VALUE"""),"")</f>
        <v/>
      </c>
      <c r="K104" s="54" t="str">
        <f>IFERROR(__xludf.DUMMYFUNCTION("""COMPUTED_VALUE"""),"")</f>
        <v/>
      </c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6"/>
      <c r="W104" s="56"/>
      <c r="X104" s="56"/>
      <c r="Y104" s="56"/>
      <c r="Z104" s="57"/>
      <c r="AA104" s="58"/>
      <c r="AB104" s="59"/>
    </row>
    <row r="105" ht="13.5" customHeight="1">
      <c r="A105" s="60" t="str">
        <f>IFERROR(__xludf.DUMMYFUNCTION("""COMPUTED_VALUE"""),"")</f>
        <v/>
      </c>
      <c r="B105" s="64" t="str">
        <f>IFERROR(__xludf.DUMMYFUNCTION("""COMPUTED_VALUE"""),"")</f>
        <v/>
      </c>
      <c r="C105" s="63" t="str">
        <f>IFERROR(__xludf.DUMMYFUNCTION("""COMPUTED_VALUE"""),"")</f>
        <v/>
      </c>
      <c r="D105" s="63" t="str">
        <f>IFERROR(__xludf.DUMMYFUNCTION("""COMPUTED_VALUE"""),"")</f>
        <v/>
      </c>
      <c r="E105" s="51" t="str">
        <f>IFERROR(__xludf.DUMMYFUNCTION("""COMPUTED_VALUE"""),"")</f>
        <v/>
      </c>
      <c r="F105" s="82" t="str">
        <f>IFERROR(__xludf.DUMMYFUNCTION("""COMPUTED_VALUE"""),"")</f>
        <v/>
      </c>
      <c r="G105" s="52" t="str">
        <f>IFERROR(__xludf.DUMMYFUNCTION("""COMPUTED_VALUE"""),"")</f>
        <v/>
      </c>
      <c r="H105" s="53" t="str">
        <f>IFERROR(__xludf.DUMMYFUNCTION("""COMPUTED_VALUE"""),"")</f>
        <v/>
      </c>
      <c r="I105" s="53" t="str">
        <f>IFERROR(__xludf.DUMMYFUNCTION("""COMPUTED_VALUE"""),"")</f>
        <v/>
      </c>
      <c r="J105" s="53" t="str">
        <f>IFERROR(__xludf.DUMMYFUNCTION("""COMPUTED_VALUE"""),"")</f>
        <v/>
      </c>
      <c r="K105" s="54" t="str">
        <f>IFERROR(__xludf.DUMMYFUNCTION("""COMPUTED_VALUE"""),"")</f>
        <v/>
      </c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6"/>
      <c r="W105" s="56"/>
      <c r="X105" s="56"/>
      <c r="Y105" s="56"/>
      <c r="Z105" s="57"/>
      <c r="AA105" s="58"/>
      <c r="AB105" s="59"/>
    </row>
    <row r="106" ht="13.5" customHeight="1">
      <c r="A106" s="60" t="str">
        <f>IFERROR(__xludf.DUMMYFUNCTION("""COMPUTED_VALUE"""),"")</f>
        <v/>
      </c>
      <c r="B106" s="64" t="str">
        <f>IFERROR(__xludf.DUMMYFUNCTION("""COMPUTED_VALUE"""),"")</f>
        <v/>
      </c>
      <c r="C106" s="63" t="str">
        <f>IFERROR(__xludf.DUMMYFUNCTION("""COMPUTED_VALUE"""),"")</f>
        <v/>
      </c>
      <c r="D106" s="63" t="str">
        <f>IFERROR(__xludf.DUMMYFUNCTION("""COMPUTED_VALUE"""),"")</f>
        <v/>
      </c>
      <c r="E106" s="51" t="str">
        <f>IFERROR(__xludf.DUMMYFUNCTION("""COMPUTED_VALUE"""),"")</f>
        <v/>
      </c>
      <c r="F106" s="82" t="str">
        <f>IFERROR(__xludf.DUMMYFUNCTION("""COMPUTED_VALUE"""),"")</f>
        <v/>
      </c>
      <c r="G106" s="52" t="str">
        <f>IFERROR(__xludf.DUMMYFUNCTION("""COMPUTED_VALUE"""),"")</f>
        <v/>
      </c>
      <c r="H106" s="53" t="str">
        <f>IFERROR(__xludf.DUMMYFUNCTION("""COMPUTED_VALUE"""),"")</f>
        <v/>
      </c>
      <c r="I106" s="53" t="str">
        <f>IFERROR(__xludf.DUMMYFUNCTION("""COMPUTED_VALUE"""),"")</f>
        <v/>
      </c>
      <c r="J106" s="53" t="str">
        <f>IFERROR(__xludf.DUMMYFUNCTION("""COMPUTED_VALUE"""),"")</f>
        <v/>
      </c>
      <c r="K106" s="54" t="str">
        <f>IFERROR(__xludf.DUMMYFUNCTION("""COMPUTED_VALUE"""),"")</f>
        <v/>
      </c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6"/>
      <c r="W106" s="56"/>
      <c r="X106" s="56"/>
      <c r="Y106" s="56"/>
      <c r="Z106" s="57"/>
      <c r="AA106" s="58"/>
      <c r="AB106" s="59"/>
    </row>
    <row r="107" ht="13.5" customHeight="1">
      <c r="A107" s="60" t="str">
        <f>IFERROR(__xludf.DUMMYFUNCTION("""COMPUTED_VALUE"""),"")</f>
        <v/>
      </c>
      <c r="B107" s="64" t="str">
        <f>IFERROR(__xludf.DUMMYFUNCTION("""COMPUTED_VALUE"""),"")</f>
        <v/>
      </c>
      <c r="C107" s="63" t="str">
        <f>IFERROR(__xludf.DUMMYFUNCTION("""COMPUTED_VALUE"""),"")</f>
        <v/>
      </c>
      <c r="D107" s="63" t="str">
        <f>IFERROR(__xludf.DUMMYFUNCTION("""COMPUTED_VALUE"""),"")</f>
        <v/>
      </c>
      <c r="E107" s="51" t="str">
        <f>IFERROR(__xludf.DUMMYFUNCTION("""COMPUTED_VALUE"""),"")</f>
        <v/>
      </c>
      <c r="F107" s="82" t="str">
        <f>IFERROR(__xludf.DUMMYFUNCTION("""COMPUTED_VALUE"""),"")</f>
        <v/>
      </c>
      <c r="G107" s="52" t="str">
        <f>IFERROR(__xludf.DUMMYFUNCTION("""COMPUTED_VALUE"""),"")</f>
        <v/>
      </c>
      <c r="H107" s="53" t="str">
        <f>IFERROR(__xludf.DUMMYFUNCTION("""COMPUTED_VALUE"""),"")</f>
        <v/>
      </c>
      <c r="I107" s="53" t="str">
        <f>IFERROR(__xludf.DUMMYFUNCTION("""COMPUTED_VALUE"""),"")</f>
        <v/>
      </c>
      <c r="J107" s="53" t="str">
        <f>IFERROR(__xludf.DUMMYFUNCTION("""COMPUTED_VALUE"""),"")</f>
        <v/>
      </c>
      <c r="K107" s="54" t="str">
        <f>IFERROR(__xludf.DUMMYFUNCTION("""COMPUTED_VALUE"""),"")</f>
        <v/>
      </c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6"/>
      <c r="W107" s="56"/>
      <c r="X107" s="56"/>
      <c r="Y107" s="56"/>
      <c r="Z107" s="57"/>
      <c r="AA107" s="58"/>
      <c r="AB107" s="59"/>
    </row>
    <row r="108" ht="13.5" customHeight="1">
      <c r="A108" s="60" t="str">
        <f>IFERROR(__xludf.DUMMYFUNCTION("""COMPUTED_VALUE"""),"")</f>
        <v/>
      </c>
      <c r="B108" s="64" t="str">
        <f>IFERROR(__xludf.DUMMYFUNCTION("""COMPUTED_VALUE"""),"")</f>
        <v/>
      </c>
      <c r="C108" s="63" t="str">
        <f>IFERROR(__xludf.DUMMYFUNCTION("""COMPUTED_VALUE"""),"")</f>
        <v/>
      </c>
      <c r="D108" s="63" t="str">
        <f>IFERROR(__xludf.DUMMYFUNCTION("""COMPUTED_VALUE"""),"")</f>
        <v/>
      </c>
      <c r="E108" s="51" t="str">
        <f>IFERROR(__xludf.DUMMYFUNCTION("""COMPUTED_VALUE"""),"")</f>
        <v/>
      </c>
      <c r="F108" s="82" t="str">
        <f>IFERROR(__xludf.DUMMYFUNCTION("""COMPUTED_VALUE"""),"")</f>
        <v/>
      </c>
      <c r="G108" s="52" t="str">
        <f>IFERROR(__xludf.DUMMYFUNCTION("""COMPUTED_VALUE"""),"")</f>
        <v/>
      </c>
      <c r="H108" s="53" t="str">
        <f>IFERROR(__xludf.DUMMYFUNCTION("""COMPUTED_VALUE"""),"")</f>
        <v/>
      </c>
      <c r="I108" s="53" t="str">
        <f>IFERROR(__xludf.DUMMYFUNCTION("""COMPUTED_VALUE"""),"")</f>
        <v/>
      </c>
      <c r="J108" s="53" t="str">
        <f>IFERROR(__xludf.DUMMYFUNCTION("""COMPUTED_VALUE"""),"")</f>
        <v/>
      </c>
      <c r="K108" s="54" t="str">
        <f>IFERROR(__xludf.DUMMYFUNCTION("""COMPUTED_VALUE"""),"")</f>
        <v/>
      </c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6"/>
      <c r="W108" s="56"/>
      <c r="X108" s="56"/>
      <c r="Y108" s="56"/>
      <c r="Z108" s="57"/>
      <c r="AA108" s="58"/>
      <c r="AB108" s="59"/>
    </row>
    <row r="109" ht="13.5" customHeight="1">
      <c r="A109" s="60" t="str">
        <f>IFERROR(__xludf.DUMMYFUNCTION("""COMPUTED_VALUE"""),"")</f>
        <v/>
      </c>
      <c r="B109" s="64" t="str">
        <f>IFERROR(__xludf.DUMMYFUNCTION("""COMPUTED_VALUE"""),"")</f>
        <v/>
      </c>
      <c r="C109" s="63" t="str">
        <f>IFERROR(__xludf.DUMMYFUNCTION("""COMPUTED_VALUE"""),"")</f>
        <v/>
      </c>
      <c r="D109" s="63" t="str">
        <f>IFERROR(__xludf.DUMMYFUNCTION("""COMPUTED_VALUE"""),"")</f>
        <v/>
      </c>
      <c r="E109" s="51" t="str">
        <f>IFERROR(__xludf.DUMMYFUNCTION("""COMPUTED_VALUE"""),"")</f>
        <v/>
      </c>
      <c r="F109" s="82" t="str">
        <f>IFERROR(__xludf.DUMMYFUNCTION("""COMPUTED_VALUE"""),"")</f>
        <v/>
      </c>
      <c r="G109" s="52" t="str">
        <f>IFERROR(__xludf.DUMMYFUNCTION("""COMPUTED_VALUE"""),"")</f>
        <v/>
      </c>
      <c r="H109" s="53" t="str">
        <f>IFERROR(__xludf.DUMMYFUNCTION("""COMPUTED_VALUE"""),"")</f>
        <v/>
      </c>
      <c r="I109" s="53" t="str">
        <f>IFERROR(__xludf.DUMMYFUNCTION("""COMPUTED_VALUE"""),"")</f>
        <v/>
      </c>
      <c r="J109" s="53" t="str">
        <f>IFERROR(__xludf.DUMMYFUNCTION("""COMPUTED_VALUE"""),"")</f>
        <v/>
      </c>
      <c r="K109" s="54" t="str">
        <f>IFERROR(__xludf.DUMMYFUNCTION("""COMPUTED_VALUE"""),"")</f>
        <v/>
      </c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6"/>
      <c r="W109" s="56"/>
      <c r="X109" s="56"/>
      <c r="Y109" s="56"/>
      <c r="Z109" s="57"/>
      <c r="AA109" s="58"/>
      <c r="AB109" s="59"/>
    </row>
    <row r="110" ht="13.5" customHeight="1">
      <c r="A110" s="60" t="str">
        <f>IFERROR(__xludf.DUMMYFUNCTION("""COMPUTED_VALUE"""),"")</f>
        <v/>
      </c>
      <c r="B110" s="64" t="str">
        <f>IFERROR(__xludf.DUMMYFUNCTION("""COMPUTED_VALUE"""),"")</f>
        <v/>
      </c>
      <c r="C110" s="63" t="str">
        <f>IFERROR(__xludf.DUMMYFUNCTION("""COMPUTED_VALUE"""),"")</f>
        <v/>
      </c>
      <c r="D110" s="63" t="str">
        <f>IFERROR(__xludf.DUMMYFUNCTION("""COMPUTED_VALUE"""),"")</f>
        <v/>
      </c>
      <c r="E110" s="51" t="str">
        <f>IFERROR(__xludf.DUMMYFUNCTION("""COMPUTED_VALUE"""),"")</f>
        <v/>
      </c>
      <c r="F110" s="82" t="str">
        <f>IFERROR(__xludf.DUMMYFUNCTION("""COMPUTED_VALUE"""),"")</f>
        <v/>
      </c>
      <c r="G110" s="52" t="str">
        <f>IFERROR(__xludf.DUMMYFUNCTION("""COMPUTED_VALUE"""),"")</f>
        <v/>
      </c>
      <c r="H110" s="53" t="str">
        <f>IFERROR(__xludf.DUMMYFUNCTION("""COMPUTED_VALUE"""),"")</f>
        <v/>
      </c>
      <c r="I110" s="53" t="str">
        <f>IFERROR(__xludf.DUMMYFUNCTION("""COMPUTED_VALUE"""),"")</f>
        <v/>
      </c>
      <c r="J110" s="53" t="str">
        <f>IFERROR(__xludf.DUMMYFUNCTION("""COMPUTED_VALUE"""),"")</f>
        <v/>
      </c>
      <c r="K110" s="54" t="str">
        <f>IFERROR(__xludf.DUMMYFUNCTION("""COMPUTED_VALUE"""),"")</f>
        <v/>
      </c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6"/>
      <c r="W110" s="56"/>
      <c r="X110" s="56"/>
      <c r="Y110" s="56"/>
      <c r="Z110" s="57"/>
      <c r="AA110" s="58"/>
      <c r="AB110" s="59"/>
    </row>
    <row r="111" ht="13.5" customHeight="1">
      <c r="A111" s="60" t="str">
        <f>IFERROR(__xludf.DUMMYFUNCTION("""COMPUTED_VALUE"""),"")</f>
        <v/>
      </c>
      <c r="B111" s="64" t="str">
        <f>IFERROR(__xludf.DUMMYFUNCTION("""COMPUTED_VALUE"""),"")</f>
        <v/>
      </c>
      <c r="C111" s="63" t="str">
        <f>IFERROR(__xludf.DUMMYFUNCTION("""COMPUTED_VALUE"""),"")</f>
        <v/>
      </c>
      <c r="D111" s="63" t="str">
        <f>IFERROR(__xludf.DUMMYFUNCTION("""COMPUTED_VALUE"""),"")</f>
        <v/>
      </c>
      <c r="E111" s="51" t="str">
        <f>IFERROR(__xludf.DUMMYFUNCTION("""COMPUTED_VALUE"""),"")</f>
        <v/>
      </c>
      <c r="F111" s="82" t="str">
        <f>IFERROR(__xludf.DUMMYFUNCTION("""COMPUTED_VALUE"""),"")</f>
        <v/>
      </c>
      <c r="G111" s="52" t="str">
        <f>IFERROR(__xludf.DUMMYFUNCTION("""COMPUTED_VALUE"""),"")</f>
        <v/>
      </c>
      <c r="H111" s="53" t="str">
        <f>IFERROR(__xludf.DUMMYFUNCTION("""COMPUTED_VALUE"""),"")</f>
        <v/>
      </c>
      <c r="I111" s="53" t="str">
        <f>IFERROR(__xludf.DUMMYFUNCTION("""COMPUTED_VALUE"""),"")</f>
        <v/>
      </c>
      <c r="J111" s="53" t="str">
        <f>IFERROR(__xludf.DUMMYFUNCTION("""COMPUTED_VALUE"""),"")</f>
        <v/>
      </c>
      <c r="K111" s="54" t="str">
        <f>IFERROR(__xludf.DUMMYFUNCTION("""COMPUTED_VALUE"""),"")</f>
        <v/>
      </c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6"/>
      <c r="W111" s="56"/>
      <c r="X111" s="56"/>
      <c r="Y111" s="56"/>
      <c r="Z111" s="57"/>
      <c r="AA111" s="58"/>
      <c r="AB111" s="59"/>
    </row>
    <row r="112" ht="13.5" customHeight="1">
      <c r="A112" s="60" t="str">
        <f>IFERROR(__xludf.DUMMYFUNCTION("""COMPUTED_VALUE"""),"")</f>
        <v/>
      </c>
      <c r="B112" s="64" t="str">
        <f>IFERROR(__xludf.DUMMYFUNCTION("""COMPUTED_VALUE"""),"")</f>
        <v/>
      </c>
      <c r="C112" s="63" t="str">
        <f>IFERROR(__xludf.DUMMYFUNCTION("""COMPUTED_VALUE"""),"")</f>
        <v/>
      </c>
      <c r="D112" s="63" t="str">
        <f>IFERROR(__xludf.DUMMYFUNCTION("""COMPUTED_VALUE"""),"")</f>
        <v/>
      </c>
      <c r="E112" s="51" t="str">
        <f>IFERROR(__xludf.DUMMYFUNCTION("""COMPUTED_VALUE"""),"")</f>
        <v/>
      </c>
      <c r="F112" s="82" t="str">
        <f>IFERROR(__xludf.DUMMYFUNCTION("""COMPUTED_VALUE"""),"")</f>
        <v/>
      </c>
      <c r="G112" s="52" t="str">
        <f>IFERROR(__xludf.DUMMYFUNCTION("""COMPUTED_VALUE"""),"")</f>
        <v/>
      </c>
      <c r="H112" s="53" t="str">
        <f>IFERROR(__xludf.DUMMYFUNCTION("""COMPUTED_VALUE"""),"")</f>
        <v/>
      </c>
      <c r="I112" s="53" t="str">
        <f>IFERROR(__xludf.DUMMYFUNCTION("""COMPUTED_VALUE"""),"")</f>
        <v/>
      </c>
      <c r="J112" s="53" t="str">
        <f>IFERROR(__xludf.DUMMYFUNCTION("""COMPUTED_VALUE"""),"")</f>
        <v/>
      </c>
      <c r="K112" s="54" t="str">
        <f>IFERROR(__xludf.DUMMYFUNCTION("""COMPUTED_VALUE"""),"")</f>
        <v/>
      </c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6"/>
      <c r="W112" s="56"/>
      <c r="X112" s="56"/>
      <c r="Y112" s="56"/>
      <c r="Z112" s="57"/>
      <c r="AA112" s="58"/>
      <c r="AB112" s="59"/>
    </row>
    <row r="113" ht="13.5" customHeight="1">
      <c r="A113" s="60" t="str">
        <f>IFERROR(__xludf.DUMMYFUNCTION("""COMPUTED_VALUE"""),"")</f>
        <v/>
      </c>
      <c r="B113" s="64" t="str">
        <f>IFERROR(__xludf.DUMMYFUNCTION("""COMPUTED_VALUE"""),"")</f>
        <v/>
      </c>
      <c r="C113" s="63" t="str">
        <f>IFERROR(__xludf.DUMMYFUNCTION("""COMPUTED_VALUE"""),"")</f>
        <v/>
      </c>
      <c r="D113" s="63" t="str">
        <f>IFERROR(__xludf.DUMMYFUNCTION("""COMPUTED_VALUE"""),"")</f>
        <v/>
      </c>
      <c r="E113" s="51" t="str">
        <f>IFERROR(__xludf.DUMMYFUNCTION("""COMPUTED_VALUE"""),"")</f>
        <v/>
      </c>
      <c r="F113" s="82" t="str">
        <f>IFERROR(__xludf.DUMMYFUNCTION("""COMPUTED_VALUE"""),"")</f>
        <v/>
      </c>
      <c r="G113" s="52" t="str">
        <f>IFERROR(__xludf.DUMMYFUNCTION("""COMPUTED_VALUE"""),"")</f>
        <v/>
      </c>
      <c r="H113" s="53" t="str">
        <f>IFERROR(__xludf.DUMMYFUNCTION("""COMPUTED_VALUE"""),"")</f>
        <v/>
      </c>
      <c r="I113" s="53" t="str">
        <f>IFERROR(__xludf.DUMMYFUNCTION("""COMPUTED_VALUE"""),"")</f>
        <v/>
      </c>
      <c r="J113" s="53" t="str">
        <f>IFERROR(__xludf.DUMMYFUNCTION("""COMPUTED_VALUE"""),"")</f>
        <v/>
      </c>
      <c r="K113" s="54" t="str">
        <f>IFERROR(__xludf.DUMMYFUNCTION("""COMPUTED_VALUE"""),"")</f>
        <v/>
      </c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6"/>
      <c r="W113" s="56"/>
      <c r="X113" s="56"/>
      <c r="Y113" s="56"/>
      <c r="Z113" s="57"/>
      <c r="AA113" s="58"/>
      <c r="AB113" s="59"/>
    </row>
    <row r="114" ht="13.5" customHeight="1">
      <c r="A114" s="60" t="str">
        <f>IFERROR(__xludf.DUMMYFUNCTION("""COMPUTED_VALUE"""),"")</f>
        <v/>
      </c>
      <c r="B114" s="64" t="str">
        <f>IFERROR(__xludf.DUMMYFUNCTION("""COMPUTED_VALUE"""),"")</f>
        <v/>
      </c>
      <c r="C114" s="63" t="str">
        <f>IFERROR(__xludf.DUMMYFUNCTION("""COMPUTED_VALUE"""),"")</f>
        <v/>
      </c>
      <c r="D114" s="63" t="str">
        <f>IFERROR(__xludf.DUMMYFUNCTION("""COMPUTED_VALUE"""),"")</f>
        <v/>
      </c>
      <c r="E114" s="51" t="str">
        <f>IFERROR(__xludf.DUMMYFUNCTION("""COMPUTED_VALUE"""),"")</f>
        <v/>
      </c>
      <c r="F114" s="82" t="str">
        <f>IFERROR(__xludf.DUMMYFUNCTION("""COMPUTED_VALUE"""),"")</f>
        <v/>
      </c>
      <c r="G114" s="52" t="str">
        <f>IFERROR(__xludf.DUMMYFUNCTION("""COMPUTED_VALUE"""),"")</f>
        <v/>
      </c>
      <c r="H114" s="53" t="str">
        <f>IFERROR(__xludf.DUMMYFUNCTION("""COMPUTED_VALUE"""),"")</f>
        <v/>
      </c>
      <c r="I114" s="53" t="str">
        <f>IFERROR(__xludf.DUMMYFUNCTION("""COMPUTED_VALUE"""),"")</f>
        <v/>
      </c>
      <c r="J114" s="53" t="str">
        <f>IFERROR(__xludf.DUMMYFUNCTION("""COMPUTED_VALUE"""),"")</f>
        <v/>
      </c>
      <c r="K114" s="54" t="str">
        <f>IFERROR(__xludf.DUMMYFUNCTION("""COMPUTED_VALUE"""),"")</f>
        <v/>
      </c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6"/>
      <c r="W114" s="56"/>
      <c r="X114" s="56"/>
      <c r="Y114" s="56"/>
      <c r="Z114" s="57"/>
      <c r="AA114" s="58"/>
      <c r="AB114" s="59"/>
    </row>
    <row r="115" ht="13.5" customHeight="1">
      <c r="A115" s="60" t="str">
        <f>IFERROR(__xludf.DUMMYFUNCTION("""COMPUTED_VALUE"""),"")</f>
        <v/>
      </c>
      <c r="B115" s="64" t="str">
        <f>IFERROR(__xludf.DUMMYFUNCTION("""COMPUTED_VALUE"""),"")</f>
        <v/>
      </c>
      <c r="C115" s="63" t="str">
        <f>IFERROR(__xludf.DUMMYFUNCTION("""COMPUTED_VALUE"""),"")</f>
        <v/>
      </c>
      <c r="D115" s="63" t="str">
        <f>IFERROR(__xludf.DUMMYFUNCTION("""COMPUTED_VALUE"""),"")</f>
        <v/>
      </c>
      <c r="E115" s="51" t="str">
        <f>IFERROR(__xludf.DUMMYFUNCTION("""COMPUTED_VALUE"""),"")</f>
        <v/>
      </c>
      <c r="F115" s="82" t="str">
        <f>IFERROR(__xludf.DUMMYFUNCTION("""COMPUTED_VALUE"""),"")</f>
        <v/>
      </c>
      <c r="G115" s="52" t="str">
        <f>IFERROR(__xludf.DUMMYFUNCTION("""COMPUTED_VALUE"""),"")</f>
        <v/>
      </c>
      <c r="H115" s="53" t="str">
        <f>IFERROR(__xludf.DUMMYFUNCTION("""COMPUTED_VALUE"""),"")</f>
        <v/>
      </c>
      <c r="I115" s="53" t="str">
        <f>IFERROR(__xludf.DUMMYFUNCTION("""COMPUTED_VALUE"""),"")</f>
        <v/>
      </c>
      <c r="J115" s="53" t="str">
        <f>IFERROR(__xludf.DUMMYFUNCTION("""COMPUTED_VALUE"""),"")</f>
        <v/>
      </c>
      <c r="K115" s="54" t="str">
        <f>IFERROR(__xludf.DUMMYFUNCTION("""COMPUTED_VALUE"""),"")</f>
        <v/>
      </c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6"/>
      <c r="W115" s="56"/>
      <c r="X115" s="56"/>
      <c r="Y115" s="56"/>
      <c r="Z115" s="57"/>
      <c r="AA115" s="58"/>
      <c r="AB115" s="59"/>
    </row>
    <row r="116" ht="13.5" customHeight="1">
      <c r="A116" s="60" t="str">
        <f>IFERROR(__xludf.DUMMYFUNCTION("""COMPUTED_VALUE"""),"")</f>
        <v/>
      </c>
      <c r="B116" s="64" t="str">
        <f>IFERROR(__xludf.DUMMYFUNCTION("""COMPUTED_VALUE"""),"")</f>
        <v/>
      </c>
      <c r="C116" s="63" t="str">
        <f>IFERROR(__xludf.DUMMYFUNCTION("""COMPUTED_VALUE"""),"")</f>
        <v/>
      </c>
      <c r="D116" s="63" t="str">
        <f>IFERROR(__xludf.DUMMYFUNCTION("""COMPUTED_VALUE"""),"")</f>
        <v/>
      </c>
      <c r="E116" s="51" t="str">
        <f>IFERROR(__xludf.DUMMYFUNCTION("""COMPUTED_VALUE"""),"")</f>
        <v/>
      </c>
      <c r="F116" s="82" t="str">
        <f>IFERROR(__xludf.DUMMYFUNCTION("""COMPUTED_VALUE"""),"")</f>
        <v/>
      </c>
      <c r="G116" s="52" t="str">
        <f>IFERROR(__xludf.DUMMYFUNCTION("""COMPUTED_VALUE"""),"")</f>
        <v/>
      </c>
      <c r="H116" s="53" t="str">
        <f>IFERROR(__xludf.DUMMYFUNCTION("""COMPUTED_VALUE"""),"")</f>
        <v/>
      </c>
      <c r="I116" s="53" t="str">
        <f>IFERROR(__xludf.DUMMYFUNCTION("""COMPUTED_VALUE"""),"")</f>
        <v/>
      </c>
      <c r="J116" s="53" t="str">
        <f>IFERROR(__xludf.DUMMYFUNCTION("""COMPUTED_VALUE"""),"")</f>
        <v/>
      </c>
      <c r="K116" s="54" t="str">
        <f>IFERROR(__xludf.DUMMYFUNCTION("""COMPUTED_VALUE"""),"")</f>
        <v/>
      </c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6"/>
      <c r="W116" s="56"/>
      <c r="X116" s="56"/>
      <c r="Y116" s="56"/>
      <c r="Z116" s="57"/>
      <c r="AA116" s="58"/>
      <c r="AB116" s="59"/>
    </row>
    <row r="117" ht="13.5" customHeight="1">
      <c r="A117" s="60" t="str">
        <f>IFERROR(__xludf.DUMMYFUNCTION("""COMPUTED_VALUE"""),"")</f>
        <v/>
      </c>
      <c r="B117" s="64" t="str">
        <f>IFERROR(__xludf.DUMMYFUNCTION("""COMPUTED_VALUE"""),"")</f>
        <v/>
      </c>
      <c r="C117" s="63" t="str">
        <f>IFERROR(__xludf.DUMMYFUNCTION("""COMPUTED_VALUE"""),"")</f>
        <v/>
      </c>
      <c r="D117" s="63" t="str">
        <f>IFERROR(__xludf.DUMMYFUNCTION("""COMPUTED_VALUE"""),"")</f>
        <v/>
      </c>
      <c r="E117" s="51" t="str">
        <f>IFERROR(__xludf.DUMMYFUNCTION("""COMPUTED_VALUE"""),"")</f>
        <v/>
      </c>
      <c r="F117" s="82" t="str">
        <f>IFERROR(__xludf.DUMMYFUNCTION("""COMPUTED_VALUE"""),"")</f>
        <v/>
      </c>
      <c r="G117" s="52" t="str">
        <f>IFERROR(__xludf.DUMMYFUNCTION("""COMPUTED_VALUE"""),"")</f>
        <v/>
      </c>
      <c r="H117" s="53" t="str">
        <f>IFERROR(__xludf.DUMMYFUNCTION("""COMPUTED_VALUE"""),"")</f>
        <v/>
      </c>
      <c r="I117" s="53" t="str">
        <f>IFERROR(__xludf.DUMMYFUNCTION("""COMPUTED_VALUE"""),"")</f>
        <v/>
      </c>
      <c r="J117" s="53" t="str">
        <f>IFERROR(__xludf.DUMMYFUNCTION("""COMPUTED_VALUE"""),"")</f>
        <v/>
      </c>
      <c r="K117" s="54" t="str">
        <f>IFERROR(__xludf.DUMMYFUNCTION("""COMPUTED_VALUE"""),"")</f>
        <v/>
      </c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6"/>
      <c r="W117" s="56"/>
      <c r="X117" s="56"/>
      <c r="Y117" s="56"/>
      <c r="Z117" s="57"/>
      <c r="AA117" s="58"/>
      <c r="AB117" s="59"/>
    </row>
    <row r="118" ht="13.5" customHeight="1">
      <c r="A118" s="60" t="str">
        <f>IFERROR(__xludf.DUMMYFUNCTION("""COMPUTED_VALUE"""),"")</f>
        <v/>
      </c>
      <c r="B118" s="64" t="str">
        <f>IFERROR(__xludf.DUMMYFUNCTION("""COMPUTED_VALUE"""),"")</f>
        <v/>
      </c>
      <c r="C118" s="63" t="str">
        <f>IFERROR(__xludf.DUMMYFUNCTION("""COMPUTED_VALUE"""),"")</f>
        <v/>
      </c>
      <c r="D118" s="63" t="str">
        <f>IFERROR(__xludf.DUMMYFUNCTION("""COMPUTED_VALUE"""),"")</f>
        <v/>
      </c>
      <c r="E118" s="51" t="str">
        <f>IFERROR(__xludf.DUMMYFUNCTION("""COMPUTED_VALUE"""),"")</f>
        <v/>
      </c>
      <c r="F118" s="82" t="str">
        <f>IFERROR(__xludf.DUMMYFUNCTION("""COMPUTED_VALUE"""),"")</f>
        <v/>
      </c>
      <c r="G118" s="52" t="str">
        <f>IFERROR(__xludf.DUMMYFUNCTION("""COMPUTED_VALUE"""),"")</f>
        <v/>
      </c>
      <c r="H118" s="53" t="str">
        <f>IFERROR(__xludf.DUMMYFUNCTION("""COMPUTED_VALUE"""),"")</f>
        <v/>
      </c>
      <c r="I118" s="53" t="str">
        <f>IFERROR(__xludf.DUMMYFUNCTION("""COMPUTED_VALUE"""),"")</f>
        <v/>
      </c>
      <c r="J118" s="53" t="str">
        <f>IFERROR(__xludf.DUMMYFUNCTION("""COMPUTED_VALUE"""),"")</f>
        <v/>
      </c>
      <c r="K118" s="54" t="str">
        <f>IFERROR(__xludf.DUMMYFUNCTION("""COMPUTED_VALUE"""),"")</f>
        <v/>
      </c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6"/>
      <c r="W118" s="56"/>
      <c r="X118" s="56"/>
      <c r="Y118" s="56"/>
      <c r="Z118" s="57"/>
      <c r="AA118" s="58"/>
      <c r="AB118" s="59"/>
    </row>
    <row r="119" ht="13.5" customHeight="1">
      <c r="A119" s="60" t="str">
        <f>IFERROR(__xludf.DUMMYFUNCTION("""COMPUTED_VALUE"""),"")</f>
        <v/>
      </c>
      <c r="B119" s="64" t="str">
        <f>IFERROR(__xludf.DUMMYFUNCTION("""COMPUTED_VALUE"""),"")</f>
        <v/>
      </c>
      <c r="C119" s="63" t="str">
        <f>IFERROR(__xludf.DUMMYFUNCTION("""COMPUTED_VALUE"""),"")</f>
        <v/>
      </c>
      <c r="D119" s="63" t="str">
        <f>IFERROR(__xludf.DUMMYFUNCTION("""COMPUTED_VALUE"""),"")</f>
        <v/>
      </c>
      <c r="E119" s="51" t="str">
        <f>IFERROR(__xludf.DUMMYFUNCTION("""COMPUTED_VALUE"""),"")</f>
        <v/>
      </c>
      <c r="F119" s="82" t="str">
        <f>IFERROR(__xludf.DUMMYFUNCTION("""COMPUTED_VALUE"""),"")</f>
        <v/>
      </c>
      <c r="G119" s="52" t="str">
        <f>IFERROR(__xludf.DUMMYFUNCTION("""COMPUTED_VALUE"""),"")</f>
        <v/>
      </c>
      <c r="H119" s="53" t="str">
        <f>IFERROR(__xludf.DUMMYFUNCTION("""COMPUTED_VALUE"""),"")</f>
        <v/>
      </c>
      <c r="I119" s="53" t="str">
        <f>IFERROR(__xludf.DUMMYFUNCTION("""COMPUTED_VALUE"""),"")</f>
        <v/>
      </c>
      <c r="J119" s="53" t="str">
        <f>IFERROR(__xludf.DUMMYFUNCTION("""COMPUTED_VALUE"""),"")</f>
        <v/>
      </c>
      <c r="K119" s="54" t="str">
        <f>IFERROR(__xludf.DUMMYFUNCTION("""COMPUTED_VALUE"""),"")</f>
        <v/>
      </c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6"/>
      <c r="W119" s="56"/>
      <c r="X119" s="56"/>
      <c r="Y119" s="56"/>
      <c r="Z119" s="57"/>
      <c r="AA119" s="58"/>
      <c r="AB119" s="59"/>
    </row>
    <row r="120" ht="13.5" customHeight="1">
      <c r="A120" s="60" t="str">
        <f>IFERROR(__xludf.DUMMYFUNCTION("""COMPUTED_VALUE"""),"")</f>
        <v/>
      </c>
      <c r="B120" s="64" t="str">
        <f>IFERROR(__xludf.DUMMYFUNCTION("""COMPUTED_VALUE"""),"")</f>
        <v/>
      </c>
      <c r="C120" s="63" t="str">
        <f>IFERROR(__xludf.DUMMYFUNCTION("""COMPUTED_VALUE"""),"")</f>
        <v/>
      </c>
      <c r="D120" s="63" t="str">
        <f>IFERROR(__xludf.DUMMYFUNCTION("""COMPUTED_VALUE"""),"")</f>
        <v/>
      </c>
      <c r="E120" s="51" t="str">
        <f>IFERROR(__xludf.DUMMYFUNCTION("""COMPUTED_VALUE"""),"")</f>
        <v/>
      </c>
      <c r="F120" s="82" t="str">
        <f>IFERROR(__xludf.DUMMYFUNCTION("""COMPUTED_VALUE"""),"")</f>
        <v/>
      </c>
      <c r="G120" s="52" t="str">
        <f>IFERROR(__xludf.DUMMYFUNCTION("""COMPUTED_VALUE"""),"")</f>
        <v/>
      </c>
      <c r="H120" s="53" t="str">
        <f>IFERROR(__xludf.DUMMYFUNCTION("""COMPUTED_VALUE"""),"")</f>
        <v/>
      </c>
      <c r="I120" s="53" t="str">
        <f>IFERROR(__xludf.DUMMYFUNCTION("""COMPUTED_VALUE"""),"")</f>
        <v/>
      </c>
      <c r="J120" s="53" t="str">
        <f>IFERROR(__xludf.DUMMYFUNCTION("""COMPUTED_VALUE"""),"")</f>
        <v/>
      </c>
      <c r="K120" s="54" t="str">
        <f>IFERROR(__xludf.DUMMYFUNCTION("""COMPUTED_VALUE"""),"")</f>
        <v/>
      </c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6"/>
      <c r="W120" s="56"/>
      <c r="X120" s="56"/>
      <c r="Y120" s="56"/>
      <c r="Z120" s="57"/>
      <c r="AA120" s="58"/>
      <c r="AB120" s="59"/>
    </row>
    <row r="121" ht="13.5" customHeight="1">
      <c r="A121" s="60" t="str">
        <f>IFERROR(__xludf.DUMMYFUNCTION("""COMPUTED_VALUE"""),"")</f>
        <v/>
      </c>
      <c r="B121" s="64" t="str">
        <f>IFERROR(__xludf.DUMMYFUNCTION("""COMPUTED_VALUE"""),"")</f>
        <v/>
      </c>
      <c r="C121" s="63" t="str">
        <f>IFERROR(__xludf.DUMMYFUNCTION("""COMPUTED_VALUE"""),"")</f>
        <v/>
      </c>
      <c r="D121" s="63" t="str">
        <f>IFERROR(__xludf.DUMMYFUNCTION("""COMPUTED_VALUE"""),"")</f>
        <v/>
      </c>
      <c r="E121" s="51" t="str">
        <f>IFERROR(__xludf.DUMMYFUNCTION("""COMPUTED_VALUE"""),"")</f>
        <v/>
      </c>
      <c r="F121" s="82" t="str">
        <f>IFERROR(__xludf.DUMMYFUNCTION("""COMPUTED_VALUE"""),"")</f>
        <v/>
      </c>
      <c r="G121" s="52" t="str">
        <f>IFERROR(__xludf.DUMMYFUNCTION("""COMPUTED_VALUE"""),"")</f>
        <v/>
      </c>
      <c r="H121" s="53" t="str">
        <f>IFERROR(__xludf.DUMMYFUNCTION("""COMPUTED_VALUE"""),"")</f>
        <v/>
      </c>
      <c r="I121" s="53" t="str">
        <f>IFERROR(__xludf.DUMMYFUNCTION("""COMPUTED_VALUE"""),"")</f>
        <v/>
      </c>
      <c r="J121" s="53" t="str">
        <f>IFERROR(__xludf.DUMMYFUNCTION("""COMPUTED_VALUE"""),"")</f>
        <v/>
      </c>
      <c r="K121" s="54" t="str">
        <f>IFERROR(__xludf.DUMMYFUNCTION("""COMPUTED_VALUE"""),"")</f>
        <v/>
      </c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6"/>
      <c r="W121" s="56"/>
      <c r="X121" s="56"/>
      <c r="Y121" s="56"/>
      <c r="Z121" s="57"/>
      <c r="AA121" s="58"/>
      <c r="AB121" s="59"/>
    </row>
    <row r="122" ht="13.5" customHeight="1">
      <c r="A122" s="60" t="str">
        <f>IFERROR(__xludf.DUMMYFUNCTION("""COMPUTED_VALUE"""),"")</f>
        <v/>
      </c>
      <c r="B122" s="64" t="str">
        <f>IFERROR(__xludf.DUMMYFUNCTION("""COMPUTED_VALUE"""),"")</f>
        <v/>
      </c>
      <c r="C122" s="63" t="str">
        <f>IFERROR(__xludf.DUMMYFUNCTION("""COMPUTED_VALUE"""),"")</f>
        <v/>
      </c>
      <c r="D122" s="63" t="str">
        <f>IFERROR(__xludf.DUMMYFUNCTION("""COMPUTED_VALUE"""),"")</f>
        <v/>
      </c>
      <c r="E122" s="51" t="str">
        <f>IFERROR(__xludf.DUMMYFUNCTION("""COMPUTED_VALUE"""),"")</f>
        <v/>
      </c>
      <c r="F122" s="82" t="str">
        <f>IFERROR(__xludf.DUMMYFUNCTION("""COMPUTED_VALUE"""),"")</f>
        <v/>
      </c>
      <c r="G122" s="52" t="str">
        <f>IFERROR(__xludf.DUMMYFUNCTION("""COMPUTED_VALUE"""),"")</f>
        <v/>
      </c>
      <c r="H122" s="53" t="str">
        <f>IFERROR(__xludf.DUMMYFUNCTION("""COMPUTED_VALUE"""),"")</f>
        <v/>
      </c>
      <c r="I122" s="53" t="str">
        <f>IFERROR(__xludf.DUMMYFUNCTION("""COMPUTED_VALUE"""),"")</f>
        <v/>
      </c>
      <c r="J122" s="53" t="str">
        <f>IFERROR(__xludf.DUMMYFUNCTION("""COMPUTED_VALUE"""),"")</f>
        <v/>
      </c>
      <c r="K122" s="54" t="str">
        <f>IFERROR(__xludf.DUMMYFUNCTION("""COMPUTED_VALUE"""),"")</f>
        <v/>
      </c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6"/>
      <c r="W122" s="56"/>
      <c r="X122" s="56"/>
      <c r="Y122" s="56"/>
      <c r="Z122" s="57"/>
      <c r="AA122" s="58"/>
      <c r="AB122" s="59"/>
    </row>
    <row r="123" ht="13.5" customHeight="1">
      <c r="A123" s="60" t="str">
        <f>IFERROR(__xludf.DUMMYFUNCTION("""COMPUTED_VALUE"""),"")</f>
        <v/>
      </c>
      <c r="B123" s="64" t="str">
        <f>IFERROR(__xludf.DUMMYFUNCTION("""COMPUTED_VALUE"""),"")</f>
        <v/>
      </c>
      <c r="C123" s="63" t="str">
        <f>IFERROR(__xludf.DUMMYFUNCTION("""COMPUTED_VALUE"""),"")</f>
        <v/>
      </c>
      <c r="D123" s="63" t="str">
        <f>IFERROR(__xludf.DUMMYFUNCTION("""COMPUTED_VALUE"""),"")</f>
        <v/>
      </c>
      <c r="E123" s="51" t="str">
        <f>IFERROR(__xludf.DUMMYFUNCTION("""COMPUTED_VALUE"""),"")</f>
        <v/>
      </c>
      <c r="F123" s="82" t="str">
        <f>IFERROR(__xludf.DUMMYFUNCTION("""COMPUTED_VALUE"""),"")</f>
        <v/>
      </c>
      <c r="G123" s="52" t="str">
        <f>IFERROR(__xludf.DUMMYFUNCTION("""COMPUTED_VALUE"""),"")</f>
        <v/>
      </c>
      <c r="H123" s="53" t="str">
        <f>IFERROR(__xludf.DUMMYFUNCTION("""COMPUTED_VALUE"""),"")</f>
        <v/>
      </c>
      <c r="I123" s="53" t="str">
        <f>IFERROR(__xludf.DUMMYFUNCTION("""COMPUTED_VALUE"""),"")</f>
        <v/>
      </c>
      <c r="J123" s="53" t="str">
        <f>IFERROR(__xludf.DUMMYFUNCTION("""COMPUTED_VALUE"""),"")</f>
        <v/>
      </c>
      <c r="K123" s="54" t="str">
        <f>IFERROR(__xludf.DUMMYFUNCTION("""COMPUTED_VALUE"""),"")</f>
        <v/>
      </c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6"/>
      <c r="W123" s="56"/>
      <c r="X123" s="56"/>
      <c r="Y123" s="56"/>
      <c r="Z123" s="57"/>
      <c r="AA123" s="58"/>
      <c r="AB123" s="59"/>
    </row>
    <row r="124" ht="13.5" customHeight="1">
      <c r="A124" s="60" t="str">
        <f>IFERROR(__xludf.DUMMYFUNCTION("""COMPUTED_VALUE"""),"")</f>
        <v/>
      </c>
      <c r="B124" s="64" t="str">
        <f>IFERROR(__xludf.DUMMYFUNCTION("""COMPUTED_VALUE"""),"")</f>
        <v/>
      </c>
      <c r="C124" s="63" t="str">
        <f>IFERROR(__xludf.DUMMYFUNCTION("""COMPUTED_VALUE"""),"")</f>
        <v/>
      </c>
      <c r="D124" s="63" t="str">
        <f>IFERROR(__xludf.DUMMYFUNCTION("""COMPUTED_VALUE"""),"")</f>
        <v/>
      </c>
      <c r="E124" s="51" t="str">
        <f>IFERROR(__xludf.DUMMYFUNCTION("""COMPUTED_VALUE"""),"")</f>
        <v/>
      </c>
      <c r="F124" s="82" t="str">
        <f>IFERROR(__xludf.DUMMYFUNCTION("""COMPUTED_VALUE"""),"")</f>
        <v/>
      </c>
      <c r="G124" s="52" t="str">
        <f>IFERROR(__xludf.DUMMYFUNCTION("""COMPUTED_VALUE"""),"")</f>
        <v/>
      </c>
      <c r="H124" s="53" t="str">
        <f>IFERROR(__xludf.DUMMYFUNCTION("""COMPUTED_VALUE"""),"")</f>
        <v/>
      </c>
      <c r="I124" s="53" t="str">
        <f>IFERROR(__xludf.DUMMYFUNCTION("""COMPUTED_VALUE"""),"")</f>
        <v/>
      </c>
      <c r="J124" s="53" t="str">
        <f>IFERROR(__xludf.DUMMYFUNCTION("""COMPUTED_VALUE"""),"")</f>
        <v/>
      </c>
      <c r="K124" s="54" t="str">
        <f>IFERROR(__xludf.DUMMYFUNCTION("""COMPUTED_VALUE"""),"")</f>
        <v/>
      </c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6"/>
      <c r="W124" s="56"/>
      <c r="X124" s="56"/>
      <c r="Y124" s="56"/>
      <c r="Z124" s="57"/>
      <c r="AA124" s="58"/>
      <c r="AB124" s="59"/>
    </row>
    <row r="125" ht="13.5" customHeight="1">
      <c r="A125" s="60" t="str">
        <f>IFERROR(__xludf.DUMMYFUNCTION("""COMPUTED_VALUE"""),"")</f>
        <v/>
      </c>
      <c r="B125" s="64" t="str">
        <f>IFERROR(__xludf.DUMMYFUNCTION("""COMPUTED_VALUE"""),"")</f>
        <v/>
      </c>
      <c r="C125" s="63" t="str">
        <f>IFERROR(__xludf.DUMMYFUNCTION("""COMPUTED_VALUE"""),"")</f>
        <v/>
      </c>
      <c r="D125" s="63" t="str">
        <f>IFERROR(__xludf.DUMMYFUNCTION("""COMPUTED_VALUE"""),"")</f>
        <v/>
      </c>
      <c r="E125" s="51" t="str">
        <f>IFERROR(__xludf.DUMMYFUNCTION("""COMPUTED_VALUE"""),"")</f>
        <v/>
      </c>
      <c r="F125" s="82" t="str">
        <f>IFERROR(__xludf.DUMMYFUNCTION("""COMPUTED_VALUE"""),"")</f>
        <v/>
      </c>
      <c r="G125" s="52" t="str">
        <f>IFERROR(__xludf.DUMMYFUNCTION("""COMPUTED_VALUE"""),"")</f>
        <v/>
      </c>
      <c r="H125" s="53" t="str">
        <f>IFERROR(__xludf.DUMMYFUNCTION("""COMPUTED_VALUE"""),"")</f>
        <v/>
      </c>
      <c r="I125" s="53" t="str">
        <f>IFERROR(__xludf.DUMMYFUNCTION("""COMPUTED_VALUE"""),"")</f>
        <v/>
      </c>
      <c r="J125" s="53" t="str">
        <f>IFERROR(__xludf.DUMMYFUNCTION("""COMPUTED_VALUE"""),"")</f>
        <v/>
      </c>
      <c r="K125" s="54" t="str">
        <f>IFERROR(__xludf.DUMMYFUNCTION("""COMPUTED_VALUE"""),"")</f>
        <v/>
      </c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6"/>
      <c r="W125" s="56"/>
      <c r="X125" s="56"/>
      <c r="Y125" s="56"/>
      <c r="Z125" s="57"/>
      <c r="AA125" s="58"/>
      <c r="AB125" s="59"/>
    </row>
    <row r="126" ht="13.5" customHeight="1">
      <c r="A126" s="60" t="str">
        <f>IFERROR(__xludf.DUMMYFUNCTION("""COMPUTED_VALUE"""),"")</f>
        <v/>
      </c>
      <c r="B126" s="64" t="str">
        <f>IFERROR(__xludf.DUMMYFUNCTION("""COMPUTED_VALUE"""),"")</f>
        <v/>
      </c>
      <c r="C126" s="63" t="str">
        <f>IFERROR(__xludf.DUMMYFUNCTION("""COMPUTED_VALUE"""),"")</f>
        <v/>
      </c>
      <c r="D126" s="63" t="str">
        <f>IFERROR(__xludf.DUMMYFUNCTION("""COMPUTED_VALUE"""),"")</f>
        <v/>
      </c>
      <c r="E126" s="51" t="str">
        <f>IFERROR(__xludf.DUMMYFUNCTION("""COMPUTED_VALUE"""),"")</f>
        <v/>
      </c>
      <c r="F126" s="82" t="str">
        <f>IFERROR(__xludf.DUMMYFUNCTION("""COMPUTED_VALUE"""),"")</f>
        <v/>
      </c>
      <c r="G126" s="52" t="str">
        <f>IFERROR(__xludf.DUMMYFUNCTION("""COMPUTED_VALUE"""),"")</f>
        <v/>
      </c>
      <c r="H126" s="53" t="str">
        <f>IFERROR(__xludf.DUMMYFUNCTION("""COMPUTED_VALUE"""),"")</f>
        <v/>
      </c>
      <c r="I126" s="53" t="str">
        <f>IFERROR(__xludf.DUMMYFUNCTION("""COMPUTED_VALUE"""),"")</f>
        <v/>
      </c>
      <c r="J126" s="53" t="str">
        <f>IFERROR(__xludf.DUMMYFUNCTION("""COMPUTED_VALUE"""),"")</f>
        <v/>
      </c>
      <c r="K126" s="54" t="str">
        <f>IFERROR(__xludf.DUMMYFUNCTION("""COMPUTED_VALUE"""),"")</f>
        <v/>
      </c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6"/>
      <c r="W126" s="56"/>
      <c r="X126" s="56"/>
      <c r="Y126" s="56"/>
      <c r="Z126" s="57"/>
      <c r="AA126" s="58"/>
      <c r="AB126" s="59"/>
    </row>
    <row r="127" ht="13.5" customHeight="1">
      <c r="A127" s="60" t="str">
        <f>IFERROR(__xludf.DUMMYFUNCTION("""COMPUTED_VALUE"""),"")</f>
        <v/>
      </c>
      <c r="B127" s="64" t="str">
        <f>IFERROR(__xludf.DUMMYFUNCTION("""COMPUTED_VALUE"""),"")</f>
        <v/>
      </c>
      <c r="C127" s="63" t="str">
        <f>IFERROR(__xludf.DUMMYFUNCTION("""COMPUTED_VALUE"""),"")</f>
        <v/>
      </c>
      <c r="D127" s="63" t="str">
        <f>IFERROR(__xludf.DUMMYFUNCTION("""COMPUTED_VALUE"""),"")</f>
        <v/>
      </c>
      <c r="E127" s="51" t="str">
        <f>IFERROR(__xludf.DUMMYFUNCTION("""COMPUTED_VALUE"""),"")</f>
        <v/>
      </c>
      <c r="F127" s="82" t="str">
        <f>IFERROR(__xludf.DUMMYFUNCTION("""COMPUTED_VALUE"""),"")</f>
        <v/>
      </c>
      <c r="G127" s="52" t="str">
        <f>IFERROR(__xludf.DUMMYFUNCTION("""COMPUTED_VALUE"""),"")</f>
        <v/>
      </c>
      <c r="H127" s="53" t="str">
        <f>IFERROR(__xludf.DUMMYFUNCTION("""COMPUTED_VALUE"""),"")</f>
        <v/>
      </c>
      <c r="I127" s="53" t="str">
        <f>IFERROR(__xludf.DUMMYFUNCTION("""COMPUTED_VALUE"""),"")</f>
        <v/>
      </c>
      <c r="J127" s="53" t="str">
        <f>IFERROR(__xludf.DUMMYFUNCTION("""COMPUTED_VALUE"""),"")</f>
        <v/>
      </c>
      <c r="K127" s="54" t="str">
        <f>IFERROR(__xludf.DUMMYFUNCTION("""COMPUTED_VALUE"""),"")</f>
        <v/>
      </c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6"/>
      <c r="W127" s="56"/>
      <c r="X127" s="56"/>
      <c r="Y127" s="56"/>
      <c r="Z127" s="57"/>
      <c r="AA127" s="58"/>
      <c r="AB127" s="59"/>
    </row>
    <row r="128" ht="13.5" customHeight="1">
      <c r="A128" s="60" t="str">
        <f>IFERROR(__xludf.DUMMYFUNCTION("""COMPUTED_VALUE"""),"")</f>
        <v/>
      </c>
      <c r="B128" s="64" t="str">
        <f>IFERROR(__xludf.DUMMYFUNCTION("""COMPUTED_VALUE"""),"")</f>
        <v/>
      </c>
      <c r="C128" s="63" t="str">
        <f>IFERROR(__xludf.DUMMYFUNCTION("""COMPUTED_VALUE"""),"")</f>
        <v/>
      </c>
      <c r="D128" s="63" t="str">
        <f>IFERROR(__xludf.DUMMYFUNCTION("""COMPUTED_VALUE"""),"")</f>
        <v/>
      </c>
      <c r="E128" s="51" t="str">
        <f>IFERROR(__xludf.DUMMYFUNCTION("""COMPUTED_VALUE"""),"")</f>
        <v/>
      </c>
      <c r="F128" s="82" t="str">
        <f>IFERROR(__xludf.DUMMYFUNCTION("""COMPUTED_VALUE"""),"")</f>
        <v/>
      </c>
      <c r="G128" s="52" t="str">
        <f>IFERROR(__xludf.DUMMYFUNCTION("""COMPUTED_VALUE"""),"")</f>
        <v/>
      </c>
      <c r="H128" s="53" t="str">
        <f>IFERROR(__xludf.DUMMYFUNCTION("""COMPUTED_VALUE"""),"")</f>
        <v/>
      </c>
      <c r="I128" s="53" t="str">
        <f>IFERROR(__xludf.DUMMYFUNCTION("""COMPUTED_VALUE"""),"")</f>
        <v/>
      </c>
      <c r="J128" s="53" t="str">
        <f>IFERROR(__xludf.DUMMYFUNCTION("""COMPUTED_VALUE"""),"")</f>
        <v/>
      </c>
      <c r="K128" s="54" t="str">
        <f>IFERROR(__xludf.DUMMYFUNCTION("""COMPUTED_VALUE"""),"")</f>
        <v/>
      </c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6"/>
      <c r="W128" s="56"/>
      <c r="X128" s="56"/>
      <c r="Y128" s="56"/>
      <c r="Z128" s="57"/>
      <c r="AA128" s="58"/>
      <c r="AB128" s="59"/>
    </row>
    <row r="129" ht="13.5" customHeight="1">
      <c r="A129" s="60" t="str">
        <f>IFERROR(__xludf.DUMMYFUNCTION("""COMPUTED_VALUE"""),"")</f>
        <v/>
      </c>
      <c r="B129" s="64" t="str">
        <f>IFERROR(__xludf.DUMMYFUNCTION("""COMPUTED_VALUE"""),"")</f>
        <v/>
      </c>
      <c r="C129" s="63" t="str">
        <f>IFERROR(__xludf.DUMMYFUNCTION("""COMPUTED_VALUE"""),"")</f>
        <v/>
      </c>
      <c r="D129" s="63" t="str">
        <f>IFERROR(__xludf.DUMMYFUNCTION("""COMPUTED_VALUE"""),"")</f>
        <v/>
      </c>
      <c r="E129" s="51" t="str">
        <f>IFERROR(__xludf.DUMMYFUNCTION("""COMPUTED_VALUE"""),"")</f>
        <v/>
      </c>
      <c r="F129" s="82" t="str">
        <f>IFERROR(__xludf.DUMMYFUNCTION("""COMPUTED_VALUE"""),"")</f>
        <v/>
      </c>
      <c r="G129" s="52" t="str">
        <f>IFERROR(__xludf.DUMMYFUNCTION("""COMPUTED_VALUE"""),"")</f>
        <v/>
      </c>
      <c r="H129" s="53" t="str">
        <f>IFERROR(__xludf.DUMMYFUNCTION("""COMPUTED_VALUE"""),"")</f>
        <v/>
      </c>
      <c r="I129" s="53" t="str">
        <f>IFERROR(__xludf.DUMMYFUNCTION("""COMPUTED_VALUE"""),"")</f>
        <v/>
      </c>
      <c r="J129" s="53" t="str">
        <f>IFERROR(__xludf.DUMMYFUNCTION("""COMPUTED_VALUE"""),"")</f>
        <v/>
      </c>
      <c r="K129" s="54" t="str">
        <f>IFERROR(__xludf.DUMMYFUNCTION("""COMPUTED_VALUE"""),"")</f>
        <v/>
      </c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6"/>
      <c r="W129" s="56"/>
      <c r="X129" s="56"/>
      <c r="Y129" s="56"/>
      <c r="Z129" s="57"/>
      <c r="AA129" s="58"/>
      <c r="AB129" s="59"/>
    </row>
    <row r="130" ht="13.5" customHeight="1">
      <c r="A130" s="60" t="str">
        <f>IFERROR(__xludf.DUMMYFUNCTION("""COMPUTED_VALUE"""),"")</f>
        <v/>
      </c>
      <c r="B130" s="64" t="str">
        <f>IFERROR(__xludf.DUMMYFUNCTION("""COMPUTED_VALUE"""),"")</f>
        <v/>
      </c>
      <c r="C130" s="63" t="str">
        <f>IFERROR(__xludf.DUMMYFUNCTION("""COMPUTED_VALUE"""),"")</f>
        <v/>
      </c>
      <c r="D130" s="63" t="str">
        <f>IFERROR(__xludf.DUMMYFUNCTION("""COMPUTED_VALUE"""),"")</f>
        <v/>
      </c>
      <c r="E130" s="51" t="str">
        <f>IFERROR(__xludf.DUMMYFUNCTION("""COMPUTED_VALUE"""),"")</f>
        <v/>
      </c>
      <c r="F130" s="82" t="str">
        <f>IFERROR(__xludf.DUMMYFUNCTION("""COMPUTED_VALUE"""),"")</f>
        <v/>
      </c>
      <c r="G130" s="52" t="str">
        <f>IFERROR(__xludf.DUMMYFUNCTION("""COMPUTED_VALUE"""),"")</f>
        <v/>
      </c>
      <c r="H130" s="53" t="str">
        <f>IFERROR(__xludf.DUMMYFUNCTION("""COMPUTED_VALUE"""),"")</f>
        <v/>
      </c>
      <c r="I130" s="53" t="str">
        <f>IFERROR(__xludf.DUMMYFUNCTION("""COMPUTED_VALUE"""),"")</f>
        <v/>
      </c>
      <c r="J130" s="53" t="str">
        <f>IFERROR(__xludf.DUMMYFUNCTION("""COMPUTED_VALUE"""),"")</f>
        <v/>
      </c>
      <c r="K130" s="54" t="str">
        <f>IFERROR(__xludf.DUMMYFUNCTION("""COMPUTED_VALUE"""),"")</f>
        <v/>
      </c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6"/>
      <c r="W130" s="56"/>
      <c r="X130" s="56"/>
      <c r="Y130" s="56"/>
      <c r="Z130" s="57"/>
      <c r="AA130" s="58"/>
      <c r="AB130" s="59"/>
    </row>
    <row r="131" ht="13.5" customHeight="1">
      <c r="A131" s="60" t="str">
        <f>IFERROR(__xludf.DUMMYFUNCTION("""COMPUTED_VALUE"""),"")</f>
        <v/>
      </c>
      <c r="B131" s="64" t="str">
        <f>IFERROR(__xludf.DUMMYFUNCTION("""COMPUTED_VALUE"""),"")</f>
        <v/>
      </c>
      <c r="C131" s="63" t="str">
        <f>IFERROR(__xludf.DUMMYFUNCTION("""COMPUTED_VALUE"""),"")</f>
        <v/>
      </c>
      <c r="D131" s="63" t="str">
        <f>IFERROR(__xludf.DUMMYFUNCTION("""COMPUTED_VALUE"""),"")</f>
        <v/>
      </c>
      <c r="E131" s="51" t="str">
        <f>IFERROR(__xludf.DUMMYFUNCTION("""COMPUTED_VALUE"""),"")</f>
        <v/>
      </c>
      <c r="F131" s="82" t="str">
        <f>IFERROR(__xludf.DUMMYFUNCTION("""COMPUTED_VALUE"""),"")</f>
        <v/>
      </c>
      <c r="G131" s="52" t="str">
        <f>IFERROR(__xludf.DUMMYFUNCTION("""COMPUTED_VALUE"""),"")</f>
        <v/>
      </c>
      <c r="H131" s="53" t="str">
        <f>IFERROR(__xludf.DUMMYFUNCTION("""COMPUTED_VALUE"""),"")</f>
        <v/>
      </c>
      <c r="I131" s="53" t="str">
        <f>IFERROR(__xludf.DUMMYFUNCTION("""COMPUTED_VALUE"""),"")</f>
        <v/>
      </c>
      <c r="J131" s="53" t="str">
        <f>IFERROR(__xludf.DUMMYFUNCTION("""COMPUTED_VALUE"""),"")</f>
        <v/>
      </c>
      <c r="K131" s="54" t="str">
        <f>IFERROR(__xludf.DUMMYFUNCTION("""COMPUTED_VALUE"""),"")</f>
        <v/>
      </c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6"/>
      <c r="W131" s="56"/>
      <c r="X131" s="56"/>
      <c r="Y131" s="56"/>
      <c r="Z131" s="57"/>
      <c r="AA131" s="58"/>
      <c r="AB131" s="59"/>
    </row>
    <row r="132" ht="13.5" customHeight="1">
      <c r="A132" s="60" t="str">
        <f>IFERROR(__xludf.DUMMYFUNCTION("""COMPUTED_VALUE"""),"")</f>
        <v/>
      </c>
      <c r="B132" s="64" t="str">
        <f>IFERROR(__xludf.DUMMYFUNCTION("""COMPUTED_VALUE"""),"")</f>
        <v/>
      </c>
      <c r="C132" s="63" t="str">
        <f>IFERROR(__xludf.DUMMYFUNCTION("""COMPUTED_VALUE"""),"")</f>
        <v/>
      </c>
      <c r="D132" s="63" t="str">
        <f>IFERROR(__xludf.DUMMYFUNCTION("""COMPUTED_VALUE"""),"")</f>
        <v/>
      </c>
      <c r="E132" s="51" t="str">
        <f>IFERROR(__xludf.DUMMYFUNCTION("""COMPUTED_VALUE"""),"")</f>
        <v/>
      </c>
      <c r="F132" s="82" t="str">
        <f>IFERROR(__xludf.DUMMYFUNCTION("""COMPUTED_VALUE"""),"")</f>
        <v/>
      </c>
      <c r="G132" s="52" t="str">
        <f>IFERROR(__xludf.DUMMYFUNCTION("""COMPUTED_VALUE"""),"")</f>
        <v/>
      </c>
      <c r="H132" s="53" t="str">
        <f>IFERROR(__xludf.DUMMYFUNCTION("""COMPUTED_VALUE"""),"")</f>
        <v/>
      </c>
      <c r="I132" s="53" t="str">
        <f>IFERROR(__xludf.DUMMYFUNCTION("""COMPUTED_VALUE"""),"")</f>
        <v/>
      </c>
      <c r="J132" s="53" t="str">
        <f>IFERROR(__xludf.DUMMYFUNCTION("""COMPUTED_VALUE"""),"")</f>
        <v/>
      </c>
      <c r="K132" s="54" t="str">
        <f>IFERROR(__xludf.DUMMYFUNCTION("""COMPUTED_VALUE"""),"")</f>
        <v/>
      </c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6"/>
      <c r="W132" s="56"/>
      <c r="X132" s="56"/>
      <c r="Y132" s="56"/>
      <c r="Z132" s="57"/>
      <c r="AA132" s="58"/>
      <c r="AB132" s="59"/>
    </row>
    <row r="133" ht="13.5" customHeight="1">
      <c r="A133" s="60" t="str">
        <f>IFERROR(__xludf.DUMMYFUNCTION("""COMPUTED_VALUE"""),"")</f>
        <v/>
      </c>
      <c r="B133" s="64" t="str">
        <f>IFERROR(__xludf.DUMMYFUNCTION("""COMPUTED_VALUE"""),"")</f>
        <v/>
      </c>
      <c r="C133" s="63" t="str">
        <f>IFERROR(__xludf.DUMMYFUNCTION("""COMPUTED_VALUE"""),"")</f>
        <v/>
      </c>
      <c r="D133" s="63" t="str">
        <f>IFERROR(__xludf.DUMMYFUNCTION("""COMPUTED_VALUE"""),"")</f>
        <v/>
      </c>
      <c r="E133" s="51" t="str">
        <f>IFERROR(__xludf.DUMMYFUNCTION("""COMPUTED_VALUE"""),"")</f>
        <v/>
      </c>
      <c r="F133" s="82" t="str">
        <f>IFERROR(__xludf.DUMMYFUNCTION("""COMPUTED_VALUE"""),"")</f>
        <v/>
      </c>
      <c r="G133" s="52" t="str">
        <f>IFERROR(__xludf.DUMMYFUNCTION("""COMPUTED_VALUE"""),"")</f>
        <v/>
      </c>
      <c r="H133" s="53" t="str">
        <f>IFERROR(__xludf.DUMMYFUNCTION("""COMPUTED_VALUE"""),"")</f>
        <v/>
      </c>
      <c r="I133" s="53" t="str">
        <f>IFERROR(__xludf.DUMMYFUNCTION("""COMPUTED_VALUE"""),"")</f>
        <v/>
      </c>
      <c r="J133" s="53" t="str">
        <f>IFERROR(__xludf.DUMMYFUNCTION("""COMPUTED_VALUE"""),"")</f>
        <v/>
      </c>
      <c r="K133" s="54" t="str">
        <f>IFERROR(__xludf.DUMMYFUNCTION("""COMPUTED_VALUE"""),"")</f>
        <v/>
      </c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6"/>
      <c r="W133" s="56"/>
      <c r="X133" s="56"/>
      <c r="Y133" s="56"/>
      <c r="Z133" s="57"/>
      <c r="AA133" s="58"/>
      <c r="AB133" s="59"/>
    </row>
    <row r="134" ht="13.5" customHeight="1">
      <c r="A134" s="60" t="str">
        <f>IFERROR(__xludf.DUMMYFUNCTION("""COMPUTED_VALUE"""),"")</f>
        <v/>
      </c>
      <c r="B134" s="64" t="str">
        <f>IFERROR(__xludf.DUMMYFUNCTION("""COMPUTED_VALUE"""),"")</f>
        <v/>
      </c>
      <c r="C134" s="63" t="str">
        <f>IFERROR(__xludf.DUMMYFUNCTION("""COMPUTED_VALUE"""),"")</f>
        <v/>
      </c>
      <c r="D134" s="63" t="str">
        <f>IFERROR(__xludf.DUMMYFUNCTION("""COMPUTED_VALUE"""),"")</f>
        <v/>
      </c>
      <c r="E134" s="51" t="str">
        <f>IFERROR(__xludf.DUMMYFUNCTION("""COMPUTED_VALUE"""),"")</f>
        <v/>
      </c>
      <c r="F134" s="82" t="str">
        <f>IFERROR(__xludf.DUMMYFUNCTION("""COMPUTED_VALUE"""),"")</f>
        <v/>
      </c>
      <c r="G134" s="52" t="str">
        <f>IFERROR(__xludf.DUMMYFUNCTION("""COMPUTED_VALUE"""),"")</f>
        <v/>
      </c>
      <c r="H134" s="53" t="str">
        <f>IFERROR(__xludf.DUMMYFUNCTION("""COMPUTED_VALUE"""),"")</f>
        <v/>
      </c>
      <c r="I134" s="53" t="str">
        <f>IFERROR(__xludf.DUMMYFUNCTION("""COMPUTED_VALUE"""),"")</f>
        <v/>
      </c>
      <c r="J134" s="53" t="str">
        <f>IFERROR(__xludf.DUMMYFUNCTION("""COMPUTED_VALUE"""),"")</f>
        <v/>
      </c>
      <c r="K134" s="54" t="str">
        <f>IFERROR(__xludf.DUMMYFUNCTION("""COMPUTED_VALUE"""),"")</f>
        <v/>
      </c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6"/>
      <c r="W134" s="56"/>
      <c r="X134" s="56"/>
      <c r="Y134" s="56"/>
      <c r="Z134" s="57"/>
      <c r="AA134" s="58"/>
      <c r="AB134" s="59"/>
    </row>
    <row r="135" ht="13.5" customHeight="1">
      <c r="A135" s="60" t="str">
        <f>IFERROR(__xludf.DUMMYFUNCTION("""COMPUTED_VALUE"""),"")</f>
        <v/>
      </c>
      <c r="B135" s="64" t="str">
        <f>IFERROR(__xludf.DUMMYFUNCTION("""COMPUTED_VALUE"""),"")</f>
        <v/>
      </c>
      <c r="C135" s="63" t="str">
        <f>IFERROR(__xludf.DUMMYFUNCTION("""COMPUTED_VALUE"""),"")</f>
        <v/>
      </c>
      <c r="D135" s="63" t="str">
        <f>IFERROR(__xludf.DUMMYFUNCTION("""COMPUTED_VALUE"""),"")</f>
        <v/>
      </c>
      <c r="E135" s="51" t="str">
        <f>IFERROR(__xludf.DUMMYFUNCTION("""COMPUTED_VALUE"""),"")</f>
        <v/>
      </c>
      <c r="F135" s="82" t="str">
        <f>IFERROR(__xludf.DUMMYFUNCTION("""COMPUTED_VALUE"""),"")</f>
        <v/>
      </c>
      <c r="G135" s="52" t="str">
        <f>IFERROR(__xludf.DUMMYFUNCTION("""COMPUTED_VALUE"""),"")</f>
        <v/>
      </c>
      <c r="H135" s="53" t="str">
        <f>IFERROR(__xludf.DUMMYFUNCTION("""COMPUTED_VALUE"""),"")</f>
        <v/>
      </c>
      <c r="I135" s="53" t="str">
        <f>IFERROR(__xludf.DUMMYFUNCTION("""COMPUTED_VALUE"""),"")</f>
        <v/>
      </c>
      <c r="J135" s="53" t="str">
        <f>IFERROR(__xludf.DUMMYFUNCTION("""COMPUTED_VALUE"""),"")</f>
        <v/>
      </c>
      <c r="K135" s="54" t="str">
        <f>IFERROR(__xludf.DUMMYFUNCTION("""COMPUTED_VALUE"""),"")</f>
        <v/>
      </c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6"/>
      <c r="W135" s="56"/>
      <c r="X135" s="56"/>
      <c r="Y135" s="56"/>
      <c r="Z135" s="57"/>
      <c r="AA135" s="58"/>
      <c r="AB135" s="59"/>
    </row>
    <row r="136" ht="13.5" customHeight="1">
      <c r="A136" s="60" t="str">
        <f>IFERROR(__xludf.DUMMYFUNCTION("""COMPUTED_VALUE"""),"")</f>
        <v/>
      </c>
      <c r="B136" s="64" t="str">
        <f>IFERROR(__xludf.DUMMYFUNCTION("""COMPUTED_VALUE"""),"")</f>
        <v/>
      </c>
      <c r="C136" s="63" t="str">
        <f>IFERROR(__xludf.DUMMYFUNCTION("""COMPUTED_VALUE"""),"")</f>
        <v/>
      </c>
      <c r="D136" s="63" t="str">
        <f>IFERROR(__xludf.DUMMYFUNCTION("""COMPUTED_VALUE"""),"")</f>
        <v/>
      </c>
      <c r="E136" s="51" t="str">
        <f>IFERROR(__xludf.DUMMYFUNCTION("""COMPUTED_VALUE"""),"")</f>
        <v/>
      </c>
      <c r="F136" s="82" t="str">
        <f>IFERROR(__xludf.DUMMYFUNCTION("""COMPUTED_VALUE"""),"")</f>
        <v/>
      </c>
      <c r="G136" s="52" t="str">
        <f>IFERROR(__xludf.DUMMYFUNCTION("""COMPUTED_VALUE"""),"")</f>
        <v/>
      </c>
      <c r="H136" s="53" t="str">
        <f>IFERROR(__xludf.DUMMYFUNCTION("""COMPUTED_VALUE"""),"")</f>
        <v/>
      </c>
      <c r="I136" s="53" t="str">
        <f>IFERROR(__xludf.DUMMYFUNCTION("""COMPUTED_VALUE"""),"")</f>
        <v/>
      </c>
      <c r="J136" s="53" t="str">
        <f>IFERROR(__xludf.DUMMYFUNCTION("""COMPUTED_VALUE"""),"")</f>
        <v/>
      </c>
      <c r="K136" s="54" t="str">
        <f>IFERROR(__xludf.DUMMYFUNCTION("""COMPUTED_VALUE"""),"")</f>
        <v/>
      </c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6"/>
      <c r="W136" s="56"/>
      <c r="X136" s="56"/>
      <c r="Y136" s="56"/>
      <c r="Z136" s="57"/>
      <c r="AA136" s="58"/>
      <c r="AB136" s="59"/>
    </row>
    <row r="137" ht="13.5" customHeight="1">
      <c r="A137" s="60" t="str">
        <f>IFERROR(__xludf.DUMMYFUNCTION("""COMPUTED_VALUE"""),"")</f>
        <v/>
      </c>
      <c r="B137" s="64" t="str">
        <f>IFERROR(__xludf.DUMMYFUNCTION("""COMPUTED_VALUE"""),"")</f>
        <v/>
      </c>
      <c r="C137" s="63" t="str">
        <f>IFERROR(__xludf.DUMMYFUNCTION("""COMPUTED_VALUE"""),"")</f>
        <v/>
      </c>
      <c r="D137" s="63" t="str">
        <f>IFERROR(__xludf.DUMMYFUNCTION("""COMPUTED_VALUE"""),"")</f>
        <v/>
      </c>
      <c r="E137" s="51" t="str">
        <f>IFERROR(__xludf.DUMMYFUNCTION("""COMPUTED_VALUE"""),"")</f>
        <v/>
      </c>
      <c r="F137" s="82" t="str">
        <f>IFERROR(__xludf.DUMMYFUNCTION("""COMPUTED_VALUE"""),"")</f>
        <v/>
      </c>
      <c r="G137" s="52" t="str">
        <f>IFERROR(__xludf.DUMMYFUNCTION("""COMPUTED_VALUE"""),"")</f>
        <v/>
      </c>
      <c r="H137" s="53" t="str">
        <f>IFERROR(__xludf.DUMMYFUNCTION("""COMPUTED_VALUE"""),"")</f>
        <v/>
      </c>
      <c r="I137" s="53" t="str">
        <f>IFERROR(__xludf.DUMMYFUNCTION("""COMPUTED_VALUE"""),"")</f>
        <v/>
      </c>
      <c r="J137" s="53" t="str">
        <f>IFERROR(__xludf.DUMMYFUNCTION("""COMPUTED_VALUE"""),"")</f>
        <v/>
      </c>
      <c r="K137" s="54" t="str">
        <f>IFERROR(__xludf.DUMMYFUNCTION("""COMPUTED_VALUE"""),"")</f>
        <v/>
      </c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6"/>
      <c r="W137" s="56"/>
      <c r="X137" s="56"/>
      <c r="Y137" s="56"/>
      <c r="Z137" s="57"/>
      <c r="AA137" s="58"/>
      <c r="AB137" s="59"/>
    </row>
    <row r="138" ht="13.5" customHeight="1">
      <c r="A138" s="60" t="str">
        <f>IFERROR(__xludf.DUMMYFUNCTION("""COMPUTED_VALUE"""),"")</f>
        <v/>
      </c>
      <c r="B138" s="64" t="str">
        <f>IFERROR(__xludf.DUMMYFUNCTION("""COMPUTED_VALUE"""),"")</f>
        <v/>
      </c>
      <c r="C138" s="63" t="str">
        <f>IFERROR(__xludf.DUMMYFUNCTION("""COMPUTED_VALUE"""),"")</f>
        <v/>
      </c>
      <c r="D138" s="63" t="str">
        <f>IFERROR(__xludf.DUMMYFUNCTION("""COMPUTED_VALUE"""),"")</f>
        <v/>
      </c>
      <c r="E138" s="51" t="str">
        <f>IFERROR(__xludf.DUMMYFUNCTION("""COMPUTED_VALUE"""),"")</f>
        <v/>
      </c>
      <c r="F138" s="82" t="str">
        <f>IFERROR(__xludf.DUMMYFUNCTION("""COMPUTED_VALUE"""),"")</f>
        <v/>
      </c>
      <c r="G138" s="52" t="str">
        <f>IFERROR(__xludf.DUMMYFUNCTION("""COMPUTED_VALUE"""),"")</f>
        <v/>
      </c>
      <c r="H138" s="53" t="str">
        <f>IFERROR(__xludf.DUMMYFUNCTION("""COMPUTED_VALUE"""),"")</f>
        <v/>
      </c>
      <c r="I138" s="53" t="str">
        <f>IFERROR(__xludf.DUMMYFUNCTION("""COMPUTED_VALUE"""),"")</f>
        <v/>
      </c>
      <c r="J138" s="53" t="str">
        <f>IFERROR(__xludf.DUMMYFUNCTION("""COMPUTED_VALUE"""),"")</f>
        <v/>
      </c>
      <c r="K138" s="54" t="str">
        <f>IFERROR(__xludf.DUMMYFUNCTION("""COMPUTED_VALUE"""),"")</f>
        <v/>
      </c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6"/>
      <c r="W138" s="56"/>
      <c r="X138" s="56"/>
      <c r="Y138" s="56"/>
      <c r="Z138" s="57"/>
      <c r="AA138" s="58"/>
      <c r="AB138" s="59"/>
    </row>
    <row r="139" ht="13.5" customHeight="1">
      <c r="A139" s="60" t="str">
        <f>IFERROR(__xludf.DUMMYFUNCTION("""COMPUTED_VALUE"""),"")</f>
        <v/>
      </c>
      <c r="B139" s="64" t="str">
        <f>IFERROR(__xludf.DUMMYFUNCTION("""COMPUTED_VALUE"""),"")</f>
        <v/>
      </c>
      <c r="C139" s="63" t="str">
        <f>IFERROR(__xludf.DUMMYFUNCTION("""COMPUTED_VALUE"""),"")</f>
        <v/>
      </c>
      <c r="D139" s="63" t="str">
        <f>IFERROR(__xludf.DUMMYFUNCTION("""COMPUTED_VALUE"""),"")</f>
        <v/>
      </c>
      <c r="E139" s="51" t="str">
        <f>IFERROR(__xludf.DUMMYFUNCTION("""COMPUTED_VALUE"""),"")</f>
        <v/>
      </c>
      <c r="F139" s="82" t="str">
        <f>IFERROR(__xludf.DUMMYFUNCTION("""COMPUTED_VALUE"""),"")</f>
        <v/>
      </c>
      <c r="G139" s="52" t="str">
        <f>IFERROR(__xludf.DUMMYFUNCTION("""COMPUTED_VALUE"""),"")</f>
        <v/>
      </c>
      <c r="H139" s="53" t="str">
        <f>IFERROR(__xludf.DUMMYFUNCTION("""COMPUTED_VALUE"""),"")</f>
        <v/>
      </c>
      <c r="I139" s="53" t="str">
        <f>IFERROR(__xludf.DUMMYFUNCTION("""COMPUTED_VALUE"""),"")</f>
        <v/>
      </c>
      <c r="J139" s="53" t="str">
        <f>IFERROR(__xludf.DUMMYFUNCTION("""COMPUTED_VALUE"""),"")</f>
        <v/>
      </c>
      <c r="K139" s="54" t="str">
        <f>IFERROR(__xludf.DUMMYFUNCTION("""COMPUTED_VALUE"""),"")</f>
        <v/>
      </c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6"/>
      <c r="W139" s="56"/>
      <c r="X139" s="56"/>
      <c r="Y139" s="56"/>
      <c r="Z139" s="57"/>
      <c r="AA139" s="58"/>
      <c r="AB139" s="59"/>
    </row>
    <row r="140" ht="13.5" customHeight="1">
      <c r="A140" s="60" t="str">
        <f>IFERROR(__xludf.DUMMYFUNCTION("""COMPUTED_VALUE"""),"")</f>
        <v/>
      </c>
      <c r="B140" s="64" t="str">
        <f>IFERROR(__xludf.DUMMYFUNCTION("""COMPUTED_VALUE"""),"")</f>
        <v/>
      </c>
      <c r="C140" s="63" t="str">
        <f>IFERROR(__xludf.DUMMYFUNCTION("""COMPUTED_VALUE"""),"")</f>
        <v/>
      </c>
      <c r="D140" s="63" t="str">
        <f>IFERROR(__xludf.DUMMYFUNCTION("""COMPUTED_VALUE"""),"")</f>
        <v/>
      </c>
      <c r="E140" s="51" t="str">
        <f>IFERROR(__xludf.DUMMYFUNCTION("""COMPUTED_VALUE"""),"")</f>
        <v/>
      </c>
      <c r="F140" s="82" t="str">
        <f>IFERROR(__xludf.DUMMYFUNCTION("""COMPUTED_VALUE"""),"")</f>
        <v/>
      </c>
      <c r="G140" s="52" t="str">
        <f>IFERROR(__xludf.DUMMYFUNCTION("""COMPUTED_VALUE"""),"")</f>
        <v/>
      </c>
      <c r="H140" s="53" t="str">
        <f>IFERROR(__xludf.DUMMYFUNCTION("""COMPUTED_VALUE"""),"")</f>
        <v/>
      </c>
      <c r="I140" s="53" t="str">
        <f>IFERROR(__xludf.DUMMYFUNCTION("""COMPUTED_VALUE"""),"")</f>
        <v/>
      </c>
      <c r="J140" s="53" t="str">
        <f>IFERROR(__xludf.DUMMYFUNCTION("""COMPUTED_VALUE"""),"")</f>
        <v/>
      </c>
      <c r="K140" s="54" t="str">
        <f>IFERROR(__xludf.DUMMYFUNCTION("""COMPUTED_VALUE"""),"")</f>
        <v/>
      </c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6"/>
      <c r="W140" s="56"/>
      <c r="X140" s="56"/>
      <c r="Y140" s="56"/>
      <c r="Z140" s="57"/>
      <c r="AA140" s="58"/>
      <c r="AB140" s="59"/>
    </row>
    <row r="141" ht="13.5" customHeight="1">
      <c r="A141" s="60" t="str">
        <f>IFERROR(__xludf.DUMMYFUNCTION("""COMPUTED_VALUE"""),"")</f>
        <v/>
      </c>
      <c r="B141" s="64" t="str">
        <f>IFERROR(__xludf.DUMMYFUNCTION("""COMPUTED_VALUE"""),"")</f>
        <v/>
      </c>
      <c r="C141" s="63" t="str">
        <f>IFERROR(__xludf.DUMMYFUNCTION("""COMPUTED_VALUE"""),"")</f>
        <v/>
      </c>
      <c r="D141" s="63" t="str">
        <f>IFERROR(__xludf.DUMMYFUNCTION("""COMPUTED_VALUE"""),"")</f>
        <v/>
      </c>
      <c r="E141" s="51" t="str">
        <f>IFERROR(__xludf.DUMMYFUNCTION("""COMPUTED_VALUE"""),"")</f>
        <v/>
      </c>
      <c r="F141" s="82" t="str">
        <f>IFERROR(__xludf.DUMMYFUNCTION("""COMPUTED_VALUE"""),"")</f>
        <v/>
      </c>
      <c r="G141" s="52" t="str">
        <f>IFERROR(__xludf.DUMMYFUNCTION("""COMPUTED_VALUE"""),"")</f>
        <v/>
      </c>
      <c r="H141" s="53" t="str">
        <f>IFERROR(__xludf.DUMMYFUNCTION("""COMPUTED_VALUE"""),"")</f>
        <v/>
      </c>
      <c r="I141" s="53" t="str">
        <f>IFERROR(__xludf.DUMMYFUNCTION("""COMPUTED_VALUE"""),"")</f>
        <v/>
      </c>
      <c r="J141" s="53" t="str">
        <f>IFERROR(__xludf.DUMMYFUNCTION("""COMPUTED_VALUE"""),"")</f>
        <v/>
      </c>
      <c r="K141" s="54" t="str">
        <f>IFERROR(__xludf.DUMMYFUNCTION("""COMPUTED_VALUE"""),"")</f>
        <v/>
      </c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6"/>
      <c r="W141" s="56"/>
      <c r="X141" s="56"/>
      <c r="Y141" s="56"/>
      <c r="Z141" s="57"/>
      <c r="AA141" s="58"/>
      <c r="AB141" s="59"/>
    </row>
    <row r="142" ht="13.5" customHeight="1">
      <c r="A142" s="60" t="str">
        <f>IFERROR(__xludf.DUMMYFUNCTION("""COMPUTED_VALUE"""),"")</f>
        <v/>
      </c>
      <c r="B142" s="64" t="str">
        <f>IFERROR(__xludf.DUMMYFUNCTION("""COMPUTED_VALUE"""),"")</f>
        <v/>
      </c>
      <c r="C142" s="63" t="str">
        <f>IFERROR(__xludf.DUMMYFUNCTION("""COMPUTED_VALUE"""),"")</f>
        <v/>
      </c>
      <c r="D142" s="63" t="str">
        <f>IFERROR(__xludf.DUMMYFUNCTION("""COMPUTED_VALUE"""),"")</f>
        <v/>
      </c>
      <c r="E142" s="51" t="str">
        <f>IFERROR(__xludf.DUMMYFUNCTION("""COMPUTED_VALUE"""),"")</f>
        <v/>
      </c>
      <c r="F142" s="82" t="str">
        <f>IFERROR(__xludf.DUMMYFUNCTION("""COMPUTED_VALUE"""),"")</f>
        <v/>
      </c>
      <c r="G142" s="52" t="str">
        <f>IFERROR(__xludf.DUMMYFUNCTION("""COMPUTED_VALUE"""),"")</f>
        <v/>
      </c>
      <c r="H142" s="53" t="str">
        <f>IFERROR(__xludf.DUMMYFUNCTION("""COMPUTED_VALUE"""),"")</f>
        <v/>
      </c>
      <c r="I142" s="53" t="str">
        <f>IFERROR(__xludf.DUMMYFUNCTION("""COMPUTED_VALUE"""),"")</f>
        <v/>
      </c>
      <c r="J142" s="53" t="str">
        <f>IFERROR(__xludf.DUMMYFUNCTION("""COMPUTED_VALUE"""),"")</f>
        <v/>
      </c>
      <c r="K142" s="54" t="str">
        <f>IFERROR(__xludf.DUMMYFUNCTION("""COMPUTED_VALUE"""),"")</f>
        <v/>
      </c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6"/>
      <c r="W142" s="56"/>
      <c r="X142" s="56"/>
      <c r="Y142" s="56"/>
      <c r="Z142" s="57"/>
      <c r="AA142" s="58"/>
      <c r="AB142" s="59"/>
    </row>
    <row r="143" ht="13.5" customHeight="1">
      <c r="A143" s="60" t="str">
        <f>IFERROR(__xludf.DUMMYFUNCTION("""COMPUTED_VALUE"""),"")</f>
        <v/>
      </c>
      <c r="B143" s="64" t="str">
        <f>IFERROR(__xludf.DUMMYFUNCTION("""COMPUTED_VALUE"""),"")</f>
        <v/>
      </c>
      <c r="C143" s="63" t="str">
        <f>IFERROR(__xludf.DUMMYFUNCTION("""COMPUTED_VALUE"""),"")</f>
        <v/>
      </c>
      <c r="D143" s="63" t="str">
        <f>IFERROR(__xludf.DUMMYFUNCTION("""COMPUTED_VALUE"""),"")</f>
        <v/>
      </c>
      <c r="E143" s="51" t="str">
        <f>IFERROR(__xludf.DUMMYFUNCTION("""COMPUTED_VALUE"""),"")</f>
        <v/>
      </c>
      <c r="F143" s="82" t="str">
        <f>IFERROR(__xludf.DUMMYFUNCTION("""COMPUTED_VALUE"""),"")</f>
        <v/>
      </c>
      <c r="G143" s="52" t="str">
        <f>IFERROR(__xludf.DUMMYFUNCTION("""COMPUTED_VALUE"""),"")</f>
        <v/>
      </c>
      <c r="H143" s="53" t="str">
        <f>IFERROR(__xludf.DUMMYFUNCTION("""COMPUTED_VALUE"""),"")</f>
        <v/>
      </c>
      <c r="I143" s="53" t="str">
        <f>IFERROR(__xludf.DUMMYFUNCTION("""COMPUTED_VALUE"""),"")</f>
        <v/>
      </c>
      <c r="J143" s="53" t="str">
        <f>IFERROR(__xludf.DUMMYFUNCTION("""COMPUTED_VALUE"""),"")</f>
        <v/>
      </c>
      <c r="K143" s="54" t="str">
        <f>IFERROR(__xludf.DUMMYFUNCTION("""COMPUTED_VALUE"""),"")</f>
        <v/>
      </c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6"/>
      <c r="W143" s="56"/>
      <c r="X143" s="56"/>
      <c r="Y143" s="56"/>
      <c r="Z143" s="57"/>
      <c r="AA143" s="58"/>
      <c r="AB143" s="59"/>
    </row>
    <row r="144" ht="13.5" customHeight="1">
      <c r="A144" s="60" t="str">
        <f>IFERROR(__xludf.DUMMYFUNCTION("""COMPUTED_VALUE"""),"")</f>
        <v/>
      </c>
      <c r="B144" s="64" t="str">
        <f>IFERROR(__xludf.DUMMYFUNCTION("""COMPUTED_VALUE"""),"")</f>
        <v/>
      </c>
      <c r="C144" s="63" t="str">
        <f>IFERROR(__xludf.DUMMYFUNCTION("""COMPUTED_VALUE"""),"")</f>
        <v/>
      </c>
      <c r="D144" s="63" t="str">
        <f>IFERROR(__xludf.DUMMYFUNCTION("""COMPUTED_VALUE"""),"")</f>
        <v/>
      </c>
      <c r="E144" s="51" t="str">
        <f>IFERROR(__xludf.DUMMYFUNCTION("""COMPUTED_VALUE"""),"")</f>
        <v/>
      </c>
      <c r="F144" s="82" t="str">
        <f>IFERROR(__xludf.DUMMYFUNCTION("""COMPUTED_VALUE"""),"")</f>
        <v/>
      </c>
      <c r="G144" s="52" t="str">
        <f>IFERROR(__xludf.DUMMYFUNCTION("""COMPUTED_VALUE"""),"")</f>
        <v/>
      </c>
      <c r="H144" s="53" t="str">
        <f>IFERROR(__xludf.DUMMYFUNCTION("""COMPUTED_VALUE"""),"")</f>
        <v/>
      </c>
      <c r="I144" s="53" t="str">
        <f>IFERROR(__xludf.DUMMYFUNCTION("""COMPUTED_VALUE"""),"")</f>
        <v/>
      </c>
      <c r="J144" s="53" t="str">
        <f>IFERROR(__xludf.DUMMYFUNCTION("""COMPUTED_VALUE"""),"")</f>
        <v/>
      </c>
      <c r="K144" s="54" t="str">
        <f>IFERROR(__xludf.DUMMYFUNCTION("""COMPUTED_VALUE"""),"")</f>
        <v/>
      </c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6"/>
      <c r="W144" s="56"/>
      <c r="X144" s="56"/>
      <c r="Y144" s="56"/>
      <c r="Z144" s="57"/>
      <c r="AA144" s="58"/>
      <c r="AB144" s="59"/>
    </row>
    <row r="145" ht="13.5" customHeight="1">
      <c r="A145" s="60" t="str">
        <f>IFERROR(__xludf.DUMMYFUNCTION("""COMPUTED_VALUE"""),"")</f>
        <v/>
      </c>
      <c r="B145" s="64" t="str">
        <f>IFERROR(__xludf.DUMMYFUNCTION("""COMPUTED_VALUE"""),"")</f>
        <v/>
      </c>
      <c r="C145" s="63" t="str">
        <f>IFERROR(__xludf.DUMMYFUNCTION("""COMPUTED_VALUE"""),"")</f>
        <v/>
      </c>
      <c r="D145" s="63" t="str">
        <f>IFERROR(__xludf.DUMMYFUNCTION("""COMPUTED_VALUE"""),"")</f>
        <v/>
      </c>
      <c r="E145" s="51" t="str">
        <f>IFERROR(__xludf.DUMMYFUNCTION("""COMPUTED_VALUE"""),"")</f>
        <v/>
      </c>
      <c r="F145" s="82" t="str">
        <f>IFERROR(__xludf.DUMMYFUNCTION("""COMPUTED_VALUE"""),"")</f>
        <v/>
      </c>
      <c r="G145" s="52" t="str">
        <f>IFERROR(__xludf.DUMMYFUNCTION("""COMPUTED_VALUE"""),"")</f>
        <v/>
      </c>
      <c r="H145" s="53" t="str">
        <f>IFERROR(__xludf.DUMMYFUNCTION("""COMPUTED_VALUE"""),"")</f>
        <v/>
      </c>
      <c r="I145" s="53" t="str">
        <f>IFERROR(__xludf.DUMMYFUNCTION("""COMPUTED_VALUE"""),"")</f>
        <v/>
      </c>
      <c r="J145" s="53" t="str">
        <f>IFERROR(__xludf.DUMMYFUNCTION("""COMPUTED_VALUE"""),"")</f>
        <v/>
      </c>
      <c r="K145" s="54" t="str">
        <f>IFERROR(__xludf.DUMMYFUNCTION("""COMPUTED_VALUE"""),"")</f>
        <v/>
      </c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6"/>
      <c r="W145" s="56"/>
      <c r="X145" s="56"/>
      <c r="Y145" s="56"/>
      <c r="Z145" s="57"/>
      <c r="AA145" s="58"/>
      <c r="AB145" s="59"/>
    </row>
    <row r="146" ht="13.5" customHeight="1">
      <c r="A146" s="60" t="str">
        <f>IFERROR(__xludf.DUMMYFUNCTION("""COMPUTED_VALUE"""),"")</f>
        <v/>
      </c>
      <c r="B146" s="64" t="str">
        <f>IFERROR(__xludf.DUMMYFUNCTION("""COMPUTED_VALUE"""),"")</f>
        <v/>
      </c>
      <c r="C146" s="63" t="str">
        <f>IFERROR(__xludf.DUMMYFUNCTION("""COMPUTED_VALUE"""),"")</f>
        <v/>
      </c>
      <c r="D146" s="63" t="str">
        <f>IFERROR(__xludf.DUMMYFUNCTION("""COMPUTED_VALUE"""),"")</f>
        <v/>
      </c>
      <c r="E146" s="51" t="str">
        <f>IFERROR(__xludf.DUMMYFUNCTION("""COMPUTED_VALUE"""),"")</f>
        <v/>
      </c>
      <c r="F146" s="82" t="str">
        <f>IFERROR(__xludf.DUMMYFUNCTION("""COMPUTED_VALUE"""),"")</f>
        <v/>
      </c>
      <c r="G146" s="52" t="str">
        <f>IFERROR(__xludf.DUMMYFUNCTION("""COMPUTED_VALUE"""),"")</f>
        <v/>
      </c>
      <c r="H146" s="53" t="str">
        <f>IFERROR(__xludf.DUMMYFUNCTION("""COMPUTED_VALUE"""),"")</f>
        <v/>
      </c>
      <c r="I146" s="53" t="str">
        <f>IFERROR(__xludf.DUMMYFUNCTION("""COMPUTED_VALUE"""),"")</f>
        <v/>
      </c>
      <c r="J146" s="53" t="str">
        <f>IFERROR(__xludf.DUMMYFUNCTION("""COMPUTED_VALUE"""),"")</f>
        <v/>
      </c>
      <c r="K146" s="54" t="str">
        <f>IFERROR(__xludf.DUMMYFUNCTION("""COMPUTED_VALUE"""),"")</f>
        <v/>
      </c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6"/>
      <c r="W146" s="56"/>
      <c r="X146" s="56"/>
      <c r="Y146" s="56"/>
      <c r="Z146" s="57"/>
      <c r="AA146" s="58"/>
      <c r="AB146" s="59"/>
    </row>
    <row r="147" ht="13.5" customHeight="1">
      <c r="A147" s="60" t="str">
        <f>IFERROR(__xludf.DUMMYFUNCTION("""COMPUTED_VALUE"""),"")</f>
        <v/>
      </c>
      <c r="B147" s="64" t="str">
        <f>IFERROR(__xludf.DUMMYFUNCTION("""COMPUTED_VALUE"""),"")</f>
        <v/>
      </c>
      <c r="C147" s="63" t="str">
        <f>IFERROR(__xludf.DUMMYFUNCTION("""COMPUTED_VALUE"""),"")</f>
        <v/>
      </c>
      <c r="D147" s="63" t="str">
        <f>IFERROR(__xludf.DUMMYFUNCTION("""COMPUTED_VALUE"""),"")</f>
        <v/>
      </c>
      <c r="E147" s="51" t="str">
        <f>IFERROR(__xludf.DUMMYFUNCTION("""COMPUTED_VALUE"""),"")</f>
        <v/>
      </c>
      <c r="F147" s="82" t="str">
        <f>IFERROR(__xludf.DUMMYFUNCTION("""COMPUTED_VALUE"""),"")</f>
        <v/>
      </c>
      <c r="G147" s="52" t="str">
        <f>IFERROR(__xludf.DUMMYFUNCTION("""COMPUTED_VALUE"""),"")</f>
        <v/>
      </c>
      <c r="H147" s="53" t="str">
        <f>IFERROR(__xludf.DUMMYFUNCTION("""COMPUTED_VALUE"""),"")</f>
        <v/>
      </c>
      <c r="I147" s="53" t="str">
        <f>IFERROR(__xludf.DUMMYFUNCTION("""COMPUTED_VALUE"""),"")</f>
        <v/>
      </c>
      <c r="J147" s="53" t="str">
        <f>IFERROR(__xludf.DUMMYFUNCTION("""COMPUTED_VALUE"""),"")</f>
        <v/>
      </c>
      <c r="K147" s="54" t="str">
        <f>IFERROR(__xludf.DUMMYFUNCTION("""COMPUTED_VALUE"""),"")</f>
        <v/>
      </c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6"/>
      <c r="W147" s="56"/>
      <c r="X147" s="56"/>
      <c r="Y147" s="56"/>
      <c r="Z147" s="57"/>
      <c r="AA147" s="58"/>
      <c r="AB147" s="59"/>
    </row>
    <row r="148" ht="13.5" customHeight="1">
      <c r="A148" s="60" t="str">
        <f>IFERROR(__xludf.DUMMYFUNCTION("""COMPUTED_VALUE"""),"")</f>
        <v/>
      </c>
      <c r="B148" s="64" t="str">
        <f>IFERROR(__xludf.DUMMYFUNCTION("""COMPUTED_VALUE"""),"")</f>
        <v/>
      </c>
      <c r="C148" s="63" t="str">
        <f>IFERROR(__xludf.DUMMYFUNCTION("""COMPUTED_VALUE"""),"")</f>
        <v/>
      </c>
      <c r="D148" s="63" t="str">
        <f>IFERROR(__xludf.DUMMYFUNCTION("""COMPUTED_VALUE"""),"")</f>
        <v/>
      </c>
      <c r="E148" s="51" t="str">
        <f>IFERROR(__xludf.DUMMYFUNCTION("""COMPUTED_VALUE"""),"")</f>
        <v/>
      </c>
      <c r="F148" s="82" t="str">
        <f>IFERROR(__xludf.DUMMYFUNCTION("""COMPUTED_VALUE"""),"")</f>
        <v/>
      </c>
      <c r="G148" s="52" t="str">
        <f>IFERROR(__xludf.DUMMYFUNCTION("""COMPUTED_VALUE"""),"")</f>
        <v/>
      </c>
      <c r="H148" s="53" t="str">
        <f>IFERROR(__xludf.DUMMYFUNCTION("""COMPUTED_VALUE"""),"")</f>
        <v/>
      </c>
      <c r="I148" s="53" t="str">
        <f>IFERROR(__xludf.DUMMYFUNCTION("""COMPUTED_VALUE"""),"")</f>
        <v/>
      </c>
      <c r="J148" s="53" t="str">
        <f>IFERROR(__xludf.DUMMYFUNCTION("""COMPUTED_VALUE"""),"")</f>
        <v/>
      </c>
      <c r="K148" s="54" t="str">
        <f>IFERROR(__xludf.DUMMYFUNCTION("""COMPUTED_VALUE"""),"")</f>
        <v/>
      </c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6"/>
      <c r="W148" s="56"/>
      <c r="X148" s="56"/>
      <c r="Y148" s="56"/>
      <c r="Z148" s="57"/>
      <c r="AA148" s="58"/>
      <c r="AB148" s="59"/>
    </row>
    <row r="149" ht="13.5" customHeight="1">
      <c r="A149" s="60" t="str">
        <f>IFERROR(__xludf.DUMMYFUNCTION("""COMPUTED_VALUE"""),"")</f>
        <v/>
      </c>
      <c r="B149" s="64" t="str">
        <f>IFERROR(__xludf.DUMMYFUNCTION("""COMPUTED_VALUE"""),"")</f>
        <v/>
      </c>
      <c r="C149" s="63" t="str">
        <f>IFERROR(__xludf.DUMMYFUNCTION("""COMPUTED_VALUE"""),"")</f>
        <v/>
      </c>
      <c r="D149" s="63" t="str">
        <f>IFERROR(__xludf.DUMMYFUNCTION("""COMPUTED_VALUE"""),"")</f>
        <v/>
      </c>
      <c r="E149" s="51" t="str">
        <f>IFERROR(__xludf.DUMMYFUNCTION("""COMPUTED_VALUE"""),"")</f>
        <v/>
      </c>
      <c r="F149" s="82" t="str">
        <f>IFERROR(__xludf.DUMMYFUNCTION("""COMPUTED_VALUE"""),"")</f>
        <v/>
      </c>
      <c r="G149" s="52" t="str">
        <f>IFERROR(__xludf.DUMMYFUNCTION("""COMPUTED_VALUE"""),"")</f>
        <v/>
      </c>
      <c r="H149" s="53" t="str">
        <f>IFERROR(__xludf.DUMMYFUNCTION("""COMPUTED_VALUE"""),"")</f>
        <v/>
      </c>
      <c r="I149" s="53" t="str">
        <f>IFERROR(__xludf.DUMMYFUNCTION("""COMPUTED_VALUE"""),"")</f>
        <v/>
      </c>
      <c r="J149" s="53" t="str">
        <f>IFERROR(__xludf.DUMMYFUNCTION("""COMPUTED_VALUE"""),"")</f>
        <v/>
      </c>
      <c r="K149" s="54" t="str">
        <f>IFERROR(__xludf.DUMMYFUNCTION("""COMPUTED_VALUE"""),"")</f>
        <v/>
      </c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6"/>
      <c r="W149" s="56"/>
      <c r="X149" s="56"/>
      <c r="Y149" s="56"/>
      <c r="Z149" s="57"/>
      <c r="AA149" s="58"/>
      <c r="AB149" s="59"/>
    </row>
    <row r="150" ht="13.5" customHeight="1">
      <c r="A150" s="60" t="str">
        <f>IFERROR(__xludf.DUMMYFUNCTION("""COMPUTED_VALUE"""),"")</f>
        <v/>
      </c>
      <c r="B150" s="64" t="str">
        <f>IFERROR(__xludf.DUMMYFUNCTION("""COMPUTED_VALUE"""),"")</f>
        <v/>
      </c>
      <c r="C150" s="63" t="str">
        <f>IFERROR(__xludf.DUMMYFUNCTION("""COMPUTED_VALUE"""),"")</f>
        <v/>
      </c>
      <c r="D150" s="63" t="str">
        <f>IFERROR(__xludf.DUMMYFUNCTION("""COMPUTED_VALUE"""),"")</f>
        <v/>
      </c>
      <c r="E150" s="51" t="str">
        <f>IFERROR(__xludf.DUMMYFUNCTION("""COMPUTED_VALUE"""),"")</f>
        <v/>
      </c>
      <c r="F150" s="82" t="str">
        <f>IFERROR(__xludf.DUMMYFUNCTION("""COMPUTED_VALUE"""),"")</f>
        <v/>
      </c>
      <c r="G150" s="52" t="str">
        <f>IFERROR(__xludf.DUMMYFUNCTION("""COMPUTED_VALUE"""),"")</f>
        <v/>
      </c>
      <c r="H150" s="53" t="str">
        <f>IFERROR(__xludf.DUMMYFUNCTION("""COMPUTED_VALUE"""),"")</f>
        <v/>
      </c>
      <c r="I150" s="53" t="str">
        <f>IFERROR(__xludf.DUMMYFUNCTION("""COMPUTED_VALUE"""),"")</f>
        <v/>
      </c>
      <c r="J150" s="53" t="str">
        <f>IFERROR(__xludf.DUMMYFUNCTION("""COMPUTED_VALUE"""),"")</f>
        <v/>
      </c>
      <c r="K150" s="54" t="str">
        <f>IFERROR(__xludf.DUMMYFUNCTION("""COMPUTED_VALUE"""),"")</f>
        <v/>
      </c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6"/>
      <c r="W150" s="56"/>
      <c r="X150" s="56"/>
      <c r="Y150" s="56"/>
      <c r="Z150" s="57"/>
      <c r="AA150" s="58"/>
      <c r="AB150" s="59"/>
    </row>
    <row r="151" ht="13.5" customHeight="1">
      <c r="A151" s="60" t="str">
        <f>IFERROR(__xludf.DUMMYFUNCTION("""COMPUTED_VALUE"""),"")</f>
        <v/>
      </c>
      <c r="B151" s="64" t="str">
        <f>IFERROR(__xludf.DUMMYFUNCTION("""COMPUTED_VALUE"""),"")</f>
        <v/>
      </c>
      <c r="C151" s="63" t="str">
        <f>IFERROR(__xludf.DUMMYFUNCTION("""COMPUTED_VALUE"""),"")</f>
        <v/>
      </c>
      <c r="D151" s="63" t="str">
        <f>IFERROR(__xludf.DUMMYFUNCTION("""COMPUTED_VALUE"""),"")</f>
        <v/>
      </c>
      <c r="E151" s="51" t="str">
        <f>IFERROR(__xludf.DUMMYFUNCTION("""COMPUTED_VALUE"""),"")</f>
        <v/>
      </c>
      <c r="F151" s="82" t="str">
        <f>IFERROR(__xludf.DUMMYFUNCTION("""COMPUTED_VALUE"""),"")</f>
        <v/>
      </c>
      <c r="G151" s="52" t="str">
        <f>IFERROR(__xludf.DUMMYFUNCTION("""COMPUTED_VALUE"""),"")</f>
        <v/>
      </c>
      <c r="H151" s="53" t="str">
        <f>IFERROR(__xludf.DUMMYFUNCTION("""COMPUTED_VALUE"""),"")</f>
        <v/>
      </c>
      <c r="I151" s="53" t="str">
        <f>IFERROR(__xludf.DUMMYFUNCTION("""COMPUTED_VALUE"""),"")</f>
        <v/>
      </c>
      <c r="J151" s="53" t="str">
        <f>IFERROR(__xludf.DUMMYFUNCTION("""COMPUTED_VALUE"""),"")</f>
        <v/>
      </c>
      <c r="K151" s="54" t="str">
        <f>IFERROR(__xludf.DUMMYFUNCTION("""COMPUTED_VALUE"""),"")</f>
        <v/>
      </c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6"/>
      <c r="W151" s="56"/>
      <c r="X151" s="56"/>
      <c r="Y151" s="56"/>
      <c r="Z151" s="57"/>
      <c r="AA151" s="58"/>
      <c r="AB151" s="59"/>
    </row>
    <row r="152" ht="13.5" customHeight="1">
      <c r="A152" s="60" t="str">
        <f>IFERROR(__xludf.DUMMYFUNCTION("""COMPUTED_VALUE"""),"")</f>
        <v/>
      </c>
      <c r="B152" s="64" t="str">
        <f>IFERROR(__xludf.DUMMYFUNCTION("""COMPUTED_VALUE"""),"")</f>
        <v/>
      </c>
      <c r="C152" s="63" t="str">
        <f>IFERROR(__xludf.DUMMYFUNCTION("""COMPUTED_VALUE"""),"")</f>
        <v/>
      </c>
      <c r="D152" s="63" t="str">
        <f>IFERROR(__xludf.DUMMYFUNCTION("""COMPUTED_VALUE"""),"")</f>
        <v/>
      </c>
      <c r="E152" s="51" t="str">
        <f>IFERROR(__xludf.DUMMYFUNCTION("""COMPUTED_VALUE"""),"")</f>
        <v/>
      </c>
      <c r="F152" s="82" t="str">
        <f>IFERROR(__xludf.DUMMYFUNCTION("""COMPUTED_VALUE"""),"")</f>
        <v/>
      </c>
      <c r="G152" s="52" t="str">
        <f>IFERROR(__xludf.DUMMYFUNCTION("""COMPUTED_VALUE"""),"")</f>
        <v/>
      </c>
      <c r="H152" s="53" t="str">
        <f>IFERROR(__xludf.DUMMYFUNCTION("""COMPUTED_VALUE"""),"")</f>
        <v/>
      </c>
      <c r="I152" s="53" t="str">
        <f>IFERROR(__xludf.DUMMYFUNCTION("""COMPUTED_VALUE"""),"")</f>
        <v/>
      </c>
      <c r="J152" s="53" t="str">
        <f>IFERROR(__xludf.DUMMYFUNCTION("""COMPUTED_VALUE"""),"")</f>
        <v/>
      </c>
      <c r="K152" s="54" t="str">
        <f>IFERROR(__xludf.DUMMYFUNCTION("""COMPUTED_VALUE"""),"")</f>
        <v/>
      </c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6"/>
      <c r="W152" s="56"/>
      <c r="X152" s="56"/>
      <c r="Y152" s="56"/>
      <c r="Z152" s="57"/>
      <c r="AA152" s="58"/>
      <c r="AB152" s="59"/>
    </row>
    <row r="153" ht="13.5" customHeight="1">
      <c r="A153" s="60" t="str">
        <f>IFERROR(__xludf.DUMMYFUNCTION("""COMPUTED_VALUE"""),"")</f>
        <v/>
      </c>
      <c r="B153" s="64" t="str">
        <f>IFERROR(__xludf.DUMMYFUNCTION("""COMPUTED_VALUE"""),"")</f>
        <v/>
      </c>
      <c r="C153" s="63" t="str">
        <f>IFERROR(__xludf.DUMMYFUNCTION("""COMPUTED_VALUE"""),"")</f>
        <v/>
      </c>
      <c r="D153" s="63" t="str">
        <f>IFERROR(__xludf.DUMMYFUNCTION("""COMPUTED_VALUE"""),"")</f>
        <v/>
      </c>
      <c r="E153" s="51" t="str">
        <f>IFERROR(__xludf.DUMMYFUNCTION("""COMPUTED_VALUE"""),"")</f>
        <v/>
      </c>
      <c r="F153" s="82" t="str">
        <f>IFERROR(__xludf.DUMMYFUNCTION("""COMPUTED_VALUE"""),"")</f>
        <v/>
      </c>
      <c r="G153" s="52" t="str">
        <f>IFERROR(__xludf.DUMMYFUNCTION("""COMPUTED_VALUE"""),"")</f>
        <v/>
      </c>
      <c r="H153" s="53" t="str">
        <f>IFERROR(__xludf.DUMMYFUNCTION("""COMPUTED_VALUE"""),"")</f>
        <v/>
      </c>
      <c r="I153" s="53" t="str">
        <f>IFERROR(__xludf.DUMMYFUNCTION("""COMPUTED_VALUE"""),"")</f>
        <v/>
      </c>
      <c r="J153" s="53" t="str">
        <f>IFERROR(__xludf.DUMMYFUNCTION("""COMPUTED_VALUE"""),"")</f>
        <v/>
      </c>
      <c r="K153" s="54" t="str">
        <f>IFERROR(__xludf.DUMMYFUNCTION("""COMPUTED_VALUE"""),"")</f>
        <v/>
      </c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6"/>
      <c r="W153" s="56"/>
      <c r="X153" s="56"/>
      <c r="Y153" s="56"/>
      <c r="Z153" s="57"/>
      <c r="AA153" s="58"/>
      <c r="AB153" s="59"/>
    </row>
    <row r="154" ht="13.5" customHeight="1">
      <c r="A154" s="60" t="str">
        <f>IFERROR(__xludf.DUMMYFUNCTION("""COMPUTED_VALUE"""),"")</f>
        <v/>
      </c>
      <c r="B154" s="64" t="str">
        <f>IFERROR(__xludf.DUMMYFUNCTION("""COMPUTED_VALUE"""),"")</f>
        <v/>
      </c>
      <c r="C154" s="63" t="str">
        <f>IFERROR(__xludf.DUMMYFUNCTION("""COMPUTED_VALUE"""),"")</f>
        <v/>
      </c>
      <c r="D154" s="63" t="str">
        <f>IFERROR(__xludf.DUMMYFUNCTION("""COMPUTED_VALUE"""),"")</f>
        <v/>
      </c>
      <c r="E154" s="51" t="str">
        <f>IFERROR(__xludf.DUMMYFUNCTION("""COMPUTED_VALUE"""),"")</f>
        <v/>
      </c>
      <c r="F154" s="82" t="str">
        <f>IFERROR(__xludf.DUMMYFUNCTION("""COMPUTED_VALUE"""),"")</f>
        <v/>
      </c>
      <c r="G154" s="52" t="str">
        <f>IFERROR(__xludf.DUMMYFUNCTION("""COMPUTED_VALUE"""),"")</f>
        <v/>
      </c>
      <c r="H154" s="53" t="str">
        <f>IFERROR(__xludf.DUMMYFUNCTION("""COMPUTED_VALUE"""),"")</f>
        <v/>
      </c>
      <c r="I154" s="53" t="str">
        <f>IFERROR(__xludf.DUMMYFUNCTION("""COMPUTED_VALUE"""),"")</f>
        <v/>
      </c>
      <c r="J154" s="53" t="str">
        <f>IFERROR(__xludf.DUMMYFUNCTION("""COMPUTED_VALUE"""),"")</f>
        <v/>
      </c>
      <c r="K154" s="54" t="str">
        <f>IFERROR(__xludf.DUMMYFUNCTION("""COMPUTED_VALUE"""),"")</f>
        <v/>
      </c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6"/>
      <c r="W154" s="56"/>
      <c r="X154" s="56"/>
      <c r="Y154" s="56"/>
      <c r="Z154" s="57"/>
      <c r="AA154" s="58"/>
      <c r="AB154" s="59"/>
    </row>
    <row r="155" ht="13.5" customHeight="1">
      <c r="A155" s="60" t="str">
        <f>IFERROR(__xludf.DUMMYFUNCTION("""COMPUTED_VALUE"""),"")</f>
        <v/>
      </c>
      <c r="B155" s="64" t="str">
        <f>IFERROR(__xludf.DUMMYFUNCTION("""COMPUTED_VALUE"""),"")</f>
        <v/>
      </c>
      <c r="C155" s="63" t="str">
        <f>IFERROR(__xludf.DUMMYFUNCTION("""COMPUTED_VALUE"""),"")</f>
        <v/>
      </c>
      <c r="D155" s="63" t="str">
        <f>IFERROR(__xludf.DUMMYFUNCTION("""COMPUTED_VALUE"""),"")</f>
        <v/>
      </c>
      <c r="E155" s="51" t="str">
        <f>IFERROR(__xludf.DUMMYFUNCTION("""COMPUTED_VALUE"""),"")</f>
        <v/>
      </c>
      <c r="F155" s="82" t="str">
        <f>IFERROR(__xludf.DUMMYFUNCTION("""COMPUTED_VALUE"""),"")</f>
        <v/>
      </c>
      <c r="G155" s="52" t="str">
        <f>IFERROR(__xludf.DUMMYFUNCTION("""COMPUTED_VALUE"""),"")</f>
        <v/>
      </c>
      <c r="H155" s="53" t="str">
        <f>IFERROR(__xludf.DUMMYFUNCTION("""COMPUTED_VALUE"""),"")</f>
        <v/>
      </c>
      <c r="I155" s="53" t="str">
        <f>IFERROR(__xludf.DUMMYFUNCTION("""COMPUTED_VALUE"""),"")</f>
        <v/>
      </c>
      <c r="J155" s="53" t="str">
        <f>IFERROR(__xludf.DUMMYFUNCTION("""COMPUTED_VALUE"""),"")</f>
        <v/>
      </c>
      <c r="K155" s="54" t="str">
        <f>IFERROR(__xludf.DUMMYFUNCTION("""COMPUTED_VALUE"""),"")</f>
        <v/>
      </c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6"/>
      <c r="W155" s="56"/>
      <c r="X155" s="56"/>
      <c r="Y155" s="56"/>
      <c r="Z155" s="57"/>
      <c r="AA155" s="58"/>
      <c r="AB155" s="59"/>
    </row>
    <row r="156" ht="13.5" customHeight="1">
      <c r="A156" s="60" t="str">
        <f>IFERROR(__xludf.DUMMYFUNCTION("""COMPUTED_VALUE"""),"")</f>
        <v/>
      </c>
      <c r="B156" s="64" t="str">
        <f>IFERROR(__xludf.DUMMYFUNCTION("""COMPUTED_VALUE"""),"")</f>
        <v/>
      </c>
      <c r="C156" s="63" t="str">
        <f>IFERROR(__xludf.DUMMYFUNCTION("""COMPUTED_VALUE"""),"")</f>
        <v/>
      </c>
      <c r="D156" s="63" t="str">
        <f>IFERROR(__xludf.DUMMYFUNCTION("""COMPUTED_VALUE"""),"")</f>
        <v/>
      </c>
      <c r="E156" s="51" t="str">
        <f>IFERROR(__xludf.DUMMYFUNCTION("""COMPUTED_VALUE"""),"")</f>
        <v/>
      </c>
      <c r="F156" s="82" t="str">
        <f>IFERROR(__xludf.DUMMYFUNCTION("""COMPUTED_VALUE"""),"")</f>
        <v/>
      </c>
      <c r="G156" s="52" t="str">
        <f>IFERROR(__xludf.DUMMYFUNCTION("""COMPUTED_VALUE"""),"")</f>
        <v/>
      </c>
      <c r="H156" s="53" t="str">
        <f>IFERROR(__xludf.DUMMYFUNCTION("""COMPUTED_VALUE"""),"")</f>
        <v/>
      </c>
      <c r="I156" s="53" t="str">
        <f>IFERROR(__xludf.DUMMYFUNCTION("""COMPUTED_VALUE"""),"")</f>
        <v/>
      </c>
      <c r="J156" s="53" t="str">
        <f>IFERROR(__xludf.DUMMYFUNCTION("""COMPUTED_VALUE"""),"")</f>
        <v/>
      </c>
      <c r="K156" s="54" t="str">
        <f>IFERROR(__xludf.DUMMYFUNCTION("""COMPUTED_VALUE"""),"")</f>
        <v/>
      </c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6"/>
      <c r="W156" s="56"/>
      <c r="X156" s="56"/>
      <c r="Y156" s="56"/>
      <c r="Z156" s="57"/>
      <c r="AA156" s="58"/>
      <c r="AB156" s="59"/>
    </row>
    <row r="157" ht="13.5" customHeight="1">
      <c r="A157" s="60" t="str">
        <f>IFERROR(__xludf.DUMMYFUNCTION("""COMPUTED_VALUE"""),"")</f>
        <v/>
      </c>
      <c r="B157" s="64" t="str">
        <f>IFERROR(__xludf.DUMMYFUNCTION("""COMPUTED_VALUE"""),"")</f>
        <v/>
      </c>
      <c r="C157" s="63" t="str">
        <f>IFERROR(__xludf.DUMMYFUNCTION("""COMPUTED_VALUE"""),"")</f>
        <v/>
      </c>
      <c r="D157" s="63" t="str">
        <f>IFERROR(__xludf.DUMMYFUNCTION("""COMPUTED_VALUE"""),"")</f>
        <v/>
      </c>
      <c r="E157" s="51" t="str">
        <f>IFERROR(__xludf.DUMMYFUNCTION("""COMPUTED_VALUE"""),"")</f>
        <v/>
      </c>
      <c r="F157" s="82" t="str">
        <f>IFERROR(__xludf.DUMMYFUNCTION("""COMPUTED_VALUE"""),"")</f>
        <v/>
      </c>
      <c r="G157" s="52" t="str">
        <f>IFERROR(__xludf.DUMMYFUNCTION("""COMPUTED_VALUE"""),"")</f>
        <v/>
      </c>
      <c r="H157" s="53" t="str">
        <f>IFERROR(__xludf.DUMMYFUNCTION("""COMPUTED_VALUE"""),"")</f>
        <v/>
      </c>
      <c r="I157" s="53" t="str">
        <f>IFERROR(__xludf.DUMMYFUNCTION("""COMPUTED_VALUE"""),"")</f>
        <v/>
      </c>
      <c r="J157" s="53" t="str">
        <f>IFERROR(__xludf.DUMMYFUNCTION("""COMPUTED_VALUE"""),"")</f>
        <v/>
      </c>
      <c r="K157" s="54" t="str">
        <f>IFERROR(__xludf.DUMMYFUNCTION("""COMPUTED_VALUE"""),"")</f>
        <v/>
      </c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6"/>
      <c r="W157" s="56"/>
      <c r="X157" s="56"/>
      <c r="Y157" s="56"/>
      <c r="Z157" s="57"/>
      <c r="AA157" s="58"/>
      <c r="AB157" s="59"/>
    </row>
    <row r="158" ht="13.5" customHeight="1">
      <c r="A158" s="60" t="str">
        <f>IFERROR(__xludf.DUMMYFUNCTION("""COMPUTED_VALUE"""),"")</f>
        <v/>
      </c>
      <c r="B158" s="64" t="str">
        <f>IFERROR(__xludf.DUMMYFUNCTION("""COMPUTED_VALUE"""),"")</f>
        <v/>
      </c>
      <c r="C158" s="63" t="str">
        <f>IFERROR(__xludf.DUMMYFUNCTION("""COMPUTED_VALUE"""),"")</f>
        <v/>
      </c>
      <c r="D158" s="63" t="str">
        <f>IFERROR(__xludf.DUMMYFUNCTION("""COMPUTED_VALUE"""),"")</f>
        <v/>
      </c>
      <c r="E158" s="51" t="str">
        <f>IFERROR(__xludf.DUMMYFUNCTION("""COMPUTED_VALUE"""),"")</f>
        <v/>
      </c>
      <c r="F158" s="82" t="str">
        <f>IFERROR(__xludf.DUMMYFUNCTION("""COMPUTED_VALUE"""),"")</f>
        <v/>
      </c>
      <c r="G158" s="52" t="str">
        <f>IFERROR(__xludf.DUMMYFUNCTION("""COMPUTED_VALUE"""),"")</f>
        <v/>
      </c>
      <c r="H158" s="53" t="str">
        <f>IFERROR(__xludf.DUMMYFUNCTION("""COMPUTED_VALUE"""),"")</f>
        <v/>
      </c>
      <c r="I158" s="53" t="str">
        <f>IFERROR(__xludf.DUMMYFUNCTION("""COMPUTED_VALUE"""),"")</f>
        <v/>
      </c>
      <c r="J158" s="53" t="str">
        <f>IFERROR(__xludf.DUMMYFUNCTION("""COMPUTED_VALUE"""),"")</f>
        <v/>
      </c>
      <c r="K158" s="54" t="str">
        <f>IFERROR(__xludf.DUMMYFUNCTION("""COMPUTED_VALUE"""),"")</f>
        <v/>
      </c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6"/>
      <c r="W158" s="56"/>
      <c r="X158" s="56"/>
      <c r="Y158" s="56"/>
      <c r="Z158" s="57"/>
      <c r="AA158" s="58"/>
      <c r="AB158" s="59"/>
    </row>
    <row r="159" ht="13.5" customHeight="1">
      <c r="A159" s="60" t="str">
        <f>IFERROR(__xludf.DUMMYFUNCTION("""COMPUTED_VALUE"""),"")</f>
        <v/>
      </c>
      <c r="B159" s="64" t="str">
        <f>IFERROR(__xludf.DUMMYFUNCTION("""COMPUTED_VALUE"""),"")</f>
        <v/>
      </c>
      <c r="C159" s="63" t="str">
        <f>IFERROR(__xludf.DUMMYFUNCTION("""COMPUTED_VALUE"""),"")</f>
        <v/>
      </c>
      <c r="D159" s="63" t="str">
        <f>IFERROR(__xludf.DUMMYFUNCTION("""COMPUTED_VALUE"""),"")</f>
        <v/>
      </c>
      <c r="E159" s="51" t="str">
        <f>IFERROR(__xludf.DUMMYFUNCTION("""COMPUTED_VALUE"""),"")</f>
        <v/>
      </c>
      <c r="F159" s="82" t="str">
        <f>IFERROR(__xludf.DUMMYFUNCTION("""COMPUTED_VALUE"""),"")</f>
        <v/>
      </c>
      <c r="G159" s="52" t="str">
        <f>IFERROR(__xludf.DUMMYFUNCTION("""COMPUTED_VALUE"""),"")</f>
        <v/>
      </c>
      <c r="H159" s="53" t="str">
        <f>IFERROR(__xludf.DUMMYFUNCTION("""COMPUTED_VALUE"""),"")</f>
        <v/>
      </c>
      <c r="I159" s="53" t="str">
        <f>IFERROR(__xludf.DUMMYFUNCTION("""COMPUTED_VALUE"""),"")</f>
        <v/>
      </c>
      <c r="J159" s="53" t="str">
        <f>IFERROR(__xludf.DUMMYFUNCTION("""COMPUTED_VALUE"""),"")</f>
        <v/>
      </c>
      <c r="K159" s="54" t="str">
        <f>IFERROR(__xludf.DUMMYFUNCTION("""COMPUTED_VALUE"""),"")</f>
        <v/>
      </c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6"/>
      <c r="W159" s="56"/>
      <c r="X159" s="56"/>
      <c r="Y159" s="56"/>
      <c r="Z159" s="57"/>
      <c r="AA159" s="58"/>
      <c r="AB159" s="59"/>
    </row>
    <row r="160" ht="13.5" customHeight="1">
      <c r="A160" s="60" t="str">
        <f>IFERROR(__xludf.DUMMYFUNCTION("""COMPUTED_VALUE"""),"")</f>
        <v/>
      </c>
      <c r="B160" s="64" t="str">
        <f>IFERROR(__xludf.DUMMYFUNCTION("""COMPUTED_VALUE"""),"")</f>
        <v/>
      </c>
      <c r="C160" s="63" t="str">
        <f>IFERROR(__xludf.DUMMYFUNCTION("""COMPUTED_VALUE"""),"")</f>
        <v/>
      </c>
      <c r="D160" s="63" t="str">
        <f>IFERROR(__xludf.DUMMYFUNCTION("""COMPUTED_VALUE"""),"")</f>
        <v/>
      </c>
      <c r="E160" s="51" t="str">
        <f>IFERROR(__xludf.DUMMYFUNCTION("""COMPUTED_VALUE"""),"")</f>
        <v/>
      </c>
      <c r="F160" s="82" t="str">
        <f>IFERROR(__xludf.DUMMYFUNCTION("""COMPUTED_VALUE"""),"")</f>
        <v/>
      </c>
      <c r="G160" s="52" t="str">
        <f>IFERROR(__xludf.DUMMYFUNCTION("""COMPUTED_VALUE"""),"")</f>
        <v/>
      </c>
      <c r="H160" s="53" t="str">
        <f>IFERROR(__xludf.DUMMYFUNCTION("""COMPUTED_VALUE"""),"")</f>
        <v/>
      </c>
      <c r="I160" s="53" t="str">
        <f>IFERROR(__xludf.DUMMYFUNCTION("""COMPUTED_VALUE"""),"")</f>
        <v/>
      </c>
      <c r="J160" s="53" t="str">
        <f>IFERROR(__xludf.DUMMYFUNCTION("""COMPUTED_VALUE"""),"")</f>
        <v/>
      </c>
      <c r="K160" s="54" t="str">
        <f>IFERROR(__xludf.DUMMYFUNCTION("""COMPUTED_VALUE"""),"")</f>
        <v/>
      </c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6"/>
      <c r="W160" s="56"/>
      <c r="X160" s="56"/>
      <c r="Y160" s="56"/>
      <c r="Z160" s="57"/>
      <c r="AA160" s="58"/>
      <c r="AB160" s="59"/>
    </row>
    <row r="161" ht="13.5" customHeight="1">
      <c r="A161" s="60" t="str">
        <f>IFERROR(__xludf.DUMMYFUNCTION("""COMPUTED_VALUE"""),"")</f>
        <v/>
      </c>
      <c r="B161" s="64" t="str">
        <f>IFERROR(__xludf.DUMMYFUNCTION("""COMPUTED_VALUE"""),"")</f>
        <v/>
      </c>
      <c r="C161" s="63" t="str">
        <f>IFERROR(__xludf.DUMMYFUNCTION("""COMPUTED_VALUE"""),"")</f>
        <v/>
      </c>
      <c r="D161" s="63" t="str">
        <f>IFERROR(__xludf.DUMMYFUNCTION("""COMPUTED_VALUE"""),"")</f>
        <v/>
      </c>
      <c r="E161" s="51" t="str">
        <f>IFERROR(__xludf.DUMMYFUNCTION("""COMPUTED_VALUE"""),"")</f>
        <v/>
      </c>
      <c r="F161" s="82" t="str">
        <f>IFERROR(__xludf.DUMMYFUNCTION("""COMPUTED_VALUE"""),"")</f>
        <v/>
      </c>
      <c r="G161" s="52" t="str">
        <f>IFERROR(__xludf.DUMMYFUNCTION("""COMPUTED_VALUE"""),"")</f>
        <v/>
      </c>
      <c r="H161" s="53" t="str">
        <f>IFERROR(__xludf.DUMMYFUNCTION("""COMPUTED_VALUE"""),"")</f>
        <v/>
      </c>
      <c r="I161" s="53" t="str">
        <f>IFERROR(__xludf.DUMMYFUNCTION("""COMPUTED_VALUE"""),"")</f>
        <v/>
      </c>
      <c r="J161" s="53" t="str">
        <f>IFERROR(__xludf.DUMMYFUNCTION("""COMPUTED_VALUE"""),"")</f>
        <v/>
      </c>
      <c r="K161" s="54" t="str">
        <f>IFERROR(__xludf.DUMMYFUNCTION("""COMPUTED_VALUE"""),"")</f>
        <v/>
      </c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6"/>
      <c r="W161" s="56"/>
      <c r="X161" s="56"/>
      <c r="Y161" s="56"/>
      <c r="Z161" s="57"/>
      <c r="AA161" s="58"/>
      <c r="AB161" s="59"/>
    </row>
    <row r="162" ht="13.5" customHeight="1">
      <c r="A162" s="60" t="str">
        <f>IFERROR(__xludf.DUMMYFUNCTION("""COMPUTED_VALUE"""),"")</f>
        <v/>
      </c>
      <c r="B162" s="64" t="str">
        <f>IFERROR(__xludf.DUMMYFUNCTION("""COMPUTED_VALUE"""),"")</f>
        <v/>
      </c>
      <c r="C162" s="63" t="str">
        <f>IFERROR(__xludf.DUMMYFUNCTION("""COMPUTED_VALUE"""),"")</f>
        <v/>
      </c>
      <c r="D162" s="63" t="str">
        <f>IFERROR(__xludf.DUMMYFUNCTION("""COMPUTED_VALUE"""),"")</f>
        <v/>
      </c>
      <c r="E162" s="51" t="str">
        <f>IFERROR(__xludf.DUMMYFUNCTION("""COMPUTED_VALUE"""),"")</f>
        <v/>
      </c>
      <c r="F162" s="82" t="str">
        <f>IFERROR(__xludf.DUMMYFUNCTION("""COMPUTED_VALUE"""),"")</f>
        <v/>
      </c>
      <c r="G162" s="52" t="str">
        <f>IFERROR(__xludf.DUMMYFUNCTION("""COMPUTED_VALUE"""),"")</f>
        <v/>
      </c>
      <c r="H162" s="53" t="str">
        <f>IFERROR(__xludf.DUMMYFUNCTION("""COMPUTED_VALUE"""),"")</f>
        <v/>
      </c>
      <c r="I162" s="53" t="str">
        <f>IFERROR(__xludf.DUMMYFUNCTION("""COMPUTED_VALUE"""),"")</f>
        <v/>
      </c>
      <c r="J162" s="53" t="str">
        <f>IFERROR(__xludf.DUMMYFUNCTION("""COMPUTED_VALUE"""),"")</f>
        <v/>
      </c>
      <c r="K162" s="54" t="str">
        <f>IFERROR(__xludf.DUMMYFUNCTION("""COMPUTED_VALUE"""),"")</f>
        <v/>
      </c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6"/>
      <c r="W162" s="56"/>
      <c r="X162" s="56"/>
      <c r="Y162" s="56"/>
      <c r="Z162" s="57"/>
      <c r="AA162" s="58"/>
      <c r="AB162" s="59"/>
    </row>
    <row r="163" ht="13.5" customHeight="1">
      <c r="A163" s="60" t="str">
        <f>IFERROR(__xludf.DUMMYFUNCTION("""COMPUTED_VALUE"""),"")</f>
        <v/>
      </c>
      <c r="B163" s="64" t="str">
        <f>IFERROR(__xludf.DUMMYFUNCTION("""COMPUTED_VALUE"""),"")</f>
        <v/>
      </c>
      <c r="C163" s="63" t="str">
        <f>IFERROR(__xludf.DUMMYFUNCTION("""COMPUTED_VALUE"""),"")</f>
        <v/>
      </c>
      <c r="D163" s="63" t="str">
        <f>IFERROR(__xludf.DUMMYFUNCTION("""COMPUTED_VALUE"""),"")</f>
        <v/>
      </c>
      <c r="E163" s="51" t="str">
        <f>IFERROR(__xludf.DUMMYFUNCTION("""COMPUTED_VALUE"""),"")</f>
        <v/>
      </c>
      <c r="F163" s="82" t="str">
        <f>IFERROR(__xludf.DUMMYFUNCTION("""COMPUTED_VALUE"""),"")</f>
        <v/>
      </c>
      <c r="G163" s="52" t="str">
        <f>IFERROR(__xludf.DUMMYFUNCTION("""COMPUTED_VALUE"""),"")</f>
        <v/>
      </c>
      <c r="H163" s="53" t="str">
        <f>IFERROR(__xludf.DUMMYFUNCTION("""COMPUTED_VALUE"""),"")</f>
        <v/>
      </c>
      <c r="I163" s="53" t="str">
        <f>IFERROR(__xludf.DUMMYFUNCTION("""COMPUTED_VALUE"""),"")</f>
        <v/>
      </c>
      <c r="J163" s="53" t="str">
        <f>IFERROR(__xludf.DUMMYFUNCTION("""COMPUTED_VALUE"""),"")</f>
        <v/>
      </c>
      <c r="K163" s="54" t="str">
        <f>IFERROR(__xludf.DUMMYFUNCTION("""COMPUTED_VALUE"""),"")</f>
        <v/>
      </c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6"/>
      <c r="W163" s="56"/>
      <c r="X163" s="56"/>
      <c r="Y163" s="56"/>
      <c r="Z163" s="57"/>
      <c r="AA163" s="58"/>
      <c r="AB163" s="59"/>
    </row>
    <row r="164" ht="13.5" customHeight="1">
      <c r="A164" s="60" t="str">
        <f>IFERROR(__xludf.DUMMYFUNCTION("""COMPUTED_VALUE"""),"")</f>
        <v/>
      </c>
      <c r="B164" s="64" t="str">
        <f>IFERROR(__xludf.DUMMYFUNCTION("""COMPUTED_VALUE"""),"")</f>
        <v/>
      </c>
      <c r="C164" s="63" t="str">
        <f>IFERROR(__xludf.DUMMYFUNCTION("""COMPUTED_VALUE"""),"")</f>
        <v/>
      </c>
      <c r="D164" s="63" t="str">
        <f>IFERROR(__xludf.DUMMYFUNCTION("""COMPUTED_VALUE"""),"")</f>
        <v/>
      </c>
      <c r="E164" s="51" t="str">
        <f>IFERROR(__xludf.DUMMYFUNCTION("""COMPUTED_VALUE"""),"")</f>
        <v/>
      </c>
      <c r="F164" s="82" t="str">
        <f>IFERROR(__xludf.DUMMYFUNCTION("""COMPUTED_VALUE"""),"")</f>
        <v/>
      </c>
      <c r="G164" s="52" t="str">
        <f>IFERROR(__xludf.DUMMYFUNCTION("""COMPUTED_VALUE"""),"")</f>
        <v/>
      </c>
      <c r="H164" s="53" t="str">
        <f>IFERROR(__xludf.DUMMYFUNCTION("""COMPUTED_VALUE"""),"")</f>
        <v/>
      </c>
      <c r="I164" s="53" t="str">
        <f>IFERROR(__xludf.DUMMYFUNCTION("""COMPUTED_VALUE"""),"")</f>
        <v/>
      </c>
      <c r="J164" s="53" t="str">
        <f>IFERROR(__xludf.DUMMYFUNCTION("""COMPUTED_VALUE"""),"")</f>
        <v/>
      </c>
      <c r="K164" s="54" t="str">
        <f>IFERROR(__xludf.DUMMYFUNCTION("""COMPUTED_VALUE"""),"")</f>
        <v/>
      </c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6"/>
      <c r="W164" s="56"/>
      <c r="X164" s="56"/>
      <c r="Y164" s="56"/>
      <c r="Z164" s="57"/>
      <c r="AA164" s="58"/>
      <c r="AB164" s="59"/>
    </row>
    <row r="165" ht="13.5" customHeight="1">
      <c r="A165" s="60" t="str">
        <f>IFERROR(__xludf.DUMMYFUNCTION("""COMPUTED_VALUE"""),"")</f>
        <v/>
      </c>
      <c r="B165" s="64" t="str">
        <f>IFERROR(__xludf.DUMMYFUNCTION("""COMPUTED_VALUE"""),"")</f>
        <v/>
      </c>
      <c r="C165" s="63" t="str">
        <f>IFERROR(__xludf.DUMMYFUNCTION("""COMPUTED_VALUE"""),"")</f>
        <v/>
      </c>
      <c r="D165" s="63" t="str">
        <f>IFERROR(__xludf.DUMMYFUNCTION("""COMPUTED_VALUE"""),"")</f>
        <v/>
      </c>
      <c r="E165" s="51" t="str">
        <f>IFERROR(__xludf.DUMMYFUNCTION("""COMPUTED_VALUE"""),"")</f>
        <v/>
      </c>
      <c r="F165" s="82" t="str">
        <f>IFERROR(__xludf.DUMMYFUNCTION("""COMPUTED_VALUE"""),"")</f>
        <v/>
      </c>
      <c r="G165" s="52" t="str">
        <f>IFERROR(__xludf.DUMMYFUNCTION("""COMPUTED_VALUE"""),"")</f>
        <v/>
      </c>
      <c r="H165" s="53" t="str">
        <f>IFERROR(__xludf.DUMMYFUNCTION("""COMPUTED_VALUE"""),"")</f>
        <v/>
      </c>
      <c r="I165" s="53" t="str">
        <f>IFERROR(__xludf.DUMMYFUNCTION("""COMPUTED_VALUE"""),"")</f>
        <v/>
      </c>
      <c r="J165" s="53" t="str">
        <f>IFERROR(__xludf.DUMMYFUNCTION("""COMPUTED_VALUE"""),"")</f>
        <v/>
      </c>
      <c r="K165" s="54" t="str">
        <f>IFERROR(__xludf.DUMMYFUNCTION("""COMPUTED_VALUE"""),"")</f>
        <v/>
      </c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6"/>
      <c r="W165" s="56"/>
      <c r="X165" s="56"/>
      <c r="Y165" s="56"/>
      <c r="Z165" s="57"/>
      <c r="AA165" s="58"/>
      <c r="AB165" s="59"/>
    </row>
    <row r="166" ht="13.5" customHeight="1">
      <c r="A166" s="60" t="str">
        <f>IFERROR(__xludf.DUMMYFUNCTION("""COMPUTED_VALUE"""),"")</f>
        <v/>
      </c>
      <c r="B166" s="64" t="str">
        <f>IFERROR(__xludf.DUMMYFUNCTION("""COMPUTED_VALUE"""),"")</f>
        <v/>
      </c>
      <c r="C166" s="63" t="str">
        <f>IFERROR(__xludf.DUMMYFUNCTION("""COMPUTED_VALUE"""),"")</f>
        <v/>
      </c>
      <c r="D166" s="63" t="str">
        <f>IFERROR(__xludf.DUMMYFUNCTION("""COMPUTED_VALUE"""),"")</f>
        <v/>
      </c>
      <c r="E166" s="51" t="str">
        <f>IFERROR(__xludf.DUMMYFUNCTION("""COMPUTED_VALUE"""),"")</f>
        <v/>
      </c>
      <c r="F166" s="82" t="str">
        <f>IFERROR(__xludf.DUMMYFUNCTION("""COMPUTED_VALUE"""),"")</f>
        <v/>
      </c>
      <c r="G166" s="52" t="str">
        <f>IFERROR(__xludf.DUMMYFUNCTION("""COMPUTED_VALUE"""),"")</f>
        <v/>
      </c>
      <c r="H166" s="53" t="str">
        <f>IFERROR(__xludf.DUMMYFUNCTION("""COMPUTED_VALUE"""),"")</f>
        <v/>
      </c>
      <c r="I166" s="53" t="str">
        <f>IFERROR(__xludf.DUMMYFUNCTION("""COMPUTED_VALUE"""),"")</f>
        <v/>
      </c>
      <c r="J166" s="53" t="str">
        <f>IFERROR(__xludf.DUMMYFUNCTION("""COMPUTED_VALUE"""),"")</f>
        <v/>
      </c>
      <c r="K166" s="54" t="str">
        <f>IFERROR(__xludf.DUMMYFUNCTION("""COMPUTED_VALUE"""),"")</f>
        <v/>
      </c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6"/>
      <c r="W166" s="56"/>
      <c r="X166" s="56"/>
      <c r="Y166" s="56"/>
      <c r="Z166" s="57"/>
      <c r="AA166" s="58"/>
      <c r="AB166" s="59"/>
    </row>
    <row r="167" ht="13.5" customHeight="1">
      <c r="A167" s="60" t="str">
        <f>IFERROR(__xludf.DUMMYFUNCTION("""COMPUTED_VALUE"""),"")</f>
        <v/>
      </c>
      <c r="B167" s="64" t="str">
        <f>IFERROR(__xludf.DUMMYFUNCTION("""COMPUTED_VALUE"""),"")</f>
        <v/>
      </c>
      <c r="C167" s="63" t="str">
        <f>IFERROR(__xludf.DUMMYFUNCTION("""COMPUTED_VALUE"""),"")</f>
        <v/>
      </c>
      <c r="D167" s="63" t="str">
        <f>IFERROR(__xludf.DUMMYFUNCTION("""COMPUTED_VALUE"""),"")</f>
        <v/>
      </c>
      <c r="E167" s="51" t="str">
        <f>IFERROR(__xludf.DUMMYFUNCTION("""COMPUTED_VALUE"""),"")</f>
        <v/>
      </c>
      <c r="F167" s="82" t="str">
        <f>IFERROR(__xludf.DUMMYFUNCTION("""COMPUTED_VALUE"""),"")</f>
        <v/>
      </c>
      <c r="G167" s="52" t="str">
        <f>IFERROR(__xludf.DUMMYFUNCTION("""COMPUTED_VALUE"""),"")</f>
        <v/>
      </c>
      <c r="H167" s="53" t="str">
        <f>IFERROR(__xludf.DUMMYFUNCTION("""COMPUTED_VALUE"""),"")</f>
        <v/>
      </c>
      <c r="I167" s="53" t="str">
        <f>IFERROR(__xludf.DUMMYFUNCTION("""COMPUTED_VALUE"""),"")</f>
        <v/>
      </c>
      <c r="J167" s="53" t="str">
        <f>IFERROR(__xludf.DUMMYFUNCTION("""COMPUTED_VALUE"""),"")</f>
        <v/>
      </c>
      <c r="K167" s="54" t="str">
        <f>IFERROR(__xludf.DUMMYFUNCTION("""COMPUTED_VALUE"""),"")</f>
        <v/>
      </c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6"/>
      <c r="W167" s="56"/>
      <c r="X167" s="56"/>
      <c r="Y167" s="56"/>
      <c r="Z167" s="57"/>
      <c r="AA167" s="58"/>
      <c r="AB167" s="59"/>
    </row>
    <row r="168" ht="13.5" customHeight="1">
      <c r="A168" s="60" t="str">
        <f>IFERROR(__xludf.DUMMYFUNCTION("""COMPUTED_VALUE"""),"")</f>
        <v/>
      </c>
      <c r="B168" s="64" t="str">
        <f>IFERROR(__xludf.DUMMYFUNCTION("""COMPUTED_VALUE"""),"")</f>
        <v/>
      </c>
      <c r="C168" s="63" t="str">
        <f>IFERROR(__xludf.DUMMYFUNCTION("""COMPUTED_VALUE"""),"")</f>
        <v/>
      </c>
      <c r="D168" s="63" t="str">
        <f>IFERROR(__xludf.DUMMYFUNCTION("""COMPUTED_VALUE"""),"")</f>
        <v/>
      </c>
      <c r="E168" s="51" t="str">
        <f>IFERROR(__xludf.DUMMYFUNCTION("""COMPUTED_VALUE"""),"")</f>
        <v/>
      </c>
      <c r="F168" s="82" t="str">
        <f>IFERROR(__xludf.DUMMYFUNCTION("""COMPUTED_VALUE"""),"")</f>
        <v/>
      </c>
      <c r="G168" s="52" t="str">
        <f>IFERROR(__xludf.DUMMYFUNCTION("""COMPUTED_VALUE"""),"")</f>
        <v/>
      </c>
      <c r="H168" s="53" t="str">
        <f>IFERROR(__xludf.DUMMYFUNCTION("""COMPUTED_VALUE"""),"")</f>
        <v/>
      </c>
      <c r="I168" s="53" t="str">
        <f>IFERROR(__xludf.DUMMYFUNCTION("""COMPUTED_VALUE"""),"")</f>
        <v/>
      </c>
      <c r="J168" s="53" t="str">
        <f>IFERROR(__xludf.DUMMYFUNCTION("""COMPUTED_VALUE"""),"")</f>
        <v/>
      </c>
      <c r="K168" s="54" t="str">
        <f>IFERROR(__xludf.DUMMYFUNCTION("""COMPUTED_VALUE"""),"")</f>
        <v/>
      </c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6"/>
      <c r="W168" s="56"/>
      <c r="X168" s="56"/>
      <c r="Y168" s="56"/>
      <c r="Z168" s="57"/>
      <c r="AA168" s="58"/>
      <c r="AB168" s="59"/>
    </row>
    <row r="169" ht="13.5" customHeight="1">
      <c r="A169" s="60" t="str">
        <f>IFERROR(__xludf.DUMMYFUNCTION("""COMPUTED_VALUE"""),"")</f>
        <v/>
      </c>
      <c r="B169" s="64" t="str">
        <f>IFERROR(__xludf.DUMMYFUNCTION("""COMPUTED_VALUE"""),"")</f>
        <v/>
      </c>
      <c r="C169" s="63" t="str">
        <f>IFERROR(__xludf.DUMMYFUNCTION("""COMPUTED_VALUE"""),"")</f>
        <v/>
      </c>
      <c r="D169" s="63" t="str">
        <f>IFERROR(__xludf.DUMMYFUNCTION("""COMPUTED_VALUE"""),"")</f>
        <v/>
      </c>
      <c r="E169" s="51" t="str">
        <f>IFERROR(__xludf.DUMMYFUNCTION("""COMPUTED_VALUE"""),"")</f>
        <v/>
      </c>
      <c r="F169" s="82" t="str">
        <f>IFERROR(__xludf.DUMMYFUNCTION("""COMPUTED_VALUE"""),"")</f>
        <v/>
      </c>
      <c r="G169" s="52" t="str">
        <f>IFERROR(__xludf.DUMMYFUNCTION("""COMPUTED_VALUE"""),"")</f>
        <v/>
      </c>
      <c r="H169" s="53" t="str">
        <f>IFERROR(__xludf.DUMMYFUNCTION("""COMPUTED_VALUE"""),"")</f>
        <v/>
      </c>
      <c r="I169" s="53" t="str">
        <f>IFERROR(__xludf.DUMMYFUNCTION("""COMPUTED_VALUE"""),"")</f>
        <v/>
      </c>
      <c r="J169" s="53" t="str">
        <f>IFERROR(__xludf.DUMMYFUNCTION("""COMPUTED_VALUE"""),"")</f>
        <v/>
      </c>
      <c r="K169" s="54" t="str">
        <f>IFERROR(__xludf.DUMMYFUNCTION("""COMPUTED_VALUE"""),"")</f>
        <v/>
      </c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6"/>
      <c r="W169" s="56"/>
      <c r="X169" s="56"/>
      <c r="Y169" s="56"/>
      <c r="Z169" s="57"/>
      <c r="AA169" s="58"/>
      <c r="AB169" s="59"/>
    </row>
    <row r="170" ht="13.5" customHeight="1">
      <c r="A170" s="60" t="str">
        <f>IFERROR(__xludf.DUMMYFUNCTION("""COMPUTED_VALUE"""),"")</f>
        <v/>
      </c>
      <c r="B170" s="64" t="str">
        <f>IFERROR(__xludf.DUMMYFUNCTION("""COMPUTED_VALUE"""),"")</f>
        <v/>
      </c>
      <c r="C170" s="63" t="str">
        <f>IFERROR(__xludf.DUMMYFUNCTION("""COMPUTED_VALUE"""),"")</f>
        <v/>
      </c>
      <c r="D170" s="63" t="str">
        <f>IFERROR(__xludf.DUMMYFUNCTION("""COMPUTED_VALUE"""),"")</f>
        <v/>
      </c>
      <c r="E170" s="51" t="str">
        <f>IFERROR(__xludf.DUMMYFUNCTION("""COMPUTED_VALUE"""),"")</f>
        <v/>
      </c>
      <c r="F170" s="82" t="str">
        <f>IFERROR(__xludf.DUMMYFUNCTION("""COMPUTED_VALUE"""),"")</f>
        <v/>
      </c>
      <c r="G170" s="52" t="str">
        <f>IFERROR(__xludf.DUMMYFUNCTION("""COMPUTED_VALUE"""),"")</f>
        <v/>
      </c>
      <c r="H170" s="53" t="str">
        <f>IFERROR(__xludf.DUMMYFUNCTION("""COMPUTED_VALUE"""),"")</f>
        <v/>
      </c>
      <c r="I170" s="53" t="str">
        <f>IFERROR(__xludf.DUMMYFUNCTION("""COMPUTED_VALUE"""),"")</f>
        <v/>
      </c>
      <c r="J170" s="53" t="str">
        <f>IFERROR(__xludf.DUMMYFUNCTION("""COMPUTED_VALUE"""),"")</f>
        <v/>
      </c>
      <c r="K170" s="54" t="str">
        <f>IFERROR(__xludf.DUMMYFUNCTION("""COMPUTED_VALUE"""),"")</f>
        <v/>
      </c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6"/>
      <c r="W170" s="56"/>
      <c r="X170" s="56"/>
      <c r="Y170" s="56"/>
      <c r="Z170" s="57"/>
      <c r="AA170" s="58"/>
      <c r="AB170" s="58"/>
    </row>
    <row r="171" ht="13.5" customHeight="1">
      <c r="A171" s="60" t="str">
        <f>IFERROR(__xludf.DUMMYFUNCTION("""COMPUTED_VALUE"""),"")</f>
        <v/>
      </c>
      <c r="B171" s="64" t="str">
        <f>IFERROR(__xludf.DUMMYFUNCTION("""COMPUTED_VALUE"""),"")</f>
        <v/>
      </c>
      <c r="C171" s="63" t="str">
        <f>IFERROR(__xludf.DUMMYFUNCTION("""COMPUTED_VALUE"""),"")</f>
        <v/>
      </c>
      <c r="D171" s="63" t="str">
        <f>IFERROR(__xludf.DUMMYFUNCTION("""COMPUTED_VALUE"""),"")</f>
        <v/>
      </c>
      <c r="E171" s="51" t="str">
        <f>IFERROR(__xludf.DUMMYFUNCTION("""COMPUTED_VALUE"""),"")</f>
        <v/>
      </c>
      <c r="F171" s="82" t="str">
        <f>IFERROR(__xludf.DUMMYFUNCTION("""COMPUTED_VALUE"""),"")</f>
        <v/>
      </c>
      <c r="G171" s="52" t="str">
        <f>IFERROR(__xludf.DUMMYFUNCTION("""COMPUTED_VALUE"""),"")</f>
        <v/>
      </c>
      <c r="H171" s="53" t="str">
        <f>IFERROR(__xludf.DUMMYFUNCTION("""COMPUTED_VALUE"""),"")</f>
        <v/>
      </c>
      <c r="I171" s="53" t="str">
        <f>IFERROR(__xludf.DUMMYFUNCTION("""COMPUTED_VALUE"""),"")</f>
        <v/>
      </c>
      <c r="J171" s="53" t="str">
        <f>IFERROR(__xludf.DUMMYFUNCTION("""COMPUTED_VALUE"""),"")</f>
        <v/>
      </c>
      <c r="K171" s="54" t="str">
        <f>IFERROR(__xludf.DUMMYFUNCTION("""COMPUTED_VALUE"""),"")</f>
        <v/>
      </c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6"/>
      <c r="W171" s="56"/>
      <c r="X171" s="56"/>
      <c r="Y171" s="56"/>
      <c r="Z171" s="57"/>
      <c r="AA171" s="58"/>
      <c r="AB171" s="58"/>
    </row>
    <row r="172" ht="13.5" customHeight="1">
      <c r="A172" s="60" t="str">
        <f>IFERROR(__xludf.DUMMYFUNCTION("""COMPUTED_VALUE"""),"")</f>
        <v/>
      </c>
      <c r="B172" s="64" t="str">
        <f>IFERROR(__xludf.DUMMYFUNCTION("""COMPUTED_VALUE"""),"")</f>
        <v/>
      </c>
      <c r="C172" s="63" t="str">
        <f>IFERROR(__xludf.DUMMYFUNCTION("""COMPUTED_VALUE"""),"")</f>
        <v/>
      </c>
      <c r="D172" s="63" t="str">
        <f>IFERROR(__xludf.DUMMYFUNCTION("""COMPUTED_VALUE"""),"")</f>
        <v/>
      </c>
      <c r="E172" s="51" t="str">
        <f>IFERROR(__xludf.DUMMYFUNCTION("""COMPUTED_VALUE"""),"")</f>
        <v/>
      </c>
      <c r="F172" s="82" t="str">
        <f>IFERROR(__xludf.DUMMYFUNCTION("""COMPUTED_VALUE"""),"")</f>
        <v/>
      </c>
      <c r="G172" s="52" t="str">
        <f>IFERROR(__xludf.DUMMYFUNCTION("""COMPUTED_VALUE"""),"")</f>
        <v/>
      </c>
      <c r="H172" s="53" t="str">
        <f>IFERROR(__xludf.DUMMYFUNCTION("""COMPUTED_VALUE"""),"")</f>
        <v/>
      </c>
      <c r="I172" s="53" t="str">
        <f>IFERROR(__xludf.DUMMYFUNCTION("""COMPUTED_VALUE"""),"")</f>
        <v/>
      </c>
      <c r="J172" s="53" t="str">
        <f>IFERROR(__xludf.DUMMYFUNCTION("""COMPUTED_VALUE"""),"")</f>
        <v/>
      </c>
      <c r="K172" s="54" t="str">
        <f>IFERROR(__xludf.DUMMYFUNCTION("""COMPUTED_VALUE"""),"")</f>
        <v/>
      </c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6"/>
      <c r="W172" s="56"/>
      <c r="X172" s="56"/>
      <c r="Y172" s="56"/>
      <c r="Z172" s="57"/>
      <c r="AA172" s="58"/>
      <c r="AB172" s="58"/>
    </row>
    <row r="173" ht="13.5" customHeight="1">
      <c r="A173" s="60" t="str">
        <f>IFERROR(__xludf.DUMMYFUNCTION("""COMPUTED_VALUE"""),"")</f>
        <v/>
      </c>
      <c r="B173" s="64" t="str">
        <f>IFERROR(__xludf.DUMMYFUNCTION("""COMPUTED_VALUE"""),"")</f>
        <v/>
      </c>
      <c r="C173" s="63" t="str">
        <f>IFERROR(__xludf.DUMMYFUNCTION("""COMPUTED_VALUE"""),"")</f>
        <v/>
      </c>
      <c r="D173" s="63" t="str">
        <f>IFERROR(__xludf.DUMMYFUNCTION("""COMPUTED_VALUE"""),"")</f>
        <v/>
      </c>
      <c r="E173" s="51" t="str">
        <f>IFERROR(__xludf.DUMMYFUNCTION("""COMPUTED_VALUE"""),"")</f>
        <v/>
      </c>
      <c r="F173" s="82" t="str">
        <f>IFERROR(__xludf.DUMMYFUNCTION("""COMPUTED_VALUE"""),"")</f>
        <v/>
      </c>
      <c r="G173" s="52" t="str">
        <f>IFERROR(__xludf.DUMMYFUNCTION("""COMPUTED_VALUE"""),"")</f>
        <v/>
      </c>
      <c r="H173" s="53" t="str">
        <f>IFERROR(__xludf.DUMMYFUNCTION("""COMPUTED_VALUE"""),"")</f>
        <v/>
      </c>
      <c r="I173" s="53" t="str">
        <f>IFERROR(__xludf.DUMMYFUNCTION("""COMPUTED_VALUE"""),"")</f>
        <v/>
      </c>
      <c r="J173" s="53" t="str">
        <f>IFERROR(__xludf.DUMMYFUNCTION("""COMPUTED_VALUE"""),"")</f>
        <v/>
      </c>
      <c r="K173" s="54" t="str">
        <f>IFERROR(__xludf.DUMMYFUNCTION("""COMPUTED_VALUE"""),"")</f>
        <v/>
      </c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6"/>
      <c r="W173" s="56"/>
      <c r="X173" s="56"/>
      <c r="Y173" s="56"/>
      <c r="Z173" s="57"/>
      <c r="AA173" s="58"/>
      <c r="AB173" s="58"/>
    </row>
    <row r="174" ht="13.5" customHeight="1">
      <c r="A174" s="60" t="str">
        <f>IFERROR(__xludf.DUMMYFUNCTION("""COMPUTED_VALUE"""),"")</f>
        <v/>
      </c>
      <c r="B174" s="64" t="str">
        <f>IFERROR(__xludf.DUMMYFUNCTION("""COMPUTED_VALUE"""),"")</f>
        <v/>
      </c>
      <c r="C174" s="63" t="str">
        <f>IFERROR(__xludf.DUMMYFUNCTION("""COMPUTED_VALUE"""),"")</f>
        <v/>
      </c>
      <c r="D174" s="63" t="str">
        <f>IFERROR(__xludf.DUMMYFUNCTION("""COMPUTED_VALUE"""),"")</f>
        <v/>
      </c>
      <c r="E174" s="51" t="str">
        <f>IFERROR(__xludf.DUMMYFUNCTION("""COMPUTED_VALUE"""),"")</f>
        <v/>
      </c>
      <c r="F174" s="82" t="str">
        <f>IFERROR(__xludf.DUMMYFUNCTION("""COMPUTED_VALUE"""),"")</f>
        <v/>
      </c>
      <c r="G174" s="52" t="str">
        <f>IFERROR(__xludf.DUMMYFUNCTION("""COMPUTED_VALUE"""),"")</f>
        <v/>
      </c>
      <c r="H174" s="53" t="str">
        <f>IFERROR(__xludf.DUMMYFUNCTION("""COMPUTED_VALUE"""),"")</f>
        <v/>
      </c>
      <c r="I174" s="53" t="str">
        <f>IFERROR(__xludf.DUMMYFUNCTION("""COMPUTED_VALUE"""),"")</f>
        <v/>
      </c>
      <c r="J174" s="53" t="str">
        <f>IFERROR(__xludf.DUMMYFUNCTION("""COMPUTED_VALUE"""),"")</f>
        <v/>
      </c>
      <c r="K174" s="54" t="str">
        <f>IFERROR(__xludf.DUMMYFUNCTION("""COMPUTED_VALUE"""),"")</f>
        <v/>
      </c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6"/>
      <c r="W174" s="56"/>
      <c r="X174" s="56"/>
      <c r="Y174" s="56"/>
      <c r="Z174" s="57"/>
      <c r="AA174" s="58"/>
      <c r="AB174" s="58"/>
    </row>
    <row r="175" ht="13.5" customHeight="1">
      <c r="A175" s="60" t="str">
        <f>IFERROR(__xludf.DUMMYFUNCTION("""COMPUTED_VALUE"""),"")</f>
        <v/>
      </c>
      <c r="B175" s="64" t="str">
        <f>IFERROR(__xludf.DUMMYFUNCTION("""COMPUTED_VALUE"""),"")</f>
        <v/>
      </c>
      <c r="C175" s="63" t="str">
        <f>IFERROR(__xludf.DUMMYFUNCTION("""COMPUTED_VALUE"""),"")</f>
        <v/>
      </c>
      <c r="D175" s="63" t="str">
        <f>IFERROR(__xludf.DUMMYFUNCTION("""COMPUTED_VALUE"""),"")</f>
        <v/>
      </c>
      <c r="E175" s="51" t="str">
        <f>IFERROR(__xludf.DUMMYFUNCTION("""COMPUTED_VALUE"""),"")</f>
        <v/>
      </c>
      <c r="F175" s="82" t="str">
        <f>IFERROR(__xludf.DUMMYFUNCTION("""COMPUTED_VALUE"""),"")</f>
        <v/>
      </c>
      <c r="G175" s="52" t="str">
        <f>IFERROR(__xludf.DUMMYFUNCTION("""COMPUTED_VALUE"""),"")</f>
        <v/>
      </c>
      <c r="H175" s="53" t="str">
        <f>IFERROR(__xludf.DUMMYFUNCTION("""COMPUTED_VALUE"""),"")</f>
        <v/>
      </c>
      <c r="I175" s="53" t="str">
        <f>IFERROR(__xludf.DUMMYFUNCTION("""COMPUTED_VALUE"""),"")</f>
        <v/>
      </c>
      <c r="J175" s="53" t="str">
        <f>IFERROR(__xludf.DUMMYFUNCTION("""COMPUTED_VALUE"""),"")</f>
        <v/>
      </c>
      <c r="K175" s="54" t="str">
        <f>IFERROR(__xludf.DUMMYFUNCTION("""COMPUTED_VALUE"""),"")</f>
        <v/>
      </c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6"/>
      <c r="W175" s="56"/>
      <c r="X175" s="56"/>
      <c r="Y175" s="56"/>
      <c r="Z175" s="57"/>
      <c r="AA175" s="58"/>
      <c r="AB175" s="58"/>
    </row>
    <row r="176" ht="13.5" customHeight="1">
      <c r="A176" s="60" t="str">
        <f>IFERROR(__xludf.DUMMYFUNCTION("""COMPUTED_VALUE"""),"")</f>
        <v/>
      </c>
      <c r="B176" s="64" t="str">
        <f>IFERROR(__xludf.DUMMYFUNCTION("""COMPUTED_VALUE"""),"")</f>
        <v/>
      </c>
      <c r="C176" s="63" t="str">
        <f>IFERROR(__xludf.DUMMYFUNCTION("""COMPUTED_VALUE"""),"")</f>
        <v/>
      </c>
      <c r="D176" s="63" t="str">
        <f>IFERROR(__xludf.DUMMYFUNCTION("""COMPUTED_VALUE"""),"")</f>
        <v/>
      </c>
      <c r="E176" s="51" t="str">
        <f>IFERROR(__xludf.DUMMYFUNCTION("""COMPUTED_VALUE"""),"")</f>
        <v/>
      </c>
      <c r="F176" s="82" t="str">
        <f>IFERROR(__xludf.DUMMYFUNCTION("""COMPUTED_VALUE"""),"")</f>
        <v/>
      </c>
      <c r="G176" s="52" t="str">
        <f>IFERROR(__xludf.DUMMYFUNCTION("""COMPUTED_VALUE"""),"")</f>
        <v/>
      </c>
      <c r="H176" s="53" t="str">
        <f>IFERROR(__xludf.DUMMYFUNCTION("""COMPUTED_VALUE"""),"")</f>
        <v/>
      </c>
      <c r="I176" s="53" t="str">
        <f>IFERROR(__xludf.DUMMYFUNCTION("""COMPUTED_VALUE"""),"")</f>
        <v/>
      </c>
      <c r="J176" s="53" t="str">
        <f>IFERROR(__xludf.DUMMYFUNCTION("""COMPUTED_VALUE"""),"")</f>
        <v/>
      </c>
      <c r="K176" s="54" t="str">
        <f>IFERROR(__xludf.DUMMYFUNCTION("""COMPUTED_VALUE"""),"")</f>
        <v/>
      </c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6"/>
      <c r="W176" s="56"/>
      <c r="X176" s="56"/>
      <c r="Y176" s="56"/>
      <c r="Z176" s="57"/>
      <c r="AA176" s="58"/>
      <c r="AB176" s="58"/>
    </row>
    <row r="177" ht="13.5" customHeight="1">
      <c r="A177" s="60" t="str">
        <f>IFERROR(__xludf.DUMMYFUNCTION("""COMPUTED_VALUE"""),"")</f>
        <v/>
      </c>
      <c r="B177" s="64" t="str">
        <f>IFERROR(__xludf.DUMMYFUNCTION("""COMPUTED_VALUE"""),"")</f>
        <v/>
      </c>
      <c r="C177" s="63" t="str">
        <f>IFERROR(__xludf.DUMMYFUNCTION("""COMPUTED_VALUE"""),"")</f>
        <v/>
      </c>
      <c r="D177" s="63" t="str">
        <f>IFERROR(__xludf.DUMMYFUNCTION("""COMPUTED_VALUE"""),"")</f>
        <v/>
      </c>
      <c r="E177" s="51" t="str">
        <f>IFERROR(__xludf.DUMMYFUNCTION("""COMPUTED_VALUE"""),"")</f>
        <v/>
      </c>
      <c r="F177" s="82" t="str">
        <f>IFERROR(__xludf.DUMMYFUNCTION("""COMPUTED_VALUE"""),"")</f>
        <v/>
      </c>
      <c r="G177" s="52" t="str">
        <f>IFERROR(__xludf.DUMMYFUNCTION("""COMPUTED_VALUE"""),"")</f>
        <v/>
      </c>
      <c r="H177" s="53" t="str">
        <f>IFERROR(__xludf.DUMMYFUNCTION("""COMPUTED_VALUE"""),"")</f>
        <v/>
      </c>
      <c r="I177" s="53" t="str">
        <f>IFERROR(__xludf.DUMMYFUNCTION("""COMPUTED_VALUE"""),"")</f>
        <v/>
      </c>
      <c r="J177" s="53" t="str">
        <f>IFERROR(__xludf.DUMMYFUNCTION("""COMPUTED_VALUE"""),"")</f>
        <v/>
      </c>
      <c r="K177" s="54" t="str">
        <f>IFERROR(__xludf.DUMMYFUNCTION("""COMPUTED_VALUE"""),"")</f>
        <v/>
      </c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6"/>
      <c r="W177" s="56"/>
      <c r="X177" s="56"/>
      <c r="Y177" s="56"/>
      <c r="Z177" s="57"/>
      <c r="AA177" s="58"/>
      <c r="AB177" s="58"/>
    </row>
    <row r="178" ht="13.5" customHeight="1">
      <c r="A178" s="60" t="str">
        <f>IFERROR(__xludf.DUMMYFUNCTION("""COMPUTED_VALUE"""),"")</f>
        <v/>
      </c>
      <c r="B178" s="64" t="str">
        <f>IFERROR(__xludf.DUMMYFUNCTION("""COMPUTED_VALUE"""),"")</f>
        <v/>
      </c>
      <c r="C178" s="63" t="str">
        <f>IFERROR(__xludf.DUMMYFUNCTION("""COMPUTED_VALUE"""),"")</f>
        <v/>
      </c>
      <c r="D178" s="63" t="str">
        <f>IFERROR(__xludf.DUMMYFUNCTION("""COMPUTED_VALUE"""),"")</f>
        <v/>
      </c>
      <c r="E178" s="51" t="str">
        <f>IFERROR(__xludf.DUMMYFUNCTION("""COMPUTED_VALUE"""),"")</f>
        <v/>
      </c>
      <c r="F178" s="82" t="str">
        <f>IFERROR(__xludf.DUMMYFUNCTION("""COMPUTED_VALUE"""),"")</f>
        <v/>
      </c>
      <c r="G178" s="52" t="str">
        <f>IFERROR(__xludf.DUMMYFUNCTION("""COMPUTED_VALUE"""),"")</f>
        <v/>
      </c>
      <c r="H178" s="53" t="str">
        <f>IFERROR(__xludf.DUMMYFUNCTION("""COMPUTED_VALUE"""),"")</f>
        <v/>
      </c>
      <c r="I178" s="53" t="str">
        <f>IFERROR(__xludf.DUMMYFUNCTION("""COMPUTED_VALUE"""),"")</f>
        <v/>
      </c>
      <c r="J178" s="53" t="str">
        <f>IFERROR(__xludf.DUMMYFUNCTION("""COMPUTED_VALUE"""),"")</f>
        <v/>
      </c>
      <c r="K178" s="54" t="str">
        <f>IFERROR(__xludf.DUMMYFUNCTION("""COMPUTED_VALUE"""),"")</f>
        <v/>
      </c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6"/>
      <c r="W178" s="56"/>
      <c r="X178" s="56"/>
      <c r="Y178" s="56"/>
      <c r="Z178" s="57"/>
      <c r="AA178" s="58"/>
      <c r="AB178" s="58"/>
    </row>
    <row r="179" ht="13.5" customHeight="1">
      <c r="A179" s="60" t="str">
        <f>IFERROR(__xludf.DUMMYFUNCTION("""COMPUTED_VALUE"""),"")</f>
        <v/>
      </c>
      <c r="B179" s="64" t="str">
        <f>IFERROR(__xludf.DUMMYFUNCTION("""COMPUTED_VALUE"""),"")</f>
        <v/>
      </c>
      <c r="C179" s="63" t="str">
        <f>IFERROR(__xludf.DUMMYFUNCTION("""COMPUTED_VALUE"""),"")</f>
        <v/>
      </c>
      <c r="D179" s="63" t="str">
        <f>IFERROR(__xludf.DUMMYFUNCTION("""COMPUTED_VALUE"""),"")</f>
        <v/>
      </c>
      <c r="E179" s="51" t="str">
        <f>IFERROR(__xludf.DUMMYFUNCTION("""COMPUTED_VALUE"""),"")</f>
        <v/>
      </c>
      <c r="F179" s="82" t="str">
        <f>IFERROR(__xludf.DUMMYFUNCTION("""COMPUTED_VALUE"""),"")</f>
        <v/>
      </c>
      <c r="G179" s="52" t="str">
        <f>IFERROR(__xludf.DUMMYFUNCTION("""COMPUTED_VALUE"""),"")</f>
        <v/>
      </c>
      <c r="H179" s="53" t="str">
        <f>IFERROR(__xludf.DUMMYFUNCTION("""COMPUTED_VALUE"""),"")</f>
        <v/>
      </c>
      <c r="I179" s="53" t="str">
        <f>IFERROR(__xludf.DUMMYFUNCTION("""COMPUTED_VALUE"""),"")</f>
        <v/>
      </c>
      <c r="J179" s="53" t="str">
        <f>IFERROR(__xludf.DUMMYFUNCTION("""COMPUTED_VALUE"""),"")</f>
        <v/>
      </c>
      <c r="K179" s="54" t="str">
        <f>IFERROR(__xludf.DUMMYFUNCTION("""COMPUTED_VALUE"""),"")</f>
        <v/>
      </c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6"/>
      <c r="W179" s="56"/>
      <c r="X179" s="56"/>
      <c r="Y179" s="56"/>
      <c r="Z179" s="57"/>
      <c r="AA179" s="58"/>
      <c r="AB179" s="58"/>
    </row>
    <row r="180" ht="13.5" customHeight="1">
      <c r="A180" s="60" t="str">
        <f>IFERROR(__xludf.DUMMYFUNCTION("""COMPUTED_VALUE"""),"")</f>
        <v/>
      </c>
      <c r="B180" s="64" t="str">
        <f>IFERROR(__xludf.DUMMYFUNCTION("""COMPUTED_VALUE"""),"")</f>
        <v/>
      </c>
      <c r="C180" s="63" t="str">
        <f>IFERROR(__xludf.DUMMYFUNCTION("""COMPUTED_VALUE"""),"")</f>
        <v/>
      </c>
      <c r="D180" s="63" t="str">
        <f>IFERROR(__xludf.DUMMYFUNCTION("""COMPUTED_VALUE"""),"")</f>
        <v/>
      </c>
      <c r="E180" s="51" t="str">
        <f>IFERROR(__xludf.DUMMYFUNCTION("""COMPUTED_VALUE"""),"")</f>
        <v/>
      </c>
      <c r="F180" s="82" t="str">
        <f>IFERROR(__xludf.DUMMYFUNCTION("""COMPUTED_VALUE"""),"")</f>
        <v/>
      </c>
      <c r="G180" s="52" t="str">
        <f>IFERROR(__xludf.DUMMYFUNCTION("""COMPUTED_VALUE"""),"")</f>
        <v/>
      </c>
      <c r="H180" s="53" t="str">
        <f>IFERROR(__xludf.DUMMYFUNCTION("""COMPUTED_VALUE"""),"")</f>
        <v/>
      </c>
      <c r="I180" s="53" t="str">
        <f>IFERROR(__xludf.DUMMYFUNCTION("""COMPUTED_VALUE"""),"")</f>
        <v/>
      </c>
      <c r="J180" s="53" t="str">
        <f>IFERROR(__xludf.DUMMYFUNCTION("""COMPUTED_VALUE"""),"")</f>
        <v/>
      </c>
      <c r="K180" s="54" t="str">
        <f>IFERROR(__xludf.DUMMYFUNCTION("""COMPUTED_VALUE"""),"")</f>
        <v/>
      </c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6"/>
      <c r="W180" s="56"/>
      <c r="X180" s="56"/>
      <c r="Y180" s="56"/>
      <c r="Z180" s="57"/>
      <c r="AA180" s="58"/>
      <c r="AB180" s="58"/>
    </row>
    <row r="181" ht="13.5" customHeight="1">
      <c r="A181" s="65"/>
      <c r="B181" s="66"/>
      <c r="C181" s="67"/>
      <c r="D181" s="67"/>
      <c r="E181" s="66"/>
      <c r="F181" s="66"/>
      <c r="G181" s="66"/>
      <c r="H181" s="66"/>
      <c r="I181" s="66"/>
      <c r="J181" s="66"/>
      <c r="K181" s="69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6"/>
      <c r="W181" s="56"/>
      <c r="X181" s="56"/>
      <c r="Y181" s="56"/>
      <c r="Z181" s="57"/>
      <c r="AA181" s="58"/>
      <c r="AB181" s="58"/>
    </row>
    <row r="182" ht="13.5" customHeight="1">
      <c r="A182" s="65"/>
      <c r="B182" s="66"/>
      <c r="C182" s="67"/>
      <c r="D182" s="67"/>
      <c r="E182" s="66"/>
      <c r="F182" s="66"/>
      <c r="G182" s="66"/>
      <c r="H182" s="66"/>
      <c r="I182" s="66"/>
      <c r="J182" s="66"/>
      <c r="K182" s="69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6"/>
      <c r="W182" s="56"/>
      <c r="X182" s="56"/>
      <c r="Y182" s="56"/>
      <c r="Z182" s="57"/>
      <c r="AA182" s="58"/>
      <c r="AB182" s="58"/>
    </row>
    <row r="183" ht="15.75" customHeight="1">
      <c r="A183" s="65"/>
      <c r="B183" s="66"/>
      <c r="C183" s="67"/>
      <c r="D183" s="67"/>
      <c r="E183" s="66"/>
      <c r="F183" s="66"/>
      <c r="G183" s="66"/>
      <c r="H183" s="66"/>
      <c r="I183" s="66"/>
      <c r="J183" s="66"/>
      <c r="K183" s="69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7"/>
      <c r="AA183" s="58"/>
      <c r="AB183" s="58"/>
    </row>
    <row r="184" ht="15.75" customHeight="1">
      <c r="A184" s="65"/>
      <c r="B184" s="66"/>
      <c r="C184" s="67"/>
      <c r="D184" s="67"/>
      <c r="E184" s="66"/>
      <c r="F184" s="66"/>
      <c r="G184" s="66"/>
      <c r="H184" s="66"/>
      <c r="I184" s="66"/>
      <c r="J184" s="66"/>
      <c r="K184" s="69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7"/>
      <c r="AA184" s="58"/>
      <c r="AB184" s="58"/>
    </row>
    <row r="185" ht="15.75" customHeight="1">
      <c r="A185" s="65"/>
      <c r="B185" s="66"/>
      <c r="C185" s="67"/>
      <c r="D185" s="67"/>
      <c r="E185" s="66"/>
      <c r="F185" s="66"/>
      <c r="G185" s="66"/>
      <c r="H185" s="66"/>
      <c r="I185" s="66"/>
      <c r="J185" s="66"/>
      <c r="K185" s="69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7"/>
      <c r="AA185" s="58"/>
      <c r="AB185" s="58"/>
    </row>
    <row r="186" ht="15.75" customHeight="1">
      <c r="A186" s="65"/>
      <c r="B186" s="66"/>
      <c r="C186" s="67"/>
      <c r="D186" s="67"/>
      <c r="E186" s="66"/>
      <c r="F186" s="66"/>
      <c r="G186" s="66"/>
      <c r="H186" s="66"/>
      <c r="I186" s="66"/>
      <c r="J186" s="66"/>
      <c r="K186" s="69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7"/>
      <c r="AA186" s="58"/>
      <c r="AB186" s="58"/>
    </row>
    <row r="187" ht="15.75" customHeight="1">
      <c r="A187" s="65"/>
      <c r="B187" s="66"/>
      <c r="C187" s="67"/>
      <c r="D187" s="67"/>
      <c r="E187" s="66"/>
      <c r="F187" s="66"/>
      <c r="G187" s="66"/>
      <c r="H187" s="66"/>
      <c r="I187" s="66"/>
      <c r="J187" s="66"/>
      <c r="K187" s="69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7"/>
      <c r="AA187" s="58"/>
      <c r="AB187" s="58"/>
    </row>
    <row r="188" ht="15.75" customHeight="1">
      <c r="A188" s="65"/>
      <c r="B188" s="66"/>
      <c r="C188" s="67"/>
      <c r="D188" s="67"/>
      <c r="E188" s="66"/>
      <c r="F188" s="66"/>
      <c r="G188" s="66"/>
      <c r="H188" s="66"/>
      <c r="I188" s="66"/>
      <c r="J188" s="66"/>
      <c r="K188" s="69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7"/>
      <c r="AA188" s="58"/>
      <c r="AB188" s="58"/>
    </row>
    <row r="189" ht="15.75" customHeight="1">
      <c r="A189" s="65"/>
      <c r="B189" s="66"/>
      <c r="C189" s="67"/>
      <c r="D189" s="67"/>
      <c r="E189" s="66"/>
      <c r="F189" s="66"/>
      <c r="G189" s="66"/>
      <c r="H189" s="66"/>
      <c r="I189" s="66"/>
      <c r="J189" s="66"/>
      <c r="K189" s="69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7"/>
      <c r="AA189" s="58"/>
      <c r="AB189" s="58"/>
    </row>
    <row r="190" ht="15.75" customHeight="1">
      <c r="A190" s="65"/>
      <c r="B190" s="66"/>
      <c r="C190" s="67"/>
      <c r="D190" s="67"/>
      <c r="E190" s="66"/>
      <c r="F190" s="66"/>
      <c r="G190" s="66"/>
      <c r="H190" s="66"/>
      <c r="I190" s="66"/>
      <c r="J190" s="66"/>
      <c r="K190" s="69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7"/>
      <c r="AA190" s="58"/>
      <c r="AB190" s="58"/>
    </row>
    <row r="191" ht="15.75" customHeight="1">
      <c r="A191" s="65"/>
      <c r="B191" s="66"/>
      <c r="C191" s="67"/>
      <c r="D191" s="67"/>
      <c r="E191" s="66"/>
      <c r="F191" s="66"/>
      <c r="G191" s="66"/>
      <c r="H191" s="66"/>
      <c r="I191" s="66"/>
      <c r="J191" s="66"/>
      <c r="K191" s="69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7"/>
      <c r="AA191" s="58"/>
      <c r="AB191" s="58"/>
    </row>
    <row r="192" ht="15.75" customHeight="1">
      <c r="A192" s="65"/>
      <c r="B192" s="66"/>
      <c r="C192" s="67"/>
      <c r="D192" s="67"/>
      <c r="E192" s="66"/>
      <c r="F192" s="66"/>
      <c r="G192" s="66"/>
      <c r="H192" s="66"/>
      <c r="I192" s="66"/>
      <c r="J192" s="66"/>
      <c r="K192" s="69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7"/>
      <c r="AA192" s="58"/>
      <c r="AB192" s="58"/>
    </row>
    <row r="193" ht="15.75" customHeight="1">
      <c r="A193" s="65"/>
      <c r="B193" s="66"/>
      <c r="C193" s="67"/>
      <c r="D193" s="67"/>
      <c r="E193" s="66"/>
      <c r="F193" s="66"/>
      <c r="G193" s="66"/>
      <c r="H193" s="66"/>
      <c r="I193" s="66"/>
      <c r="J193" s="66"/>
      <c r="K193" s="69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7"/>
      <c r="AA193" s="58"/>
      <c r="AB193" s="58"/>
    </row>
    <row r="194" ht="15.75" customHeight="1">
      <c r="A194" s="65"/>
      <c r="B194" s="66"/>
      <c r="C194" s="67"/>
      <c r="D194" s="67"/>
      <c r="E194" s="66"/>
      <c r="F194" s="66"/>
      <c r="G194" s="66"/>
      <c r="H194" s="66"/>
      <c r="I194" s="66"/>
      <c r="J194" s="66"/>
      <c r="K194" s="69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7"/>
      <c r="AA194" s="58"/>
      <c r="AB194" s="58"/>
    </row>
    <row r="195" ht="15.75" customHeight="1">
      <c r="A195" s="65"/>
      <c r="B195" s="66"/>
      <c r="C195" s="67"/>
      <c r="D195" s="67"/>
      <c r="E195" s="66"/>
      <c r="F195" s="66"/>
      <c r="G195" s="66"/>
      <c r="H195" s="66"/>
      <c r="I195" s="66"/>
      <c r="J195" s="66"/>
      <c r="K195" s="69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7"/>
      <c r="AA195" s="58"/>
      <c r="AB195" s="58"/>
    </row>
    <row r="196" ht="15.75" customHeight="1">
      <c r="A196" s="65"/>
      <c r="B196" s="66"/>
      <c r="C196" s="67"/>
      <c r="D196" s="67"/>
      <c r="E196" s="66"/>
      <c r="F196" s="66"/>
      <c r="G196" s="66"/>
      <c r="H196" s="66"/>
      <c r="I196" s="66"/>
      <c r="J196" s="66"/>
      <c r="K196" s="69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7"/>
      <c r="AA196" s="58"/>
      <c r="AB196" s="58"/>
    </row>
    <row r="197" ht="15.75" customHeight="1">
      <c r="A197" s="65"/>
      <c r="B197" s="66"/>
      <c r="C197" s="67"/>
      <c r="D197" s="67"/>
      <c r="E197" s="66"/>
      <c r="F197" s="66"/>
      <c r="G197" s="66"/>
      <c r="H197" s="66"/>
      <c r="I197" s="66"/>
      <c r="J197" s="66"/>
      <c r="K197" s="69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7"/>
      <c r="AA197" s="58"/>
      <c r="AB197" s="58"/>
    </row>
    <row r="198" ht="15.75" customHeight="1">
      <c r="A198" s="65"/>
      <c r="B198" s="66"/>
      <c r="C198" s="67"/>
      <c r="D198" s="67"/>
      <c r="E198" s="66"/>
      <c r="F198" s="66"/>
      <c r="G198" s="66"/>
      <c r="H198" s="66"/>
      <c r="I198" s="66"/>
      <c r="J198" s="66"/>
      <c r="K198" s="69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7"/>
      <c r="AA198" s="58"/>
      <c r="AB198" s="58"/>
    </row>
    <row r="199" ht="15.75" customHeight="1">
      <c r="A199" s="65"/>
      <c r="B199" s="66"/>
      <c r="C199" s="67"/>
      <c r="D199" s="67"/>
      <c r="E199" s="66"/>
      <c r="F199" s="66"/>
      <c r="G199" s="66"/>
      <c r="H199" s="66"/>
      <c r="I199" s="66"/>
      <c r="J199" s="66"/>
      <c r="K199" s="69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7"/>
      <c r="AA199" s="58"/>
      <c r="AB199" s="58"/>
    </row>
    <row r="200" ht="15.75" customHeight="1">
      <c r="A200" s="65"/>
      <c r="B200" s="66"/>
      <c r="C200" s="67"/>
      <c r="D200" s="67"/>
      <c r="E200" s="66"/>
      <c r="F200" s="66"/>
      <c r="G200" s="66"/>
      <c r="H200" s="66"/>
      <c r="I200" s="66"/>
      <c r="J200" s="66"/>
      <c r="K200" s="69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7"/>
      <c r="AA200" s="58"/>
      <c r="AB200" s="58"/>
    </row>
    <row r="201" ht="15.75" customHeight="1">
      <c r="A201" s="65"/>
      <c r="B201" s="66"/>
      <c r="C201" s="67"/>
      <c r="D201" s="67"/>
      <c r="E201" s="66"/>
      <c r="F201" s="66"/>
      <c r="G201" s="66"/>
      <c r="H201" s="66"/>
      <c r="I201" s="66"/>
      <c r="J201" s="66"/>
      <c r="K201" s="69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7"/>
      <c r="AA201" s="58"/>
      <c r="AB201" s="58"/>
    </row>
    <row r="202" ht="15.75" customHeight="1">
      <c r="A202" s="65"/>
      <c r="B202" s="66"/>
      <c r="C202" s="67"/>
      <c r="D202" s="67"/>
      <c r="E202" s="66"/>
      <c r="F202" s="66"/>
      <c r="G202" s="66"/>
      <c r="H202" s="66"/>
      <c r="I202" s="66"/>
      <c r="J202" s="66"/>
      <c r="K202" s="69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7"/>
      <c r="AA202" s="58"/>
      <c r="AB202" s="58"/>
    </row>
    <row r="203" ht="15.75" customHeight="1">
      <c r="A203" s="65"/>
      <c r="B203" s="66"/>
      <c r="C203" s="67"/>
      <c r="D203" s="67"/>
      <c r="E203" s="66"/>
      <c r="F203" s="66"/>
      <c r="G203" s="66"/>
      <c r="H203" s="66"/>
      <c r="I203" s="66"/>
      <c r="J203" s="66"/>
      <c r="K203" s="69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7"/>
      <c r="AA203" s="58"/>
      <c r="AB203" s="58"/>
    </row>
    <row r="204" ht="15.75" customHeight="1">
      <c r="A204" s="65"/>
      <c r="B204" s="66"/>
      <c r="C204" s="67"/>
      <c r="D204" s="67"/>
      <c r="E204" s="66"/>
      <c r="F204" s="66"/>
      <c r="G204" s="66"/>
      <c r="H204" s="66"/>
      <c r="I204" s="66"/>
      <c r="J204" s="66"/>
      <c r="K204" s="69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7"/>
      <c r="AA204" s="58"/>
      <c r="AB204" s="58"/>
    </row>
    <row r="205" ht="15.75" customHeight="1">
      <c r="A205" s="65"/>
      <c r="B205" s="66"/>
      <c r="C205" s="67"/>
      <c r="D205" s="67"/>
      <c r="E205" s="66"/>
      <c r="F205" s="66"/>
      <c r="G205" s="66"/>
      <c r="H205" s="66"/>
      <c r="I205" s="66"/>
      <c r="J205" s="66"/>
      <c r="K205" s="69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7"/>
      <c r="AA205" s="58"/>
      <c r="AB205" s="58"/>
    </row>
    <row r="206" ht="15.75" customHeight="1">
      <c r="A206" s="65"/>
      <c r="B206" s="66"/>
      <c r="C206" s="67"/>
      <c r="D206" s="67"/>
      <c r="E206" s="66"/>
      <c r="F206" s="66"/>
      <c r="G206" s="66"/>
      <c r="H206" s="66"/>
      <c r="I206" s="66"/>
      <c r="J206" s="66"/>
      <c r="K206" s="69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7"/>
      <c r="AA206" s="58"/>
      <c r="AB206" s="58"/>
    </row>
    <row r="207" ht="15.75" customHeight="1">
      <c r="A207" s="65"/>
      <c r="B207" s="66"/>
      <c r="C207" s="67"/>
      <c r="D207" s="67"/>
      <c r="E207" s="66"/>
      <c r="F207" s="66"/>
      <c r="G207" s="66"/>
      <c r="H207" s="66"/>
      <c r="I207" s="66"/>
      <c r="J207" s="66"/>
      <c r="K207" s="69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7"/>
      <c r="AA207" s="58"/>
      <c r="AB207" s="58"/>
    </row>
    <row r="208" ht="15.75" customHeight="1">
      <c r="A208" s="65"/>
      <c r="B208" s="66"/>
      <c r="C208" s="67"/>
      <c r="D208" s="67"/>
      <c r="E208" s="66"/>
      <c r="F208" s="66"/>
      <c r="G208" s="66"/>
      <c r="H208" s="66"/>
      <c r="I208" s="66"/>
      <c r="J208" s="66"/>
      <c r="K208" s="69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7"/>
      <c r="AA208" s="58"/>
      <c r="AB208" s="58"/>
    </row>
    <row r="209" ht="15.75" customHeight="1">
      <c r="A209" s="65"/>
      <c r="B209" s="66"/>
      <c r="C209" s="67"/>
      <c r="D209" s="67"/>
      <c r="E209" s="66"/>
      <c r="F209" s="66"/>
      <c r="G209" s="66"/>
      <c r="H209" s="66"/>
      <c r="I209" s="66"/>
      <c r="J209" s="66"/>
      <c r="K209" s="69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7"/>
      <c r="AA209" s="58"/>
      <c r="AB209" s="58"/>
    </row>
    <row r="210" ht="15.75" customHeight="1">
      <c r="A210" s="65"/>
      <c r="B210" s="66"/>
      <c r="C210" s="67"/>
      <c r="D210" s="67"/>
      <c r="E210" s="66"/>
      <c r="F210" s="66"/>
      <c r="G210" s="66"/>
      <c r="H210" s="66"/>
      <c r="I210" s="66"/>
      <c r="J210" s="66"/>
      <c r="K210" s="69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7"/>
      <c r="AA210" s="58"/>
      <c r="AB210" s="58"/>
    </row>
    <row r="211" ht="15.75" customHeight="1">
      <c r="A211" s="65"/>
      <c r="B211" s="66"/>
      <c r="C211" s="67"/>
      <c r="D211" s="67"/>
      <c r="E211" s="66"/>
      <c r="F211" s="66"/>
      <c r="G211" s="66"/>
      <c r="H211" s="66"/>
      <c r="I211" s="66"/>
      <c r="J211" s="66"/>
      <c r="K211" s="69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7"/>
      <c r="AA211" s="58"/>
      <c r="AB211" s="58"/>
    </row>
    <row r="212" ht="15.75" customHeight="1">
      <c r="A212" s="65"/>
      <c r="B212" s="66"/>
      <c r="C212" s="67"/>
      <c r="D212" s="67"/>
      <c r="E212" s="66"/>
      <c r="F212" s="66"/>
      <c r="G212" s="66"/>
      <c r="H212" s="66"/>
      <c r="I212" s="66"/>
      <c r="J212" s="66"/>
      <c r="K212" s="69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7"/>
      <c r="AA212" s="58"/>
      <c r="AB212" s="58"/>
    </row>
    <row r="213" ht="15.75" customHeight="1">
      <c r="A213" s="65"/>
      <c r="B213" s="66"/>
      <c r="C213" s="67"/>
      <c r="D213" s="67"/>
      <c r="E213" s="66"/>
      <c r="F213" s="66"/>
      <c r="G213" s="66"/>
      <c r="H213" s="66"/>
      <c r="I213" s="66"/>
      <c r="J213" s="66"/>
      <c r="K213" s="69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7"/>
      <c r="AA213" s="58"/>
      <c r="AB213" s="58"/>
    </row>
    <row r="214" ht="15.75" customHeight="1">
      <c r="A214" s="65"/>
      <c r="B214" s="66"/>
      <c r="C214" s="67"/>
      <c r="D214" s="67"/>
      <c r="E214" s="66"/>
      <c r="F214" s="66"/>
      <c r="G214" s="66"/>
      <c r="H214" s="66"/>
      <c r="I214" s="66"/>
      <c r="J214" s="66"/>
      <c r="K214" s="69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7"/>
      <c r="AA214" s="58"/>
      <c r="AB214" s="58"/>
    </row>
    <row r="215" ht="15.75" customHeight="1">
      <c r="A215" s="65"/>
      <c r="B215" s="66"/>
      <c r="C215" s="67"/>
      <c r="D215" s="67"/>
      <c r="E215" s="66"/>
      <c r="F215" s="66"/>
      <c r="G215" s="66"/>
      <c r="H215" s="66"/>
      <c r="I215" s="66"/>
      <c r="J215" s="66"/>
      <c r="K215" s="69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7"/>
      <c r="AA215" s="58"/>
      <c r="AB215" s="58"/>
    </row>
    <row r="216" ht="15.75" customHeight="1">
      <c r="A216" s="65"/>
      <c r="B216" s="66"/>
      <c r="C216" s="67"/>
      <c r="D216" s="67"/>
      <c r="E216" s="66"/>
      <c r="F216" s="66"/>
      <c r="G216" s="66"/>
      <c r="H216" s="66"/>
      <c r="I216" s="66"/>
      <c r="J216" s="66"/>
      <c r="K216" s="69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7"/>
      <c r="AA216" s="58"/>
      <c r="AB216" s="58"/>
    </row>
    <row r="217" ht="15.75" customHeight="1">
      <c r="A217" s="65"/>
      <c r="B217" s="66"/>
      <c r="C217" s="67"/>
      <c r="D217" s="67"/>
      <c r="E217" s="66"/>
      <c r="F217" s="66"/>
      <c r="G217" s="66"/>
      <c r="H217" s="66"/>
      <c r="I217" s="66"/>
      <c r="J217" s="66"/>
      <c r="K217" s="69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7"/>
      <c r="AA217" s="58"/>
      <c r="AB217" s="58"/>
    </row>
    <row r="218" ht="15.75" customHeight="1">
      <c r="A218" s="65"/>
      <c r="B218" s="66"/>
      <c r="C218" s="67"/>
      <c r="D218" s="67"/>
      <c r="E218" s="66"/>
      <c r="F218" s="66"/>
      <c r="G218" s="66"/>
      <c r="H218" s="66"/>
      <c r="I218" s="66"/>
      <c r="J218" s="66"/>
      <c r="K218" s="69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7"/>
      <c r="AA218" s="58"/>
      <c r="AB218" s="58"/>
    </row>
    <row r="219" ht="15.75" customHeight="1">
      <c r="A219" s="65"/>
      <c r="B219" s="66"/>
      <c r="C219" s="67"/>
      <c r="D219" s="67"/>
      <c r="E219" s="66"/>
      <c r="F219" s="66"/>
      <c r="G219" s="66"/>
      <c r="H219" s="66"/>
      <c r="I219" s="66"/>
      <c r="J219" s="66"/>
      <c r="K219" s="69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7"/>
      <c r="AA219" s="58"/>
      <c r="AB219" s="58"/>
    </row>
    <row r="220" ht="15.75" customHeight="1">
      <c r="A220" s="65"/>
      <c r="B220" s="66"/>
      <c r="C220" s="67"/>
      <c r="D220" s="67"/>
      <c r="E220" s="66"/>
      <c r="F220" s="66"/>
      <c r="G220" s="66"/>
      <c r="H220" s="66"/>
      <c r="I220" s="66"/>
      <c r="J220" s="66"/>
      <c r="K220" s="69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7"/>
      <c r="AA220" s="58"/>
      <c r="AB220" s="58"/>
    </row>
    <row r="221" ht="15.75" customHeight="1">
      <c r="A221" s="65"/>
      <c r="B221" s="66"/>
      <c r="C221" s="67"/>
      <c r="D221" s="67"/>
      <c r="E221" s="66"/>
      <c r="F221" s="66"/>
      <c r="G221" s="66"/>
      <c r="H221" s="66"/>
      <c r="I221" s="66"/>
      <c r="J221" s="66"/>
      <c r="K221" s="69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7"/>
      <c r="AA221" s="58"/>
      <c r="AB221" s="58"/>
    </row>
    <row r="222" ht="15.75" customHeight="1">
      <c r="A222" s="65"/>
      <c r="B222" s="66"/>
      <c r="C222" s="67"/>
      <c r="D222" s="67"/>
      <c r="E222" s="66"/>
      <c r="F222" s="66"/>
      <c r="G222" s="66"/>
      <c r="H222" s="66"/>
      <c r="I222" s="66"/>
      <c r="J222" s="66"/>
      <c r="K222" s="69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7"/>
      <c r="AA222" s="58"/>
      <c r="AB222" s="58"/>
    </row>
    <row r="223" ht="15.75" customHeight="1">
      <c r="A223" s="65"/>
      <c r="B223" s="66"/>
      <c r="C223" s="67"/>
      <c r="D223" s="67"/>
      <c r="E223" s="66"/>
      <c r="F223" s="66"/>
      <c r="G223" s="66"/>
      <c r="H223" s="66"/>
      <c r="I223" s="66"/>
      <c r="J223" s="66"/>
      <c r="K223" s="69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7"/>
      <c r="AA223" s="58"/>
      <c r="AB223" s="58"/>
    </row>
    <row r="224" ht="15.75" customHeight="1">
      <c r="A224" s="65"/>
      <c r="B224" s="66"/>
      <c r="C224" s="67"/>
      <c r="D224" s="67"/>
      <c r="E224" s="66"/>
      <c r="F224" s="66"/>
      <c r="G224" s="66"/>
      <c r="H224" s="66"/>
      <c r="I224" s="66"/>
      <c r="J224" s="66"/>
      <c r="K224" s="69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7"/>
      <c r="AA224" s="58"/>
      <c r="AB224" s="58"/>
    </row>
    <row r="225" ht="15.75" customHeight="1">
      <c r="A225" s="65"/>
      <c r="B225" s="66"/>
      <c r="C225" s="67"/>
      <c r="D225" s="67"/>
      <c r="E225" s="66"/>
      <c r="F225" s="66"/>
      <c r="G225" s="66"/>
      <c r="H225" s="66"/>
      <c r="I225" s="66"/>
      <c r="J225" s="66"/>
      <c r="K225" s="69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7"/>
      <c r="AA225" s="58"/>
      <c r="AB225" s="58"/>
    </row>
    <row r="226" ht="15.75" customHeight="1">
      <c r="A226" s="65"/>
      <c r="B226" s="66"/>
      <c r="C226" s="67"/>
      <c r="D226" s="67"/>
      <c r="E226" s="66"/>
      <c r="F226" s="66"/>
      <c r="G226" s="66"/>
      <c r="H226" s="66"/>
      <c r="I226" s="66"/>
      <c r="J226" s="66"/>
      <c r="K226" s="69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7"/>
      <c r="AA226" s="58"/>
      <c r="AB226" s="58"/>
    </row>
    <row r="227" ht="15.75" customHeight="1">
      <c r="A227" s="65"/>
      <c r="B227" s="66"/>
      <c r="C227" s="67"/>
      <c r="D227" s="67"/>
      <c r="E227" s="66"/>
      <c r="F227" s="66"/>
      <c r="G227" s="66"/>
      <c r="H227" s="66"/>
      <c r="I227" s="66"/>
      <c r="J227" s="66"/>
      <c r="K227" s="69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7"/>
      <c r="AA227" s="58"/>
      <c r="AB227" s="58"/>
    </row>
    <row r="228" ht="15.75" customHeight="1">
      <c r="A228" s="65"/>
      <c r="B228" s="66"/>
      <c r="C228" s="67"/>
      <c r="D228" s="67"/>
      <c r="E228" s="66"/>
      <c r="F228" s="66"/>
      <c r="G228" s="66"/>
      <c r="H228" s="66"/>
      <c r="I228" s="66"/>
      <c r="J228" s="66"/>
      <c r="K228" s="69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7"/>
      <c r="AA228" s="58"/>
      <c r="AB228" s="58"/>
    </row>
    <row r="229" ht="15.75" customHeight="1">
      <c r="A229" s="65"/>
      <c r="B229" s="66"/>
      <c r="C229" s="67"/>
      <c r="D229" s="67"/>
      <c r="E229" s="66"/>
      <c r="F229" s="66"/>
      <c r="G229" s="66"/>
      <c r="H229" s="66"/>
      <c r="I229" s="66"/>
      <c r="J229" s="66"/>
      <c r="K229" s="69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7"/>
      <c r="AA229" s="58"/>
      <c r="AB229" s="58"/>
    </row>
    <row r="230" ht="15.75" customHeight="1">
      <c r="A230" s="65"/>
      <c r="B230" s="66"/>
      <c r="C230" s="67"/>
      <c r="D230" s="67"/>
      <c r="E230" s="66"/>
      <c r="F230" s="66"/>
      <c r="G230" s="66"/>
      <c r="H230" s="66"/>
      <c r="I230" s="66"/>
      <c r="J230" s="66"/>
      <c r="K230" s="69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7"/>
      <c r="AA230" s="58"/>
      <c r="AB230" s="58"/>
    </row>
    <row r="231" ht="15.75" customHeight="1">
      <c r="A231" s="65"/>
      <c r="B231" s="66"/>
      <c r="C231" s="67"/>
      <c r="D231" s="67"/>
      <c r="E231" s="66"/>
      <c r="F231" s="66"/>
      <c r="G231" s="66"/>
      <c r="H231" s="66"/>
      <c r="I231" s="66"/>
      <c r="J231" s="66"/>
      <c r="K231" s="69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7"/>
      <c r="AA231" s="58"/>
      <c r="AB231" s="58"/>
    </row>
    <row r="232" ht="15.75" customHeight="1">
      <c r="A232" s="65"/>
      <c r="B232" s="66"/>
      <c r="C232" s="67"/>
      <c r="D232" s="67"/>
      <c r="E232" s="66"/>
      <c r="F232" s="66"/>
      <c r="G232" s="66"/>
      <c r="H232" s="66"/>
      <c r="I232" s="66"/>
      <c r="J232" s="66"/>
      <c r="K232" s="69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7"/>
      <c r="AA232" s="58"/>
      <c r="AB232" s="58"/>
    </row>
    <row r="233" ht="15.75" customHeight="1">
      <c r="A233" s="65"/>
      <c r="B233" s="66"/>
      <c r="C233" s="67"/>
      <c r="D233" s="67"/>
      <c r="E233" s="66"/>
      <c r="F233" s="66"/>
      <c r="G233" s="66"/>
      <c r="H233" s="66"/>
      <c r="I233" s="66"/>
      <c r="J233" s="66"/>
      <c r="K233" s="69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7"/>
      <c r="AA233" s="58"/>
      <c r="AB233" s="58"/>
    </row>
    <row r="234" ht="15.75" customHeight="1">
      <c r="A234" s="65"/>
      <c r="B234" s="66"/>
      <c r="C234" s="67"/>
      <c r="D234" s="67"/>
      <c r="E234" s="66"/>
      <c r="F234" s="66"/>
      <c r="G234" s="66"/>
      <c r="H234" s="66"/>
      <c r="I234" s="66"/>
      <c r="J234" s="66"/>
      <c r="K234" s="69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7"/>
      <c r="AA234" s="58"/>
      <c r="AB234" s="58"/>
    </row>
    <row r="235" ht="15.75" customHeight="1">
      <c r="A235" s="65"/>
      <c r="B235" s="66"/>
      <c r="C235" s="67"/>
      <c r="D235" s="67"/>
      <c r="E235" s="66"/>
      <c r="F235" s="66"/>
      <c r="G235" s="66"/>
      <c r="H235" s="66"/>
      <c r="I235" s="66"/>
      <c r="J235" s="66"/>
      <c r="K235" s="69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7"/>
      <c r="AA235" s="58"/>
      <c r="AB235" s="58"/>
    </row>
    <row r="236" ht="15.75" customHeight="1">
      <c r="A236" s="65"/>
      <c r="B236" s="66"/>
      <c r="C236" s="67"/>
      <c r="D236" s="67"/>
      <c r="E236" s="66"/>
      <c r="F236" s="66"/>
      <c r="G236" s="66"/>
      <c r="H236" s="66"/>
      <c r="I236" s="66"/>
      <c r="J236" s="66"/>
      <c r="K236" s="69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7"/>
      <c r="AA236" s="58"/>
      <c r="AB236" s="58"/>
    </row>
    <row r="237" ht="15.75" customHeight="1">
      <c r="A237" s="65"/>
      <c r="B237" s="66"/>
      <c r="C237" s="67"/>
      <c r="D237" s="67"/>
      <c r="E237" s="66"/>
      <c r="F237" s="66"/>
      <c r="G237" s="66"/>
      <c r="H237" s="66"/>
      <c r="I237" s="66"/>
      <c r="J237" s="66"/>
      <c r="K237" s="69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7"/>
      <c r="AA237" s="58"/>
      <c r="AB237" s="58"/>
    </row>
    <row r="238" ht="15.75" customHeight="1">
      <c r="A238" s="65"/>
      <c r="B238" s="66"/>
      <c r="C238" s="67"/>
      <c r="D238" s="67"/>
      <c r="E238" s="66"/>
      <c r="F238" s="66"/>
      <c r="G238" s="66"/>
      <c r="H238" s="66"/>
      <c r="I238" s="66"/>
      <c r="J238" s="66"/>
      <c r="K238" s="69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7"/>
      <c r="AA238" s="58"/>
      <c r="AB238" s="58"/>
    </row>
    <row r="239" ht="15.75" customHeight="1">
      <c r="A239" s="65"/>
      <c r="B239" s="66"/>
      <c r="C239" s="67"/>
      <c r="D239" s="67"/>
      <c r="E239" s="66"/>
      <c r="F239" s="66"/>
      <c r="G239" s="66"/>
      <c r="H239" s="66"/>
      <c r="I239" s="66"/>
      <c r="J239" s="66"/>
      <c r="K239" s="69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7"/>
      <c r="AA239" s="58"/>
      <c r="AB239" s="58"/>
    </row>
    <row r="240" ht="15.75" customHeight="1">
      <c r="A240" s="65"/>
      <c r="B240" s="66"/>
      <c r="C240" s="67"/>
      <c r="D240" s="67"/>
      <c r="E240" s="66"/>
      <c r="F240" s="66"/>
      <c r="G240" s="66"/>
      <c r="H240" s="66"/>
      <c r="I240" s="66"/>
      <c r="J240" s="66"/>
      <c r="K240" s="69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7"/>
      <c r="AA240" s="58"/>
      <c r="AB240" s="58"/>
    </row>
    <row r="241" ht="15.75" customHeight="1">
      <c r="A241" s="65"/>
      <c r="B241" s="66"/>
      <c r="C241" s="67"/>
      <c r="D241" s="67"/>
      <c r="E241" s="66"/>
      <c r="F241" s="66"/>
      <c r="G241" s="66"/>
      <c r="H241" s="66"/>
      <c r="I241" s="66"/>
      <c r="J241" s="66"/>
      <c r="K241" s="69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7"/>
      <c r="AA241" s="58"/>
      <c r="AB241" s="58"/>
    </row>
    <row r="242" ht="15.75" customHeight="1">
      <c r="A242" s="65"/>
      <c r="B242" s="66"/>
      <c r="C242" s="67"/>
      <c r="D242" s="67"/>
      <c r="E242" s="66"/>
      <c r="F242" s="66"/>
      <c r="G242" s="66"/>
      <c r="H242" s="66"/>
      <c r="I242" s="66"/>
      <c r="J242" s="66"/>
      <c r="K242" s="69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7"/>
      <c r="AA242" s="58"/>
      <c r="AB242" s="58"/>
    </row>
    <row r="243" ht="15.75" customHeight="1">
      <c r="A243" s="65"/>
      <c r="B243" s="66"/>
      <c r="C243" s="67"/>
      <c r="D243" s="67"/>
      <c r="E243" s="66"/>
      <c r="F243" s="66"/>
      <c r="G243" s="66"/>
      <c r="H243" s="66"/>
      <c r="I243" s="66"/>
      <c r="J243" s="66"/>
      <c r="K243" s="69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7"/>
      <c r="AA243" s="58"/>
      <c r="AB243" s="58"/>
    </row>
    <row r="244" ht="15.75" customHeight="1">
      <c r="A244" s="65"/>
      <c r="B244" s="66"/>
      <c r="C244" s="67"/>
      <c r="D244" s="67"/>
      <c r="E244" s="66"/>
      <c r="F244" s="66"/>
      <c r="G244" s="66"/>
      <c r="H244" s="66"/>
      <c r="I244" s="66"/>
      <c r="J244" s="66"/>
      <c r="K244" s="69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7"/>
      <c r="AA244" s="58"/>
      <c r="AB244" s="58"/>
    </row>
    <row r="245" ht="15.75" customHeight="1">
      <c r="A245" s="65"/>
      <c r="B245" s="66"/>
      <c r="C245" s="67"/>
      <c r="D245" s="67"/>
      <c r="E245" s="66"/>
      <c r="F245" s="66"/>
      <c r="G245" s="66"/>
      <c r="H245" s="66"/>
      <c r="I245" s="66"/>
      <c r="J245" s="66"/>
      <c r="K245" s="69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7"/>
      <c r="AA245" s="58"/>
      <c r="AB245" s="58"/>
    </row>
    <row r="246" ht="15.75" customHeight="1">
      <c r="A246" s="65"/>
      <c r="B246" s="66"/>
      <c r="C246" s="67"/>
      <c r="D246" s="67"/>
      <c r="E246" s="66"/>
      <c r="F246" s="66"/>
      <c r="G246" s="66"/>
      <c r="H246" s="66"/>
      <c r="I246" s="66"/>
      <c r="J246" s="66"/>
      <c r="K246" s="69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7"/>
      <c r="AA246" s="58"/>
      <c r="AB246" s="58"/>
    </row>
    <row r="247" ht="15.75" customHeight="1">
      <c r="A247" s="65"/>
      <c r="B247" s="66"/>
      <c r="C247" s="67"/>
      <c r="D247" s="67"/>
      <c r="E247" s="66"/>
      <c r="F247" s="66"/>
      <c r="G247" s="66"/>
      <c r="H247" s="66"/>
      <c r="I247" s="66"/>
      <c r="J247" s="66"/>
      <c r="K247" s="69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7"/>
      <c r="AA247" s="58"/>
      <c r="AB247" s="58"/>
    </row>
    <row r="248" ht="15.75" customHeight="1">
      <c r="A248" s="65"/>
      <c r="B248" s="66"/>
      <c r="C248" s="67"/>
      <c r="D248" s="67"/>
      <c r="E248" s="66"/>
      <c r="F248" s="66"/>
      <c r="G248" s="66"/>
      <c r="H248" s="66"/>
      <c r="I248" s="66"/>
      <c r="J248" s="66"/>
      <c r="K248" s="69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7"/>
      <c r="AA248" s="58"/>
      <c r="AB248" s="58"/>
    </row>
    <row r="249" ht="15.75" customHeight="1">
      <c r="A249" s="65"/>
      <c r="B249" s="66"/>
      <c r="C249" s="67"/>
      <c r="D249" s="67"/>
      <c r="E249" s="66"/>
      <c r="F249" s="66"/>
      <c r="G249" s="66"/>
      <c r="H249" s="66"/>
      <c r="I249" s="66"/>
      <c r="J249" s="66"/>
      <c r="K249" s="69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7"/>
      <c r="AA249" s="58"/>
      <c r="AB249" s="58"/>
    </row>
    <row r="250" ht="15.75" customHeight="1">
      <c r="A250" s="65"/>
      <c r="B250" s="66"/>
      <c r="C250" s="67"/>
      <c r="D250" s="67"/>
      <c r="E250" s="66"/>
      <c r="F250" s="66"/>
      <c r="G250" s="66"/>
      <c r="H250" s="66"/>
      <c r="I250" s="66"/>
      <c r="J250" s="66"/>
      <c r="K250" s="69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7"/>
      <c r="AA250" s="58"/>
      <c r="AB250" s="58"/>
    </row>
    <row r="251" ht="15.75" customHeight="1">
      <c r="A251" s="65"/>
      <c r="B251" s="66"/>
      <c r="C251" s="67"/>
      <c r="D251" s="67"/>
      <c r="E251" s="66"/>
      <c r="F251" s="66"/>
      <c r="G251" s="66"/>
      <c r="H251" s="66"/>
      <c r="I251" s="66"/>
      <c r="J251" s="66"/>
      <c r="K251" s="69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7"/>
      <c r="AA251" s="58"/>
      <c r="AB251" s="58"/>
    </row>
    <row r="252" ht="15.75" customHeight="1">
      <c r="A252" s="65"/>
      <c r="B252" s="66"/>
      <c r="C252" s="67"/>
      <c r="D252" s="67"/>
      <c r="E252" s="66"/>
      <c r="F252" s="66"/>
      <c r="G252" s="66"/>
      <c r="H252" s="66"/>
      <c r="I252" s="66"/>
      <c r="J252" s="66"/>
      <c r="K252" s="69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7"/>
      <c r="AA252" s="58"/>
      <c r="AB252" s="58"/>
    </row>
    <row r="253" ht="15.75" customHeight="1">
      <c r="A253" s="65"/>
      <c r="B253" s="66"/>
      <c r="C253" s="67"/>
      <c r="D253" s="67"/>
      <c r="E253" s="66"/>
      <c r="F253" s="66"/>
      <c r="G253" s="66"/>
      <c r="H253" s="66"/>
      <c r="I253" s="66"/>
      <c r="J253" s="66"/>
      <c r="K253" s="69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7"/>
      <c r="AA253" s="58"/>
      <c r="AB253" s="58"/>
    </row>
    <row r="254" ht="15.75" customHeight="1">
      <c r="A254" s="65"/>
      <c r="B254" s="66"/>
      <c r="C254" s="67"/>
      <c r="D254" s="67"/>
      <c r="E254" s="66"/>
      <c r="F254" s="66"/>
      <c r="G254" s="66"/>
      <c r="H254" s="66"/>
      <c r="I254" s="66"/>
      <c r="J254" s="66"/>
      <c r="K254" s="69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7"/>
      <c r="AA254" s="58"/>
      <c r="AB254" s="58"/>
    </row>
    <row r="255" ht="15.75" customHeight="1">
      <c r="A255" s="65"/>
      <c r="B255" s="66"/>
      <c r="C255" s="67"/>
      <c r="D255" s="67"/>
      <c r="E255" s="66"/>
      <c r="F255" s="66"/>
      <c r="G255" s="66"/>
      <c r="H255" s="66"/>
      <c r="I255" s="66"/>
      <c r="J255" s="66"/>
      <c r="K255" s="69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7"/>
      <c r="AA255" s="58"/>
      <c r="AB255" s="58"/>
    </row>
    <row r="256" ht="15.75" customHeight="1">
      <c r="A256" s="65"/>
      <c r="B256" s="66"/>
      <c r="C256" s="67"/>
      <c r="D256" s="67"/>
      <c r="E256" s="66"/>
      <c r="F256" s="66"/>
      <c r="G256" s="66"/>
      <c r="H256" s="66"/>
      <c r="I256" s="66"/>
      <c r="J256" s="66"/>
      <c r="K256" s="69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7"/>
      <c r="AA256" s="58"/>
      <c r="AB256" s="58"/>
    </row>
    <row r="257" ht="15.75" customHeight="1">
      <c r="A257" s="65"/>
      <c r="B257" s="66"/>
      <c r="C257" s="67"/>
      <c r="D257" s="67"/>
      <c r="E257" s="66"/>
      <c r="F257" s="66"/>
      <c r="G257" s="66"/>
      <c r="H257" s="66"/>
      <c r="I257" s="66"/>
      <c r="J257" s="66"/>
      <c r="K257" s="69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7"/>
      <c r="AA257" s="58"/>
      <c r="AB257" s="58"/>
    </row>
    <row r="258" ht="15.75" customHeight="1">
      <c r="A258" s="65"/>
      <c r="B258" s="66"/>
      <c r="C258" s="67"/>
      <c r="D258" s="67"/>
      <c r="E258" s="66"/>
      <c r="F258" s="66"/>
      <c r="G258" s="66"/>
      <c r="H258" s="66"/>
      <c r="I258" s="66"/>
      <c r="J258" s="66"/>
      <c r="K258" s="69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7"/>
      <c r="AA258" s="58"/>
      <c r="AB258" s="58"/>
    </row>
    <row r="259" ht="15.75" customHeight="1">
      <c r="A259" s="65"/>
      <c r="B259" s="66"/>
      <c r="C259" s="67"/>
      <c r="D259" s="67"/>
      <c r="E259" s="66"/>
      <c r="F259" s="66"/>
      <c r="G259" s="66"/>
      <c r="H259" s="66"/>
      <c r="I259" s="66"/>
      <c r="J259" s="66"/>
      <c r="K259" s="69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7"/>
      <c r="AA259" s="58"/>
      <c r="AB259" s="58"/>
    </row>
    <row r="260" ht="15.75" customHeight="1">
      <c r="A260" s="65"/>
      <c r="B260" s="66"/>
      <c r="C260" s="67"/>
      <c r="D260" s="67"/>
      <c r="E260" s="66"/>
      <c r="F260" s="66"/>
      <c r="G260" s="66"/>
      <c r="H260" s="66"/>
      <c r="I260" s="66"/>
      <c r="J260" s="66"/>
      <c r="K260" s="69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7"/>
      <c r="AA260" s="58"/>
      <c r="AB260" s="58"/>
    </row>
    <row r="261" ht="15.75" customHeight="1">
      <c r="A261" s="65"/>
      <c r="B261" s="66"/>
      <c r="C261" s="67"/>
      <c r="D261" s="67"/>
      <c r="E261" s="66"/>
      <c r="F261" s="66"/>
      <c r="G261" s="66"/>
      <c r="H261" s="66"/>
      <c r="I261" s="66"/>
      <c r="J261" s="66"/>
      <c r="K261" s="69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7"/>
      <c r="AA261" s="58"/>
      <c r="AB261" s="58"/>
    </row>
    <row r="262" ht="15.75" customHeight="1">
      <c r="A262" s="65"/>
      <c r="B262" s="66"/>
      <c r="C262" s="67"/>
      <c r="D262" s="67"/>
      <c r="E262" s="66"/>
      <c r="F262" s="66"/>
      <c r="G262" s="66"/>
      <c r="H262" s="66"/>
      <c r="I262" s="66"/>
      <c r="J262" s="66"/>
      <c r="K262" s="69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7"/>
      <c r="AA262" s="58"/>
      <c r="AB262" s="58"/>
    </row>
    <row r="263" ht="15.75" customHeight="1">
      <c r="A263" s="65"/>
      <c r="B263" s="66"/>
      <c r="C263" s="67"/>
      <c r="D263" s="67"/>
      <c r="E263" s="66"/>
      <c r="F263" s="66"/>
      <c r="G263" s="66"/>
      <c r="H263" s="66"/>
      <c r="I263" s="66"/>
      <c r="J263" s="66"/>
      <c r="K263" s="69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7"/>
      <c r="AA263" s="58"/>
      <c r="AB263" s="58"/>
    </row>
    <row r="264" ht="15.75" customHeight="1">
      <c r="A264" s="65"/>
      <c r="B264" s="66"/>
      <c r="C264" s="67"/>
      <c r="D264" s="67"/>
      <c r="E264" s="66"/>
      <c r="F264" s="66"/>
      <c r="G264" s="66"/>
      <c r="H264" s="66"/>
      <c r="I264" s="66"/>
      <c r="J264" s="66"/>
      <c r="K264" s="69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7"/>
      <c r="AA264" s="58"/>
      <c r="AB264" s="58"/>
    </row>
    <row r="265" ht="15.75" customHeight="1">
      <c r="A265" s="65"/>
      <c r="B265" s="66"/>
      <c r="C265" s="67"/>
      <c r="D265" s="67"/>
      <c r="E265" s="66"/>
      <c r="F265" s="66"/>
      <c r="G265" s="66"/>
      <c r="H265" s="66"/>
      <c r="I265" s="66"/>
      <c r="J265" s="66"/>
      <c r="K265" s="69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7"/>
      <c r="AA265" s="58"/>
      <c r="AB265" s="58"/>
    </row>
    <row r="266" ht="15.75" customHeight="1">
      <c r="A266" s="65"/>
      <c r="B266" s="66"/>
      <c r="C266" s="67"/>
      <c r="D266" s="67"/>
      <c r="E266" s="66"/>
      <c r="F266" s="66"/>
      <c r="G266" s="66"/>
      <c r="H266" s="66"/>
      <c r="I266" s="66"/>
      <c r="J266" s="66"/>
      <c r="K266" s="69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7"/>
      <c r="AA266" s="58"/>
      <c r="AB266" s="58"/>
    </row>
    <row r="267" ht="15.75" customHeight="1">
      <c r="A267" s="65"/>
      <c r="B267" s="66"/>
      <c r="C267" s="67"/>
      <c r="D267" s="67"/>
      <c r="E267" s="66"/>
      <c r="F267" s="66"/>
      <c r="G267" s="66"/>
      <c r="H267" s="66"/>
      <c r="I267" s="66"/>
      <c r="J267" s="66"/>
      <c r="K267" s="69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7"/>
      <c r="AA267" s="58"/>
      <c r="AB267" s="58"/>
    </row>
    <row r="268" ht="15.75" customHeight="1">
      <c r="A268" s="65"/>
      <c r="B268" s="66"/>
      <c r="C268" s="67"/>
      <c r="D268" s="67"/>
      <c r="E268" s="66"/>
      <c r="F268" s="66"/>
      <c r="G268" s="66"/>
      <c r="H268" s="66"/>
      <c r="I268" s="66"/>
      <c r="J268" s="66"/>
      <c r="K268" s="69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7"/>
      <c r="AA268" s="58"/>
      <c r="AB268" s="58"/>
    </row>
    <row r="269" ht="15.75" customHeight="1">
      <c r="A269" s="65"/>
      <c r="B269" s="66"/>
      <c r="C269" s="67"/>
      <c r="D269" s="67"/>
      <c r="E269" s="66"/>
      <c r="F269" s="66"/>
      <c r="G269" s="66"/>
      <c r="H269" s="66"/>
      <c r="I269" s="66"/>
      <c r="J269" s="66"/>
      <c r="K269" s="69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7"/>
      <c r="AA269" s="58"/>
      <c r="AB269" s="58"/>
    </row>
    <row r="270" ht="15.75" customHeight="1">
      <c r="A270" s="65"/>
      <c r="B270" s="66"/>
      <c r="C270" s="67"/>
      <c r="D270" s="67"/>
      <c r="E270" s="66"/>
      <c r="F270" s="66"/>
      <c r="G270" s="66"/>
      <c r="H270" s="66"/>
      <c r="I270" s="66"/>
      <c r="J270" s="66"/>
      <c r="K270" s="69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7"/>
      <c r="AA270" s="58"/>
      <c r="AB270" s="58"/>
    </row>
    <row r="271" ht="15.75" customHeight="1">
      <c r="A271" s="71"/>
      <c r="B271" s="72"/>
      <c r="C271" s="73"/>
      <c r="D271" s="73"/>
      <c r="E271" s="72"/>
      <c r="F271" s="72"/>
      <c r="G271" s="72"/>
      <c r="H271" s="72"/>
      <c r="I271" s="72"/>
      <c r="J271" s="72"/>
      <c r="K271" s="75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7"/>
      <c r="AA271" s="58"/>
      <c r="AB271" s="58"/>
    </row>
    <row r="272" ht="15.75" customHeight="1">
      <c r="A272" s="76"/>
      <c r="B272" s="76"/>
      <c r="C272" s="77"/>
      <c r="D272" s="77"/>
      <c r="E272" s="76"/>
      <c r="F272" s="76"/>
      <c r="G272" s="76"/>
      <c r="H272" s="76"/>
      <c r="I272" s="76"/>
      <c r="J272" s="76"/>
      <c r="K272" s="7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7"/>
      <c r="AA272" s="58"/>
      <c r="AB272" s="58"/>
    </row>
    <row r="273" ht="15.75" customHeight="1">
      <c r="A273" s="76"/>
      <c r="B273" s="76"/>
      <c r="C273" s="77"/>
      <c r="D273" s="77"/>
      <c r="E273" s="76"/>
      <c r="F273" s="76"/>
      <c r="G273" s="76"/>
      <c r="H273" s="76"/>
      <c r="I273" s="76"/>
      <c r="J273" s="76"/>
      <c r="K273" s="7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7"/>
      <c r="AA273" s="58"/>
      <c r="AB273" s="58"/>
    </row>
    <row r="274" ht="15.75" customHeight="1">
      <c r="A274" s="76"/>
      <c r="B274" s="76"/>
      <c r="C274" s="77"/>
      <c r="D274" s="77"/>
      <c r="E274" s="76"/>
      <c r="F274" s="76"/>
      <c r="G274" s="76"/>
      <c r="H274" s="76"/>
      <c r="I274" s="76"/>
      <c r="J274" s="76"/>
      <c r="K274" s="7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7"/>
      <c r="AA274" s="58"/>
      <c r="AB274" s="58"/>
    </row>
    <row r="275" ht="15.75" customHeight="1">
      <c r="A275" s="76"/>
      <c r="B275" s="76"/>
      <c r="C275" s="77"/>
      <c r="D275" s="77"/>
      <c r="E275" s="76"/>
      <c r="F275" s="76"/>
      <c r="G275" s="76"/>
      <c r="H275" s="76"/>
      <c r="I275" s="76"/>
      <c r="J275" s="76"/>
      <c r="K275" s="7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7"/>
      <c r="AA275" s="58"/>
      <c r="AB275" s="58"/>
    </row>
    <row r="276" ht="15.75" customHeight="1">
      <c r="A276" s="76"/>
      <c r="B276" s="76"/>
      <c r="C276" s="77"/>
      <c r="D276" s="77"/>
      <c r="E276" s="76"/>
      <c r="F276" s="76"/>
      <c r="G276" s="76"/>
      <c r="H276" s="76"/>
      <c r="I276" s="76"/>
      <c r="J276" s="76"/>
      <c r="K276" s="7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7"/>
      <c r="AA276" s="58"/>
      <c r="AB276" s="58"/>
    </row>
    <row r="277" ht="15.75" customHeight="1">
      <c r="A277" s="76"/>
      <c r="B277" s="76"/>
      <c r="C277" s="77"/>
      <c r="D277" s="77"/>
      <c r="E277" s="76"/>
      <c r="F277" s="76"/>
      <c r="G277" s="76"/>
      <c r="H277" s="76"/>
      <c r="I277" s="76"/>
      <c r="J277" s="76"/>
      <c r="K277" s="7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7"/>
      <c r="AA277" s="58"/>
      <c r="AB277" s="58"/>
    </row>
    <row r="278" ht="15.75" customHeight="1">
      <c r="A278" s="76"/>
      <c r="B278" s="76"/>
      <c r="C278" s="77"/>
      <c r="D278" s="77"/>
      <c r="E278" s="76"/>
      <c r="F278" s="76"/>
      <c r="G278" s="76"/>
      <c r="H278" s="76"/>
      <c r="I278" s="76"/>
      <c r="J278" s="76"/>
      <c r="K278" s="7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7"/>
      <c r="AA278" s="58"/>
      <c r="AB278" s="58"/>
    </row>
    <row r="279" ht="15.75" customHeight="1">
      <c r="A279" s="76"/>
      <c r="B279" s="76"/>
      <c r="C279" s="77"/>
      <c r="D279" s="77"/>
      <c r="E279" s="76"/>
      <c r="F279" s="76"/>
      <c r="G279" s="76"/>
      <c r="H279" s="76"/>
      <c r="I279" s="76"/>
      <c r="J279" s="76"/>
      <c r="K279" s="7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7"/>
      <c r="AA279" s="58"/>
      <c r="AB279" s="58"/>
    </row>
    <row r="280" ht="15.75" customHeight="1">
      <c r="A280" s="76"/>
      <c r="B280" s="76"/>
      <c r="C280" s="77"/>
      <c r="D280" s="77"/>
      <c r="E280" s="76"/>
      <c r="F280" s="76"/>
      <c r="G280" s="76"/>
      <c r="H280" s="76"/>
      <c r="I280" s="76"/>
      <c r="J280" s="76"/>
      <c r="K280" s="7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7"/>
      <c r="AA280" s="58"/>
      <c r="AB280" s="58"/>
    </row>
    <row r="281" ht="15.75" customHeight="1">
      <c r="A281" s="76"/>
      <c r="B281" s="76"/>
      <c r="C281" s="77"/>
      <c r="D281" s="77"/>
      <c r="E281" s="76"/>
      <c r="F281" s="76"/>
      <c r="G281" s="76"/>
      <c r="H281" s="76"/>
      <c r="I281" s="76"/>
      <c r="J281" s="76"/>
      <c r="K281" s="7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7"/>
      <c r="AA281" s="58"/>
      <c r="AB281" s="58"/>
    </row>
    <row r="282" ht="15.75" customHeight="1">
      <c r="A282" s="76"/>
      <c r="B282" s="76"/>
      <c r="C282" s="77"/>
      <c r="D282" s="77"/>
      <c r="E282" s="76"/>
      <c r="F282" s="76"/>
      <c r="G282" s="76"/>
      <c r="H282" s="76"/>
      <c r="I282" s="76"/>
      <c r="J282" s="76"/>
      <c r="K282" s="7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7"/>
      <c r="AA282" s="58"/>
      <c r="AB282" s="58"/>
    </row>
    <row r="283" ht="15.75" customHeight="1">
      <c r="A283" s="76"/>
      <c r="B283" s="76"/>
      <c r="C283" s="77"/>
      <c r="D283" s="77"/>
      <c r="E283" s="76"/>
      <c r="F283" s="76"/>
      <c r="G283" s="76"/>
      <c r="H283" s="76"/>
      <c r="I283" s="76"/>
      <c r="J283" s="76"/>
      <c r="K283" s="7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7"/>
      <c r="AA283" s="58"/>
      <c r="AB283" s="58"/>
    </row>
    <row r="284" ht="15.75" customHeight="1">
      <c r="A284" s="76"/>
      <c r="B284" s="76"/>
      <c r="C284" s="77"/>
      <c r="D284" s="77"/>
      <c r="E284" s="76"/>
      <c r="F284" s="76"/>
      <c r="G284" s="76"/>
      <c r="H284" s="76"/>
      <c r="I284" s="76"/>
      <c r="J284" s="76"/>
      <c r="K284" s="7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7"/>
      <c r="AA284" s="58"/>
      <c r="AB284" s="58"/>
    </row>
    <row r="285" ht="15.75" customHeight="1">
      <c r="A285" s="76"/>
      <c r="B285" s="76"/>
      <c r="C285" s="77"/>
      <c r="D285" s="77"/>
      <c r="E285" s="76"/>
      <c r="F285" s="76"/>
      <c r="G285" s="76"/>
      <c r="H285" s="76"/>
      <c r="I285" s="76"/>
      <c r="J285" s="76"/>
      <c r="K285" s="7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7"/>
      <c r="AA285" s="58"/>
      <c r="AB285" s="58"/>
    </row>
    <row r="286" ht="15.75" customHeight="1">
      <c r="A286" s="76"/>
      <c r="B286" s="76"/>
      <c r="C286" s="77"/>
      <c r="D286" s="77"/>
      <c r="E286" s="76"/>
      <c r="F286" s="76"/>
      <c r="G286" s="76"/>
      <c r="H286" s="76"/>
      <c r="I286" s="76"/>
      <c r="J286" s="76"/>
      <c r="K286" s="7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7"/>
      <c r="AA286" s="58"/>
      <c r="AB286" s="58"/>
    </row>
    <row r="287" ht="15.75" customHeight="1">
      <c r="A287" s="76"/>
      <c r="B287" s="76"/>
      <c r="C287" s="77"/>
      <c r="D287" s="77"/>
      <c r="E287" s="76"/>
      <c r="F287" s="76"/>
      <c r="G287" s="76"/>
      <c r="H287" s="76"/>
      <c r="I287" s="76"/>
      <c r="J287" s="76"/>
      <c r="K287" s="7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7"/>
      <c r="AA287" s="58"/>
      <c r="AB287" s="58"/>
    </row>
    <row r="288" ht="15.75" customHeight="1">
      <c r="A288" s="76"/>
      <c r="B288" s="76"/>
      <c r="C288" s="77"/>
      <c r="D288" s="77"/>
      <c r="E288" s="76"/>
      <c r="F288" s="76"/>
      <c r="G288" s="76"/>
      <c r="H288" s="76"/>
      <c r="I288" s="76"/>
      <c r="J288" s="76"/>
      <c r="K288" s="7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7"/>
      <c r="AA288" s="58"/>
      <c r="AB288" s="58"/>
    </row>
    <row r="289" ht="15.75" customHeight="1">
      <c r="A289" s="76"/>
      <c r="B289" s="76"/>
      <c r="C289" s="77"/>
      <c r="D289" s="77"/>
      <c r="E289" s="76"/>
      <c r="F289" s="76"/>
      <c r="G289" s="76"/>
      <c r="H289" s="76"/>
      <c r="I289" s="76"/>
      <c r="J289" s="76"/>
      <c r="K289" s="7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7"/>
      <c r="AA289" s="58"/>
      <c r="AB289" s="58"/>
    </row>
    <row r="290" ht="15.75" customHeight="1">
      <c r="A290" s="76"/>
      <c r="B290" s="76"/>
      <c r="C290" s="77"/>
      <c r="D290" s="77"/>
      <c r="E290" s="76"/>
      <c r="F290" s="76"/>
      <c r="G290" s="76"/>
      <c r="H290" s="76"/>
      <c r="I290" s="76"/>
      <c r="J290" s="76"/>
      <c r="K290" s="7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7"/>
      <c r="AA290" s="58"/>
      <c r="AB290" s="58"/>
    </row>
    <row r="291" ht="15.75" customHeight="1">
      <c r="A291" s="76"/>
      <c r="B291" s="76"/>
      <c r="C291" s="77"/>
      <c r="D291" s="77"/>
      <c r="E291" s="76"/>
      <c r="F291" s="76"/>
      <c r="G291" s="76"/>
      <c r="H291" s="76"/>
      <c r="I291" s="76"/>
      <c r="J291" s="76"/>
      <c r="K291" s="7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7"/>
      <c r="AA291" s="58"/>
      <c r="AB291" s="58"/>
    </row>
    <row r="292" ht="15.75" customHeight="1">
      <c r="A292" s="76"/>
      <c r="B292" s="76"/>
      <c r="C292" s="77"/>
      <c r="D292" s="77"/>
      <c r="E292" s="76"/>
      <c r="F292" s="76"/>
      <c r="G292" s="76"/>
      <c r="H292" s="76"/>
      <c r="I292" s="76"/>
      <c r="J292" s="76"/>
      <c r="K292" s="7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7"/>
      <c r="AA292" s="58"/>
      <c r="AB292" s="58"/>
    </row>
    <row r="293" ht="15.75" customHeight="1">
      <c r="A293" s="76"/>
      <c r="B293" s="76"/>
      <c r="C293" s="77"/>
      <c r="D293" s="77"/>
      <c r="E293" s="76"/>
      <c r="F293" s="76"/>
      <c r="G293" s="76"/>
      <c r="H293" s="76"/>
      <c r="I293" s="76"/>
      <c r="J293" s="76"/>
      <c r="K293" s="7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7"/>
      <c r="AA293" s="58"/>
      <c r="AB293" s="58"/>
    </row>
    <row r="294" ht="15.75" customHeight="1">
      <c r="A294" s="76"/>
      <c r="B294" s="76"/>
      <c r="C294" s="77"/>
      <c r="D294" s="77"/>
      <c r="E294" s="76"/>
      <c r="F294" s="76"/>
      <c r="G294" s="76"/>
      <c r="H294" s="76"/>
      <c r="I294" s="76"/>
      <c r="J294" s="76"/>
      <c r="K294" s="7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7"/>
      <c r="AA294" s="58"/>
      <c r="AB294" s="58"/>
    </row>
    <row r="295" ht="15.75" customHeight="1">
      <c r="A295" s="76"/>
      <c r="B295" s="76"/>
      <c r="C295" s="77"/>
      <c r="D295" s="77"/>
      <c r="E295" s="76"/>
      <c r="F295" s="76"/>
      <c r="G295" s="76"/>
      <c r="H295" s="76"/>
      <c r="I295" s="76"/>
      <c r="J295" s="76"/>
      <c r="K295" s="7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7"/>
      <c r="AA295" s="58"/>
      <c r="AB295" s="58"/>
    </row>
    <row r="296" ht="15.75" customHeight="1">
      <c r="A296" s="76"/>
      <c r="B296" s="76"/>
      <c r="C296" s="77"/>
      <c r="D296" s="77"/>
      <c r="E296" s="76"/>
      <c r="F296" s="76"/>
      <c r="G296" s="76"/>
      <c r="H296" s="76"/>
      <c r="I296" s="76"/>
      <c r="J296" s="76"/>
      <c r="K296" s="7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7"/>
      <c r="AA296" s="58"/>
      <c r="AB296" s="58"/>
    </row>
    <row r="297" ht="15.75" customHeight="1">
      <c r="A297" s="76"/>
      <c r="B297" s="76"/>
      <c r="C297" s="77"/>
      <c r="D297" s="77"/>
      <c r="E297" s="76"/>
      <c r="F297" s="76"/>
      <c r="G297" s="76"/>
      <c r="H297" s="76"/>
      <c r="I297" s="76"/>
      <c r="J297" s="76"/>
      <c r="K297" s="7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7"/>
      <c r="AA297" s="58"/>
      <c r="AB297" s="58"/>
    </row>
    <row r="298" ht="15.75" customHeight="1">
      <c r="A298" s="76"/>
      <c r="B298" s="76"/>
      <c r="C298" s="77"/>
      <c r="D298" s="77"/>
      <c r="E298" s="76"/>
      <c r="F298" s="76"/>
      <c r="G298" s="76"/>
      <c r="H298" s="76"/>
      <c r="I298" s="76"/>
      <c r="J298" s="76"/>
      <c r="K298" s="7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7"/>
      <c r="AA298" s="58"/>
      <c r="AB298" s="58"/>
    </row>
    <row r="299" ht="15.75" customHeight="1">
      <c r="A299" s="76"/>
      <c r="B299" s="76"/>
      <c r="C299" s="77"/>
      <c r="D299" s="77"/>
      <c r="E299" s="76"/>
      <c r="F299" s="76"/>
      <c r="G299" s="76"/>
      <c r="H299" s="76"/>
      <c r="I299" s="76"/>
      <c r="J299" s="76"/>
      <c r="K299" s="7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7"/>
      <c r="AA299" s="58"/>
      <c r="AB299" s="58"/>
    </row>
    <row r="300" ht="15.75" customHeight="1">
      <c r="A300" s="76"/>
      <c r="B300" s="76"/>
      <c r="C300" s="77"/>
      <c r="D300" s="77"/>
      <c r="E300" s="76"/>
      <c r="F300" s="76"/>
      <c r="G300" s="76"/>
      <c r="H300" s="76"/>
      <c r="I300" s="76"/>
      <c r="J300" s="76"/>
      <c r="K300" s="7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7"/>
      <c r="AA300" s="58"/>
      <c r="AB300" s="58"/>
    </row>
    <row r="301" ht="15.75" customHeight="1">
      <c r="A301" s="76"/>
      <c r="B301" s="76"/>
      <c r="C301" s="77"/>
      <c r="D301" s="77"/>
      <c r="E301" s="76"/>
      <c r="F301" s="76"/>
      <c r="G301" s="76"/>
      <c r="H301" s="76"/>
      <c r="I301" s="76"/>
      <c r="J301" s="76"/>
      <c r="K301" s="7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7"/>
      <c r="AA301" s="58"/>
      <c r="AB301" s="58"/>
    </row>
    <row r="302" ht="15.75" customHeight="1">
      <c r="A302" s="76"/>
      <c r="B302" s="76"/>
      <c r="C302" s="77"/>
      <c r="D302" s="77"/>
      <c r="E302" s="76"/>
      <c r="F302" s="76"/>
      <c r="G302" s="76"/>
      <c r="H302" s="76"/>
      <c r="I302" s="76"/>
      <c r="J302" s="76"/>
      <c r="K302" s="7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7"/>
      <c r="AA302" s="58"/>
      <c r="AB302" s="58"/>
    </row>
    <row r="303" ht="15.75" customHeight="1">
      <c r="A303" s="76"/>
      <c r="B303" s="76"/>
      <c r="C303" s="77"/>
      <c r="D303" s="77"/>
      <c r="E303" s="76"/>
      <c r="F303" s="76"/>
      <c r="G303" s="76"/>
      <c r="H303" s="76"/>
      <c r="I303" s="76"/>
      <c r="J303" s="76"/>
      <c r="K303" s="7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7"/>
      <c r="AA303" s="58"/>
      <c r="AB303" s="58"/>
    </row>
    <row r="304" ht="15.75" customHeight="1">
      <c r="A304" s="76"/>
      <c r="B304" s="76"/>
      <c r="C304" s="77"/>
      <c r="D304" s="77"/>
      <c r="E304" s="76"/>
      <c r="F304" s="76"/>
      <c r="G304" s="76"/>
      <c r="H304" s="76"/>
      <c r="I304" s="76"/>
      <c r="J304" s="76"/>
      <c r="K304" s="7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7"/>
      <c r="AA304" s="58"/>
      <c r="AB304" s="58"/>
    </row>
    <row r="305" ht="15.75" customHeight="1">
      <c r="A305" s="76"/>
      <c r="B305" s="76"/>
      <c r="C305" s="77"/>
      <c r="D305" s="77"/>
      <c r="E305" s="76"/>
      <c r="F305" s="76"/>
      <c r="G305" s="76"/>
      <c r="H305" s="76"/>
      <c r="I305" s="76"/>
      <c r="J305" s="76"/>
      <c r="K305" s="7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7"/>
      <c r="AA305" s="58"/>
      <c r="AB305" s="58"/>
    </row>
    <row r="306" ht="15.75" customHeight="1">
      <c r="A306" s="76"/>
      <c r="B306" s="76"/>
      <c r="C306" s="77"/>
      <c r="D306" s="77"/>
      <c r="E306" s="76"/>
      <c r="F306" s="76"/>
      <c r="G306" s="76"/>
      <c r="H306" s="76"/>
      <c r="I306" s="76"/>
      <c r="J306" s="76"/>
      <c r="K306" s="7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7"/>
      <c r="AA306" s="58"/>
      <c r="AB306" s="58"/>
    </row>
    <row r="307" ht="15.75" customHeight="1">
      <c r="A307" s="76"/>
      <c r="B307" s="76"/>
      <c r="C307" s="77"/>
      <c r="D307" s="77"/>
      <c r="E307" s="76"/>
      <c r="F307" s="76"/>
      <c r="G307" s="76"/>
      <c r="H307" s="76"/>
      <c r="I307" s="76"/>
      <c r="J307" s="76"/>
      <c r="K307" s="7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7"/>
      <c r="AA307" s="58"/>
      <c r="AB307" s="58"/>
    </row>
    <row r="308" ht="15.75" customHeight="1">
      <c r="A308" s="76"/>
      <c r="B308" s="76"/>
      <c r="C308" s="77"/>
      <c r="D308" s="77"/>
      <c r="E308" s="76"/>
      <c r="F308" s="76"/>
      <c r="G308" s="76"/>
      <c r="H308" s="76"/>
      <c r="I308" s="76"/>
      <c r="J308" s="76"/>
      <c r="K308" s="7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7"/>
      <c r="AA308" s="58"/>
      <c r="AB308" s="58"/>
    </row>
    <row r="309" ht="15.75" customHeight="1">
      <c r="A309" s="78"/>
      <c r="B309" s="78"/>
      <c r="C309" s="79"/>
      <c r="D309" s="79"/>
      <c r="E309" s="78"/>
      <c r="F309" s="78"/>
      <c r="G309" s="78"/>
      <c r="H309" s="78"/>
      <c r="I309" s="78"/>
      <c r="J309" s="78"/>
      <c r="K309" s="78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7"/>
      <c r="AA309" s="58"/>
      <c r="AB309" s="59"/>
    </row>
    <row r="310" ht="15.75" customHeight="1">
      <c r="A310" s="78"/>
      <c r="B310" s="78"/>
      <c r="C310" s="79"/>
      <c r="D310" s="79"/>
      <c r="E310" s="78"/>
      <c r="F310" s="78"/>
      <c r="G310" s="78"/>
      <c r="H310" s="78"/>
      <c r="I310" s="78"/>
      <c r="J310" s="78"/>
      <c r="K310" s="78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7"/>
      <c r="AA310" s="58"/>
      <c r="AB310" s="59"/>
    </row>
    <row r="311" ht="15.75" customHeight="1">
      <c r="A311" s="78"/>
      <c r="B311" s="78"/>
      <c r="C311" s="79"/>
      <c r="D311" s="79"/>
      <c r="E311" s="78"/>
      <c r="F311" s="78"/>
      <c r="G311" s="78"/>
      <c r="H311" s="78"/>
      <c r="I311" s="78"/>
      <c r="J311" s="78"/>
      <c r="K311" s="78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7"/>
      <c r="AA311" s="58"/>
      <c r="AB311" s="59"/>
    </row>
    <row r="312" ht="15.75" customHeight="1">
      <c r="A312" s="78"/>
      <c r="B312" s="78"/>
      <c r="C312" s="79"/>
      <c r="D312" s="79"/>
      <c r="E312" s="78"/>
      <c r="F312" s="78"/>
      <c r="G312" s="78"/>
      <c r="H312" s="78"/>
      <c r="I312" s="78"/>
      <c r="J312" s="78"/>
      <c r="K312" s="78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7"/>
      <c r="AA312" s="58"/>
      <c r="AB312" s="59"/>
    </row>
    <row r="313" ht="15.75" customHeight="1">
      <c r="A313" s="78"/>
      <c r="B313" s="78"/>
      <c r="C313" s="79"/>
      <c r="D313" s="79"/>
      <c r="E313" s="78"/>
      <c r="F313" s="78"/>
      <c r="G313" s="78"/>
      <c r="H313" s="78"/>
      <c r="I313" s="78"/>
      <c r="J313" s="78"/>
      <c r="K313" s="78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7"/>
      <c r="AA313" s="58"/>
      <c r="AB313" s="59"/>
    </row>
    <row r="314" ht="15.75" customHeight="1">
      <c r="A314" s="78"/>
      <c r="B314" s="78"/>
      <c r="C314" s="79"/>
      <c r="D314" s="79"/>
      <c r="E314" s="78"/>
      <c r="F314" s="78"/>
      <c r="G314" s="78"/>
      <c r="H314" s="78"/>
      <c r="I314" s="78"/>
      <c r="J314" s="78"/>
      <c r="K314" s="78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7"/>
      <c r="AA314" s="58"/>
      <c r="AB314" s="59"/>
    </row>
    <row r="315" ht="15.75" customHeight="1">
      <c r="A315" s="78"/>
      <c r="B315" s="78"/>
      <c r="C315" s="79"/>
      <c r="D315" s="79"/>
      <c r="E315" s="78"/>
      <c r="F315" s="78"/>
      <c r="G315" s="78"/>
      <c r="H315" s="78"/>
      <c r="I315" s="78"/>
      <c r="J315" s="78"/>
      <c r="K315" s="78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7"/>
      <c r="AA315" s="58"/>
      <c r="AB315" s="59"/>
    </row>
    <row r="316" ht="15.75" customHeight="1">
      <c r="A316" s="78"/>
      <c r="B316" s="78"/>
      <c r="C316" s="79"/>
      <c r="D316" s="79"/>
      <c r="E316" s="78"/>
      <c r="F316" s="78"/>
      <c r="G316" s="78"/>
      <c r="H316" s="78"/>
      <c r="I316" s="78"/>
      <c r="J316" s="78"/>
      <c r="K316" s="78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7"/>
      <c r="AA316" s="58"/>
      <c r="AB316" s="59"/>
    </row>
    <row r="317" ht="15.75" customHeight="1">
      <c r="A317" s="78"/>
      <c r="B317" s="78"/>
      <c r="C317" s="79"/>
      <c r="D317" s="79"/>
      <c r="E317" s="78"/>
      <c r="F317" s="78"/>
      <c r="G317" s="78"/>
      <c r="H317" s="78"/>
      <c r="I317" s="78"/>
      <c r="J317" s="78"/>
      <c r="K317" s="78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7"/>
      <c r="AA317" s="58"/>
      <c r="AB317" s="59"/>
    </row>
    <row r="318" ht="15.75" customHeight="1">
      <c r="A318" s="78"/>
      <c r="B318" s="78"/>
      <c r="C318" s="79"/>
      <c r="D318" s="79"/>
      <c r="E318" s="78"/>
      <c r="F318" s="78"/>
      <c r="G318" s="78"/>
      <c r="H318" s="78"/>
      <c r="I318" s="78"/>
      <c r="J318" s="78"/>
      <c r="K318" s="78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7"/>
      <c r="AA318" s="58"/>
      <c r="AB318" s="59"/>
    </row>
    <row r="319" ht="15.75" customHeight="1">
      <c r="A319" s="78"/>
      <c r="B319" s="78"/>
      <c r="C319" s="79"/>
      <c r="D319" s="79"/>
      <c r="E319" s="78"/>
      <c r="F319" s="78"/>
      <c r="G319" s="78"/>
      <c r="H319" s="78"/>
      <c r="I319" s="78"/>
      <c r="J319" s="78"/>
      <c r="K319" s="78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7"/>
      <c r="AA319" s="58"/>
      <c r="AB319" s="59"/>
    </row>
    <row r="320" ht="15.75" customHeight="1">
      <c r="A320" s="78"/>
      <c r="B320" s="78"/>
      <c r="C320" s="79"/>
      <c r="D320" s="79"/>
      <c r="E320" s="78"/>
      <c r="F320" s="78"/>
      <c r="G320" s="78"/>
      <c r="H320" s="78"/>
      <c r="I320" s="78"/>
      <c r="J320" s="78"/>
      <c r="K320" s="78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7"/>
      <c r="AA320" s="58"/>
      <c r="AB320" s="59"/>
    </row>
    <row r="321" ht="15.75" customHeight="1">
      <c r="A321" s="78"/>
      <c r="B321" s="78"/>
      <c r="C321" s="79"/>
      <c r="D321" s="79"/>
      <c r="E321" s="78"/>
      <c r="F321" s="78"/>
      <c r="G321" s="78"/>
      <c r="H321" s="78"/>
      <c r="I321" s="78"/>
      <c r="J321" s="78"/>
      <c r="K321" s="78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7"/>
      <c r="AA321" s="58"/>
      <c r="AB321" s="59"/>
    </row>
    <row r="322" ht="15.75" customHeight="1">
      <c r="A322" s="78"/>
      <c r="B322" s="78"/>
      <c r="C322" s="79"/>
      <c r="D322" s="79"/>
      <c r="E322" s="78"/>
      <c r="F322" s="78"/>
      <c r="G322" s="78"/>
      <c r="H322" s="78"/>
      <c r="I322" s="78"/>
      <c r="J322" s="78"/>
      <c r="K322" s="78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7"/>
      <c r="AA322" s="58"/>
      <c r="AB322" s="59"/>
    </row>
    <row r="323" ht="15.75" customHeight="1">
      <c r="A323" s="78"/>
      <c r="B323" s="78"/>
      <c r="C323" s="79"/>
      <c r="D323" s="79"/>
      <c r="E323" s="78"/>
      <c r="F323" s="78"/>
      <c r="G323" s="78"/>
      <c r="H323" s="78"/>
      <c r="I323" s="78"/>
      <c r="J323" s="78"/>
      <c r="K323" s="78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7"/>
      <c r="AA323" s="58"/>
      <c r="AB323" s="59"/>
    </row>
    <row r="324" ht="15.75" customHeight="1">
      <c r="A324" s="78"/>
      <c r="B324" s="78"/>
      <c r="C324" s="79"/>
      <c r="D324" s="79"/>
      <c r="E324" s="78"/>
      <c r="F324" s="78"/>
      <c r="G324" s="78"/>
      <c r="H324" s="78"/>
      <c r="I324" s="78"/>
      <c r="J324" s="78"/>
      <c r="K324" s="78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7"/>
      <c r="AA324" s="58"/>
      <c r="AB324" s="59"/>
    </row>
    <row r="325" ht="15.75" customHeight="1">
      <c r="A325" s="78"/>
      <c r="B325" s="78"/>
      <c r="C325" s="79"/>
      <c r="D325" s="79"/>
      <c r="E325" s="78"/>
      <c r="F325" s="78"/>
      <c r="G325" s="78"/>
      <c r="H325" s="78"/>
      <c r="I325" s="78"/>
      <c r="J325" s="78"/>
      <c r="K325" s="78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7"/>
      <c r="AA325" s="58"/>
      <c r="AB325" s="59"/>
    </row>
    <row r="326" ht="15.75" customHeight="1">
      <c r="A326" s="78"/>
      <c r="B326" s="78"/>
      <c r="C326" s="79"/>
      <c r="D326" s="79"/>
      <c r="E326" s="78"/>
      <c r="F326" s="78"/>
      <c r="G326" s="78"/>
      <c r="H326" s="78"/>
      <c r="I326" s="78"/>
      <c r="J326" s="78"/>
      <c r="K326" s="78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7"/>
      <c r="AA326" s="58"/>
      <c r="AB326" s="59"/>
    </row>
    <row r="327" ht="15.75" customHeight="1">
      <c r="A327" s="78"/>
      <c r="B327" s="78"/>
      <c r="C327" s="79"/>
      <c r="D327" s="79"/>
      <c r="E327" s="78"/>
      <c r="F327" s="78"/>
      <c r="G327" s="78"/>
      <c r="H327" s="78"/>
      <c r="I327" s="78"/>
      <c r="J327" s="78"/>
      <c r="K327" s="78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7"/>
      <c r="AA327" s="58"/>
      <c r="AB327" s="59"/>
    </row>
    <row r="328" ht="15.75" customHeight="1">
      <c r="A328" s="78"/>
      <c r="B328" s="78"/>
      <c r="C328" s="79"/>
      <c r="D328" s="79"/>
      <c r="E328" s="78"/>
      <c r="F328" s="78"/>
      <c r="G328" s="78"/>
      <c r="H328" s="78"/>
      <c r="I328" s="78"/>
      <c r="J328" s="78"/>
      <c r="K328" s="78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7"/>
      <c r="AA328" s="58"/>
      <c r="AB328" s="59"/>
    </row>
    <row r="329" ht="15.75" customHeight="1">
      <c r="A329" s="78"/>
      <c r="B329" s="78"/>
      <c r="C329" s="79"/>
      <c r="D329" s="79"/>
      <c r="E329" s="78"/>
      <c r="F329" s="78"/>
      <c r="G329" s="78"/>
      <c r="H329" s="78"/>
      <c r="I329" s="78"/>
      <c r="J329" s="78"/>
      <c r="K329" s="78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7"/>
      <c r="AA329" s="58"/>
      <c r="AB329" s="59"/>
    </row>
    <row r="330" ht="15.75" customHeight="1">
      <c r="A330" s="78"/>
      <c r="B330" s="78"/>
      <c r="C330" s="79"/>
      <c r="D330" s="79"/>
      <c r="E330" s="78"/>
      <c r="F330" s="78"/>
      <c r="G330" s="78"/>
      <c r="H330" s="78"/>
      <c r="I330" s="78"/>
      <c r="J330" s="78"/>
      <c r="K330" s="78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7"/>
      <c r="AA330" s="58"/>
      <c r="AB330" s="59"/>
    </row>
    <row r="331" ht="15.75" customHeight="1">
      <c r="A331" s="78"/>
      <c r="B331" s="78"/>
      <c r="C331" s="79"/>
      <c r="D331" s="79"/>
      <c r="E331" s="78"/>
      <c r="F331" s="78"/>
      <c r="G331" s="78"/>
      <c r="H331" s="78"/>
      <c r="I331" s="78"/>
      <c r="J331" s="78"/>
      <c r="K331" s="78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7"/>
      <c r="AA331" s="58"/>
      <c r="AB331" s="59"/>
    </row>
    <row r="332" ht="15.75" customHeight="1">
      <c r="A332" s="78"/>
      <c r="B332" s="78"/>
      <c r="C332" s="79"/>
      <c r="D332" s="79"/>
      <c r="E332" s="78"/>
      <c r="F332" s="78"/>
      <c r="G332" s="78"/>
      <c r="H332" s="78"/>
      <c r="I332" s="78"/>
      <c r="J332" s="78"/>
      <c r="K332" s="78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7"/>
      <c r="AA332" s="58"/>
      <c r="AB332" s="59"/>
    </row>
    <row r="333" ht="15.75" customHeight="1">
      <c r="A333" s="78"/>
      <c r="B333" s="78"/>
      <c r="C333" s="79"/>
      <c r="D333" s="79"/>
      <c r="E333" s="78"/>
      <c r="F333" s="78"/>
      <c r="G333" s="78"/>
      <c r="H333" s="78"/>
      <c r="I333" s="78"/>
      <c r="J333" s="78"/>
      <c r="K333" s="78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7"/>
      <c r="AA333" s="58"/>
      <c r="AB333" s="59"/>
    </row>
    <row r="334" ht="15.75" customHeight="1">
      <c r="A334" s="78"/>
      <c r="B334" s="78"/>
      <c r="C334" s="79"/>
      <c r="D334" s="79"/>
      <c r="E334" s="78"/>
      <c r="F334" s="78"/>
      <c r="G334" s="78"/>
      <c r="H334" s="78"/>
      <c r="I334" s="78"/>
      <c r="J334" s="78"/>
      <c r="K334" s="78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7"/>
      <c r="AA334" s="58"/>
      <c r="AB334" s="59"/>
    </row>
    <row r="335" ht="15.75" customHeight="1">
      <c r="A335" s="78"/>
      <c r="B335" s="78"/>
      <c r="C335" s="79"/>
      <c r="D335" s="79"/>
      <c r="E335" s="78"/>
      <c r="F335" s="78"/>
      <c r="G335" s="78"/>
      <c r="H335" s="78"/>
      <c r="I335" s="78"/>
      <c r="J335" s="78"/>
      <c r="K335" s="78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7"/>
      <c r="AA335" s="58"/>
      <c r="AB335" s="59"/>
    </row>
    <row r="336" ht="15.75" customHeight="1">
      <c r="A336" s="78"/>
      <c r="B336" s="78"/>
      <c r="C336" s="79"/>
      <c r="D336" s="79"/>
      <c r="E336" s="78"/>
      <c r="F336" s="78"/>
      <c r="G336" s="78"/>
      <c r="H336" s="78"/>
      <c r="I336" s="78"/>
      <c r="J336" s="78"/>
      <c r="K336" s="78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7"/>
      <c r="AA336" s="58"/>
      <c r="AB336" s="59"/>
    </row>
    <row r="337" ht="15.75" customHeight="1">
      <c r="A337" s="78"/>
      <c r="B337" s="78"/>
      <c r="C337" s="79"/>
      <c r="D337" s="79"/>
      <c r="E337" s="78"/>
      <c r="F337" s="78"/>
      <c r="G337" s="78"/>
      <c r="H337" s="78"/>
      <c r="I337" s="78"/>
      <c r="J337" s="78"/>
      <c r="K337" s="78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7"/>
      <c r="AA337" s="58"/>
      <c r="AB337" s="59"/>
    </row>
    <row r="338" ht="15.75" customHeight="1">
      <c r="A338" s="78"/>
      <c r="B338" s="78"/>
      <c r="C338" s="79"/>
      <c r="D338" s="79"/>
      <c r="E338" s="78"/>
      <c r="F338" s="78"/>
      <c r="G338" s="78"/>
      <c r="H338" s="78"/>
      <c r="I338" s="78"/>
      <c r="J338" s="78"/>
      <c r="K338" s="78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7"/>
      <c r="AA338" s="58"/>
      <c r="AB338" s="59"/>
    </row>
    <row r="339" ht="15.75" customHeight="1">
      <c r="A339" s="78"/>
      <c r="B339" s="78"/>
      <c r="C339" s="79"/>
      <c r="D339" s="79"/>
      <c r="E339" s="78"/>
      <c r="F339" s="78"/>
      <c r="G339" s="78"/>
      <c r="H339" s="78"/>
      <c r="I339" s="78"/>
      <c r="J339" s="78"/>
      <c r="K339" s="78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7"/>
      <c r="AA339" s="58"/>
      <c r="AB339" s="59"/>
    </row>
    <row r="340" ht="15.75" customHeight="1">
      <c r="A340" s="78"/>
      <c r="B340" s="78"/>
      <c r="C340" s="79"/>
      <c r="D340" s="79"/>
      <c r="E340" s="78"/>
      <c r="F340" s="78"/>
      <c r="G340" s="78"/>
      <c r="H340" s="78"/>
      <c r="I340" s="78"/>
      <c r="J340" s="78"/>
      <c r="K340" s="78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7"/>
      <c r="AA340" s="58"/>
      <c r="AB340" s="59"/>
    </row>
    <row r="341" ht="15.75" customHeight="1">
      <c r="A341" s="78"/>
      <c r="B341" s="78"/>
      <c r="C341" s="79"/>
      <c r="D341" s="79"/>
      <c r="E341" s="78"/>
      <c r="F341" s="78"/>
      <c r="G341" s="78"/>
      <c r="H341" s="78"/>
      <c r="I341" s="78"/>
      <c r="J341" s="78"/>
      <c r="K341" s="78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7"/>
      <c r="AA341" s="58"/>
      <c r="AB341" s="59"/>
    </row>
    <row r="342" ht="15.75" customHeight="1">
      <c r="A342" s="78"/>
      <c r="B342" s="78"/>
      <c r="C342" s="79"/>
      <c r="D342" s="79"/>
      <c r="E342" s="78"/>
      <c r="F342" s="78"/>
      <c r="G342" s="78"/>
      <c r="H342" s="78"/>
      <c r="I342" s="78"/>
      <c r="J342" s="78"/>
      <c r="K342" s="78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7"/>
      <c r="AA342" s="58"/>
      <c r="AB342" s="59"/>
    </row>
    <row r="343" ht="15.75" customHeight="1">
      <c r="A343" s="78"/>
      <c r="B343" s="78"/>
      <c r="C343" s="79"/>
      <c r="D343" s="79"/>
      <c r="E343" s="78"/>
      <c r="F343" s="78"/>
      <c r="G343" s="78"/>
      <c r="H343" s="78"/>
      <c r="I343" s="78"/>
      <c r="J343" s="78"/>
      <c r="K343" s="78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7"/>
      <c r="AA343" s="58"/>
      <c r="AB343" s="59"/>
    </row>
    <row r="344" ht="15.75" customHeight="1">
      <c r="A344" s="78"/>
      <c r="B344" s="78"/>
      <c r="C344" s="79"/>
      <c r="D344" s="79"/>
      <c r="E344" s="78"/>
      <c r="F344" s="78"/>
      <c r="G344" s="78"/>
      <c r="H344" s="78"/>
      <c r="I344" s="78"/>
      <c r="J344" s="78"/>
      <c r="K344" s="78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7"/>
      <c r="AA344" s="58"/>
      <c r="AB344" s="59"/>
    </row>
    <row r="345" ht="15.75" customHeight="1">
      <c r="A345" s="78"/>
      <c r="B345" s="78"/>
      <c r="C345" s="79"/>
      <c r="D345" s="79"/>
      <c r="E345" s="78"/>
      <c r="F345" s="78"/>
      <c r="G345" s="78"/>
      <c r="H345" s="78"/>
      <c r="I345" s="78"/>
      <c r="J345" s="78"/>
      <c r="K345" s="78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7"/>
      <c r="AA345" s="58"/>
      <c r="AB345" s="59"/>
    </row>
    <row r="346" ht="15.75" customHeight="1">
      <c r="A346" s="78"/>
      <c r="B346" s="78"/>
      <c r="C346" s="79"/>
      <c r="D346" s="79"/>
      <c r="E346" s="78"/>
      <c r="F346" s="78"/>
      <c r="G346" s="78"/>
      <c r="H346" s="78"/>
      <c r="I346" s="78"/>
      <c r="J346" s="78"/>
      <c r="K346" s="78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7"/>
      <c r="AA346" s="58"/>
      <c r="AB346" s="59"/>
    </row>
    <row r="347" ht="15.75" customHeight="1">
      <c r="A347" s="78"/>
      <c r="B347" s="78"/>
      <c r="C347" s="79"/>
      <c r="D347" s="79"/>
      <c r="E347" s="78"/>
      <c r="F347" s="78"/>
      <c r="G347" s="78"/>
      <c r="H347" s="78"/>
      <c r="I347" s="78"/>
      <c r="J347" s="78"/>
      <c r="K347" s="78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7"/>
      <c r="AA347" s="58"/>
      <c r="AB347" s="59"/>
    </row>
    <row r="348" ht="15.75" customHeight="1">
      <c r="A348" s="78"/>
      <c r="B348" s="78"/>
      <c r="C348" s="79"/>
      <c r="D348" s="79"/>
      <c r="E348" s="78"/>
      <c r="F348" s="78"/>
      <c r="G348" s="78"/>
      <c r="H348" s="78"/>
      <c r="I348" s="78"/>
      <c r="J348" s="78"/>
      <c r="K348" s="78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7"/>
      <c r="AA348" s="58"/>
      <c r="AB348" s="59"/>
    </row>
    <row r="349" ht="15.75" customHeight="1">
      <c r="A349" s="78"/>
      <c r="B349" s="78"/>
      <c r="C349" s="79"/>
      <c r="D349" s="79"/>
      <c r="E349" s="78"/>
      <c r="F349" s="78"/>
      <c r="G349" s="78"/>
      <c r="H349" s="78"/>
      <c r="I349" s="78"/>
      <c r="J349" s="78"/>
      <c r="K349" s="78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7"/>
      <c r="AA349" s="58"/>
      <c r="AB349" s="59"/>
    </row>
    <row r="350" ht="15.75" customHeight="1">
      <c r="A350" s="78"/>
      <c r="B350" s="78"/>
      <c r="C350" s="79"/>
      <c r="D350" s="79"/>
      <c r="E350" s="78"/>
      <c r="F350" s="78"/>
      <c r="G350" s="78"/>
      <c r="H350" s="78"/>
      <c r="I350" s="78"/>
      <c r="J350" s="78"/>
      <c r="K350" s="78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7"/>
      <c r="AA350" s="58"/>
      <c r="AB350" s="59"/>
    </row>
    <row r="351" ht="15.75" customHeight="1">
      <c r="A351" s="78"/>
      <c r="B351" s="78"/>
      <c r="C351" s="79"/>
      <c r="D351" s="79"/>
      <c r="E351" s="78"/>
      <c r="F351" s="78"/>
      <c r="G351" s="78"/>
      <c r="H351" s="78"/>
      <c r="I351" s="78"/>
      <c r="J351" s="78"/>
      <c r="K351" s="78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7"/>
      <c r="AA351" s="58"/>
      <c r="AB351" s="59"/>
    </row>
    <row r="352" ht="15.75" customHeight="1">
      <c r="A352" s="78"/>
      <c r="B352" s="78"/>
      <c r="C352" s="79"/>
      <c r="D352" s="79"/>
      <c r="E352" s="78"/>
      <c r="F352" s="78"/>
      <c r="G352" s="78"/>
      <c r="H352" s="78"/>
      <c r="I352" s="78"/>
      <c r="J352" s="78"/>
      <c r="K352" s="78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7"/>
      <c r="AA352" s="58"/>
      <c r="AB352" s="59"/>
    </row>
    <row r="353" ht="15.75" customHeight="1">
      <c r="A353" s="78"/>
      <c r="B353" s="78"/>
      <c r="C353" s="79"/>
      <c r="D353" s="79"/>
      <c r="E353" s="78"/>
      <c r="F353" s="78"/>
      <c r="G353" s="78"/>
      <c r="H353" s="78"/>
      <c r="I353" s="78"/>
      <c r="J353" s="78"/>
      <c r="K353" s="78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7"/>
      <c r="AA353" s="58"/>
      <c r="AB353" s="59"/>
    </row>
    <row r="354" ht="15.75" customHeight="1">
      <c r="A354" s="78"/>
      <c r="B354" s="78"/>
      <c r="C354" s="79"/>
      <c r="D354" s="79"/>
      <c r="E354" s="78"/>
      <c r="F354" s="78"/>
      <c r="G354" s="78"/>
      <c r="H354" s="78"/>
      <c r="I354" s="78"/>
      <c r="J354" s="78"/>
      <c r="K354" s="78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7"/>
      <c r="AA354" s="58"/>
      <c r="AB354" s="59"/>
    </row>
    <row r="355" ht="15.75" customHeight="1">
      <c r="A355" s="78"/>
      <c r="B355" s="78"/>
      <c r="C355" s="79"/>
      <c r="D355" s="79"/>
      <c r="E355" s="78"/>
      <c r="F355" s="78"/>
      <c r="G355" s="78"/>
      <c r="H355" s="78"/>
      <c r="I355" s="78"/>
      <c r="J355" s="78"/>
      <c r="K355" s="78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7"/>
      <c r="AA355" s="58"/>
      <c r="AB355" s="59"/>
    </row>
    <row r="356" ht="15.75" customHeight="1">
      <c r="A356" s="78"/>
      <c r="B356" s="78"/>
      <c r="C356" s="79"/>
      <c r="D356" s="79"/>
      <c r="E356" s="78"/>
      <c r="F356" s="78"/>
      <c r="G356" s="78"/>
      <c r="H356" s="78"/>
      <c r="I356" s="78"/>
      <c r="J356" s="78"/>
      <c r="K356" s="78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7"/>
      <c r="AA356" s="58"/>
      <c r="AB356" s="59"/>
    </row>
    <row r="357" ht="15.75" customHeight="1">
      <c r="A357" s="78"/>
      <c r="B357" s="78"/>
      <c r="C357" s="79"/>
      <c r="D357" s="79"/>
      <c r="E357" s="78"/>
      <c r="F357" s="78"/>
      <c r="G357" s="78"/>
      <c r="H357" s="78"/>
      <c r="I357" s="78"/>
      <c r="J357" s="78"/>
      <c r="K357" s="78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7"/>
      <c r="AA357" s="58"/>
      <c r="AB357" s="59"/>
    </row>
    <row r="358" ht="15.75" customHeight="1">
      <c r="A358" s="78"/>
      <c r="B358" s="78"/>
      <c r="C358" s="79"/>
      <c r="D358" s="79"/>
      <c r="E358" s="78"/>
      <c r="F358" s="78"/>
      <c r="G358" s="78"/>
      <c r="H358" s="78"/>
      <c r="I358" s="78"/>
      <c r="J358" s="78"/>
      <c r="K358" s="78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7"/>
      <c r="AA358" s="58"/>
      <c r="AB358" s="59"/>
    </row>
    <row r="359" ht="15.75" customHeight="1">
      <c r="A359" s="78"/>
      <c r="B359" s="78"/>
      <c r="C359" s="79"/>
      <c r="D359" s="79"/>
      <c r="E359" s="78"/>
      <c r="F359" s="78"/>
      <c r="G359" s="78"/>
      <c r="H359" s="78"/>
      <c r="I359" s="78"/>
      <c r="J359" s="78"/>
      <c r="K359" s="78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7"/>
      <c r="AA359" s="58"/>
      <c r="AB359" s="59"/>
    </row>
    <row r="360" ht="15.75" customHeight="1">
      <c r="A360" s="78"/>
      <c r="B360" s="78"/>
      <c r="C360" s="79"/>
      <c r="D360" s="79"/>
      <c r="E360" s="78"/>
      <c r="F360" s="78"/>
      <c r="G360" s="78"/>
      <c r="H360" s="78"/>
      <c r="I360" s="78"/>
      <c r="J360" s="78"/>
      <c r="K360" s="78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7"/>
      <c r="AA360" s="58"/>
      <c r="AB360" s="59"/>
    </row>
    <row r="361" ht="15.75" customHeight="1">
      <c r="A361" s="78"/>
      <c r="B361" s="78"/>
      <c r="C361" s="79"/>
      <c r="D361" s="79"/>
      <c r="E361" s="78"/>
      <c r="F361" s="78"/>
      <c r="G361" s="78"/>
      <c r="H361" s="78"/>
      <c r="I361" s="78"/>
      <c r="J361" s="78"/>
      <c r="K361" s="78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7"/>
      <c r="AA361" s="58"/>
      <c r="AB361" s="59"/>
    </row>
    <row r="362" ht="15.75" customHeight="1">
      <c r="A362" s="78"/>
      <c r="B362" s="78"/>
      <c r="C362" s="79"/>
      <c r="D362" s="79"/>
      <c r="E362" s="78"/>
      <c r="F362" s="78"/>
      <c r="G362" s="78"/>
      <c r="H362" s="78"/>
      <c r="I362" s="78"/>
      <c r="J362" s="78"/>
      <c r="K362" s="78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7"/>
      <c r="AA362" s="58"/>
      <c r="AB362" s="59"/>
    </row>
    <row r="363" ht="15.75" customHeight="1">
      <c r="A363" s="78"/>
      <c r="B363" s="78"/>
      <c r="C363" s="79"/>
      <c r="D363" s="79"/>
      <c r="E363" s="78"/>
      <c r="F363" s="78"/>
      <c r="G363" s="78"/>
      <c r="H363" s="78"/>
      <c r="I363" s="78"/>
      <c r="J363" s="78"/>
      <c r="K363" s="78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7"/>
      <c r="AA363" s="58"/>
      <c r="AB363" s="59"/>
    </row>
    <row r="364" ht="15.75" customHeight="1">
      <c r="A364" s="78"/>
      <c r="B364" s="78"/>
      <c r="C364" s="79"/>
      <c r="D364" s="79"/>
      <c r="E364" s="78"/>
      <c r="F364" s="78"/>
      <c r="G364" s="78"/>
      <c r="H364" s="78"/>
      <c r="I364" s="78"/>
      <c r="J364" s="78"/>
      <c r="K364" s="78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7"/>
      <c r="AA364" s="58"/>
      <c r="AB364" s="59"/>
    </row>
    <row r="365" ht="15.75" customHeight="1">
      <c r="A365" s="78"/>
      <c r="B365" s="78"/>
      <c r="C365" s="79"/>
      <c r="D365" s="79"/>
      <c r="E365" s="78"/>
      <c r="F365" s="78"/>
      <c r="G365" s="78"/>
      <c r="H365" s="78"/>
      <c r="I365" s="78"/>
      <c r="J365" s="78"/>
      <c r="K365" s="78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7"/>
      <c r="AA365" s="58"/>
      <c r="AB365" s="59"/>
    </row>
    <row r="366" ht="15.75" customHeight="1">
      <c r="A366" s="78"/>
      <c r="B366" s="78"/>
      <c r="C366" s="79"/>
      <c r="D366" s="79"/>
      <c r="E366" s="78"/>
      <c r="F366" s="78"/>
      <c r="G366" s="78"/>
      <c r="H366" s="78"/>
      <c r="I366" s="78"/>
      <c r="J366" s="78"/>
      <c r="K366" s="78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7"/>
      <c r="AA366" s="58"/>
      <c r="AB366" s="59"/>
    </row>
    <row r="367" ht="15.75" customHeight="1">
      <c r="A367" s="78"/>
      <c r="B367" s="78"/>
      <c r="C367" s="79"/>
      <c r="D367" s="79"/>
      <c r="E367" s="78"/>
      <c r="F367" s="78"/>
      <c r="G367" s="78"/>
      <c r="H367" s="78"/>
      <c r="I367" s="78"/>
      <c r="J367" s="78"/>
      <c r="K367" s="78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7"/>
      <c r="AA367" s="58"/>
      <c r="AB367" s="59"/>
    </row>
    <row r="368" ht="15.75" customHeight="1">
      <c r="A368" s="78"/>
      <c r="B368" s="78"/>
      <c r="C368" s="79"/>
      <c r="D368" s="79"/>
      <c r="E368" s="78"/>
      <c r="F368" s="78"/>
      <c r="G368" s="78"/>
      <c r="H368" s="78"/>
      <c r="I368" s="78"/>
      <c r="J368" s="78"/>
      <c r="K368" s="78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7"/>
      <c r="AA368" s="58"/>
      <c r="AB368" s="59"/>
    </row>
    <row r="369" ht="15.75" customHeight="1">
      <c r="A369" s="78"/>
      <c r="B369" s="78"/>
      <c r="C369" s="79"/>
      <c r="D369" s="79"/>
      <c r="E369" s="78"/>
      <c r="F369" s="78"/>
      <c r="G369" s="78"/>
      <c r="H369" s="78"/>
      <c r="I369" s="78"/>
      <c r="J369" s="78"/>
      <c r="K369" s="78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7"/>
      <c r="AA369" s="58"/>
      <c r="AB369" s="59"/>
    </row>
    <row r="370" ht="15.75" customHeight="1">
      <c r="A370" s="78"/>
      <c r="B370" s="78"/>
      <c r="C370" s="79"/>
      <c r="D370" s="79"/>
      <c r="E370" s="78"/>
      <c r="F370" s="78"/>
      <c r="G370" s="78"/>
      <c r="H370" s="78"/>
      <c r="I370" s="78"/>
      <c r="J370" s="78"/>
      <c r="K370" s="78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7"/>
      <c r="AA370" s="58"/>
      <c r="AB370" s="59"/>
    </row>
    <row r="371" ht="15.75" customHeight="1">
      <c r="A371" s="78"/>
      <c r="B371" s="78"/>
      <c r="C371" s="79"/>
      <c r="D371" s="79"/>
      <c r="E371" s="78"/>
      <c r="F371" s="78"/>
      <c r="G371" s="78"/>
      <c r="H371" s="78"/>
      <c r="I371" s="78"/>
      <c r="J371" s="78"/>
      <c r="K371" s="78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7"/>
      <c r="AA371" s="58"/>
      <c r="AB371" s="59"/>
    </row>
    <row r="372" ht="15.75" customHeight="1">
      <c r="A372" s="78"/>
      <c r="B372" s="78"/>
      <c r="C372" s="79"/>
      <c r="D372" s="79"/>
      <c r="E372" s="78"/>
      <c r="F372" s="78"/>
      <c r="G372" s="78"/>
      <c r="H372" s="78"/>
      <c r="I372" s="78"/>
      <c r="J372" s="78"/>
      <c r="K372" s="78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7"/>
      <c r="AA372" s="58"/>
      <c r="AB372" s="59"/>
    </row>
    <row r="373" ht="15.75" customHeight="1">
      <c r="A373" s="78"/>
      <c r="B373" s="78"/>
      <c r="C373" s="79"/>
      <c r="D373" s="79"/>
      <c r="E373" s="78"/>
      <c r="F373" s="78"/>
      <c r="G373" s="78"/>
      <c r="H373" s="78"/>
      <c r="I373" s="78"/>
      <c r="J373" s="78"/>
      <c r="K373" s="78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7"/>
      <c r="AA373" s="58"/>
      <c r="AB373" s="59"/>
    </row>
    <row r="374" ht="15.75" customHeight="1">
      <c r="A374" s="78"/>
      <c r="B374" s="78"/>
      <c r="C374" s="79"/>
      <c r="D374" s="79"/>
      <c r="E374" s="78"/>
      <c r="F374" s="78"/>
      <c r="G374" s="78"/>
      <c r="H374" s="78"/>
      <c r="I374" s="78"/>
      <c r="J374" s="78"/>
      <c r="K374" s="78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7"/>
      <c r="AA374" s="58"/>
      <c r="AB374" s="59"/>
    </row>
    <row r="375" ht="15.75" customHeight="1">
      <c r="A375" s="78"/>
      <c r="B375" s="78"/>
      <c r="C375" s="79"/>
      <c r="D375" s="79"/>
      <c r="E375" s="78"/>
      <c r="F375" s="78"/>
      <c r="G375" s="78"/>
      <c r="H375" s="78"/>
      <c r="I375" s="78"/>
      <c r="J375" s="78"/>
      <c r="K375" s="78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7"/>
      <c r="AA375" s="58"/>
      <c r="AB375" s="59"/>
    </row>
    <row r="376" ht="15.75" customHeight="1">
      <c r="A376" s="78"/>
      <c r="B376" s="78"/>
      <c r="C376" s="79"/>
      <c r="D376" s="79"/>
      <c r="E376" s="78"/>
      <c r="F376" s="78"/>
      <c r="G376" s="78"/>
      <c r="H376" s="78"/>
      <c r="I376" s="78"/>
      <c r="J376" s="78"/>
      <c r="K376" s="78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7"/>
      <c r="AA376" s="58"/>
      <c r="AB376" s="59"/>
    </row>
    <row r="377" ht="15.75" customHeight="1">
      <c r="A377" s="78"/>
      <c r="B377" s="78"/>
      <c r="C377" s="79"/>
      <c r="D377" s="79"/>
      <c r="E377" s="78"/>
      <c r="F377" s="78"/>
      <c r="G377" s="78"/>
      <c r="H377" s="78"/>
      <c r="I377" s="78"/>
      <c r="J377" s="78"/>
      <c r="K377" s="78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7"/>
      <c r="AA377" s="58"/>
      <c r="AB377" s="59"/>
    </row>
    <row r="378" ht="15.75" customHeight="1">
      <c r="A378" s="78"/>
      <c r="B378" s="78"/>
      <c r="C378" s="79"/>
      <c r="D378" s="79"/>
      <c r="E378" s="78"/>
      <c r="F378" s="78"/>
      <c r="G378" s="78"/>
      <c r="H378" s="78"/>
      <c r="I378" s="78"/>
      <c r="J378" s="78"/>
      <c r="K378" s="78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7"/>
      <c r="AA378" s="58"/>
      <c r="AB378" s="59"/>
    </row>
    <row r="379" ht="15.75" customHeight="1">
      <c r="A379" s="78"/>
      <c r="B379" s="78"/>
      <c r="C379" s="79"/>
      <c r="D379" s="79"/>
      <c r="E379" s="78"/>
      <c r="F379" s="78"/>
      <c r="G379" s="78"/>
      <c r="H379" s="78"/>
      <c r="I379" s="78"/>
      <c r="J379" s="78"/>
      <c r="K379" s="78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7"/>
      <c r="AA379" s="58"/>
      <c r="AB379" s="59"/>
    </row>
    <row r="380" ht="15.75" customHeight="1">
      <c r="A380" s="78"/>
      <c r="B380" s="78"/>
      <c r="C380" s="79"/>
      <c r="D380" s="79"/>
      <c r="E380" s="78"/>
      <c r="F380" s="78"/>
      <c r="G380" s="78"/>
      <c r="H380" s="78"/>
      <c r="I380" s="78"/>
      <c r="J380" s="78"/>
      <c r="K380" s="78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7"/>
      <c r="AA380" s="58"/>
      <c r="AB380" s="59"/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2:K180">
    <cfRule type="containsBlanks" dxfId="0" priority="1">
      <formula>LEN(TRIM(A2))=0</formula>
    </cfRule>
  </conditionalFormatting>
  <printOptions horizontalCentered="1"/>
  <pageMargins bottom="0.75" footer="0.0" header="0.0" left="0.7" right="0.7" top="0.75"/>
  <pageSetup paperSize="9" orientation="landscape"/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DC3E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5.63"/>
    <col customWidth="1" min="2" max="2" width="8.0"/>
    <col customWidth="1" min="3" max="3" width="17.75"/>
    <col customWidth="1" min="4" max="4" width="14.5"/>
    <col customWidth="1" min="5" max="6" width="5.38"/>
    <col customWidth="1" min="7" max="21" width="8.25"/>
    <col customWidth="1" min="22" max="28" width="7.0"/>
  </cols>
  <sheetData>
    <row r="1" ht="13.5" customHeight="1">
      <c r="A1" s="80" t="s">
        <v>0</v>
      </c>
      <c r="B1" s="80" t="s">
        <v>1</v>
      </c>
      <c r="C1" s="81" t="s">
        <v>2</v>
      </c>
      <c r="D1" s="81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41"/>
      <c r="M1" s="42"/>
      <c r="N1" s="42"/>
      <c r="O1" s="42"/>
      <c r="P1" s="42"/>
      <c r="Q1" s="42"/>
      <c r="R1" s="42"/>
      <c r="S1" s="42"/>
      <c r="T1" s="42"/>
      <c r="U1" s="42"/>
      <c r="V1" s="43"/>
      <c r="W1" s="43"/>
      <c r="X1" s="43"/>
      <c r="Y1" s="43"/>
      <c r="Z1" s="44"/>
      <c r="AA1" s="45"/>
      <c r="AB1" s="46"/>
    </row>
    <row r="2" ht="13.5" customHeight="1">
      <c r="A2" s="47">
        <f>IFERROR(__xludf.DUMMYFUNCTION("importrange(""https://docs.google.com/spreadsheets/d/1SneboWg5ForOUIMyz7kk7PNTpQ7WlnVISde0cc3ncMg/edit?gid=350079654#gid=350079654"",""Resultats_SF!A2:O180"")"),1.0)</f>
        <v>1</v>
      </c>
      <c r="B2" s="48" t="str">
        <f>IFERROR(__xludf.DUMMYFUNCTION("""COMPUTED_VALUE"""),"212")</f>
        <v>212</v>
      </c>
      <c r="C2" s="49" t="str">
        <f>IFERROR(__xludf.DUMMYFUNCTION("""COMPUTED_VALUE"""),"PIPITONE FEDERICO")</f>
        <v>PIPITONE FEDERICO</v>
      </c>
      <c r="D2" s="50" t="str">
        <f>IFERROR(__xludf.DUMMYFUNCTION("""COMPUTED_VALUE"""),"ALESSANDRA")</f>
        <v>ALESSANDRA</v>
      </c>
      <c r="E2" s="51" t="str">
        <f>IFERROR(__xludf.DUMMYFUNCTION("""COMPUTED_VALUE"""),"SF4")</f>
        <v>SF4</v>
      </c>
      <c r="F2" s="82">
        <f>IFERROR(__xludf.DUMMYFUNCTION("""COMPUTED_VALUE"""),1.0)</f>
        <v>1</v>
      </c>
      <c r="G2" s="52">
        <f>IFERROR(__xludf.DUMMYFUNCTION("""COMPUTED_VALUE"""),0.020289352603728297)</f>
        <v>0.0202893526</v>
      </c>
      <c r="H2" s="53">
        <f>IFERROR(__xludf.DUMMYFUNCTION("""COMPUTED_VALUE"""),0.0035763888963144066)</f>
        <v>0.003576388896</v>
      </c>
      <c r="I2" s="53">
        <f>IFERROR(__xludf.DUMMYFUNCTION("""COMPUTED_VALUE"""),0.007731481575510772)</f>
        <v>0.007731481576</v>
      </c>
      <c r="J2" s="53">
        <f>IFERROR(__xludf.DUMMYFUNCTION("""COMPUTED_VALUE"""),0.008148148643911746)</f>
        <v>0.008148148644</v>
      </c>
      <c r="K2" s="54">
        <f>IFERROR(__xludf.DUMMYFUNCTION("""COMPUTED_VALUE"""),8.33333487991372E-4)</f>
        <v>0.000833333488</v>
      </c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6"/>
      <c r="X2" s="56"/>
      <c r="Y2" s="56"/>
      <c r="Z2" s="57"/>
      <c r="AA2" s="58"/>
      <c r="AB2" s="59"/>
    </row>
    <row r="3" ht="13.5" customHeight="1">
      <c r="A3" s="60">
        <f>IFERROR(__xludf.DUMMYFUNCTION("""COMPUTED_VALUE"""),2.0)</f>
        <v>2</v>
      </c>
      <c r="B3" s="61" t="str">
        <f>IFERROR(__xludf.DUMMYFUNCTION("""COMPUTED_VALUE"""),"226")</f>
        <v>226</v>
      </c>
      <c r="C3" s="62" t="str">
        <f>IFERROR(__xludf.DUMMYFUNCTION("""COMPUTED_VALUE"""),"VIGY")</f>
        <v>VIGY</v>
      </c>
      <c r="D3" s="63" t="str">
        <f>IFERROR(__xludf.DUMMYFUNCTION("""COMPUTED_VALUE"""),"MARIE")</f>
        <v>MARIE</v>
      </c>
      <c r="E3" s="51" t="str">
        <f>IFERROR(__xludf.DUMMYFUNCTION("""COMPUTED_VALUE"""),"SF3")</f>
        <v>SF3</v>
      </c>
      <c r="F3" s="82">
        <f>IFERROR(__xludf.DUMMYFUNCTION("""COMPUTED_VALUE"""),1.0)</f>
        <v>1</v>
      </c>
      <c r="G3" s="52">
        <f>IFERROR(__xludf.DUMMYFUNCTION("""COMPUTED_VALUE"""),0.021388890044445504)</f>
        <v>0.02138889004</v>
      </c>
      <c r="H3" s="53">
        <f>IFERROR(__xludf.DUMMYFUNCTION("""COMPUTED_VALUE"""),0.0038194445476394247)</f>
        <v>0.003819444548</v>
      </c>
      <c r="I3" s="53">
        <f>IFERROR(__xludf.DUMMYFUNCTION("""COMPUTED_VALUE"""),0.008020833421309107)</f>
        <v>0.008020833421</v>
      </c>
      <c r="J3" s="53">
        <f>IFERROR(__xludf.DUMMYFUNCTION("""COMPUTED_VALUE"""),0.008611111990189338)</f>
        <v>0.00861111199</v>
      </c>
      <c r="K3" s="54">
        <f>IFERROR(__xludf.DUMMYFUNCTION("""COMPUTED_VALUE"""),9.375000853076338E-4)</f>
        <v>0.0009375000853</v>
      </c>
      <c r="L3" s="55"/>
      <c r="M3" s="55"/>
      <c r="N3" s="55"/>
      <c r="O3" s="55"/>
      <c r="P3" s="55"/>
      <c r="Q3" s="55"/>
      <c r="R3" s="55"/>
      <c r="S3" s="55"/>
      <c r="T3" s="55"/>
      <c r="U3" s="55"/>
      <c r="V3" s="56"/>
      <c r="W3" s="56"/>
      <c r="X3" s="56"/>
      <c r="Y3" s="56"/>
      <c r="Z3" s="57"/>
      <c r="AA3" s="58"/>
      <c r="AB3" s="59"/>
    </row>
    <row r="4" ht="13.5" customHeight="1">
      <c r="A4" s="60">
        <f>IFERROR(__xludf.DUMMYFUNCTION("""COMPUTED_VALUE"""),3.0)</f>
        <v>3</v>
      </c>
      <c r="B4" s="61" t="str">
        <f>IFERROR(__xludf.DUMMYFUNCTION("""COMPUTED_VALUE"""),"225")</f>
        <v>225</v>
      </c>
      <c r="C4" s="62" t="str">
        <f>IFERROR(__xludf.DUMMYFUNCTION("""COMPUTED_VALUE"""),"AZADIAN")</f>
        <v>AZADIAN</v>
      </c>
      <c r="D4" s="63" t="str">
        <f>IFERROR(__xludf.DUMMYFUNCTION("""COMPUTED_VALUE"""),"PHILIPPINE")</f>
        <v>PHILIPPINE</v>
      </c>
      <c r="E4" s="51" t="str">
        <f>IFERROR(__xludf.DUMMYFUNCTION("""COMPUTED_VALUE"""),"SF3")</f>
        <v>SF3</v>
      </c>
      <c r="F4" s="82">
        <f>IFERROR(__xludf.DUMMYFUNCTION("""COMPUTED_VALUE"""),2.0)</f>
        <v>2</v>
      </c>
      <c r="G4" s="52">
        <f>IFERROR(__xludf.DUMMYFUNCTION("""COMPUTED_VALUE"""),0.02168981581563717)</f>
        <v>0.02168981582</v>
      </c>
      <c r="H4" s="53">
        <f>IFERROR(__xludf.DUMMYFUNCTION("""COMPUTED_VALUE"""),0.0037268518850766606)</f>
        <v>0.003726851885</v>
      </c>
      <c r="I4" s="53">
        <f>IFERROR(__xludf.DUMMYFUNCTION("""COMPUTED_VALUE"""),0.00846064816159517)</f>
        <v>0.008460648162</v>
      </c>
      <c r="J4" s="53">
        <f>IFERROR(__xludf.DUMMYFUNCTION("""COMPUTED_VALUE"""),0.008877315384003697)</f>
        <v>0.008877315384</v>
      </c>
      <c r="K4" s="54">
        <f>IFERROR(__xludf.DUMMYFUNCTION("""COMPUTED_VALUE"""),6.250003849616417E-4)</f>
        <v>0.000625000385</v>
      </c>
      <c r="L4" s="55"/>
      <c r="M4" s="55"/>
      <c r="N4" s="55"/>
      <c r="O4" s="55"/>
      <c r="P4" s="55"/>
      <c r="Q4" s="55"/>
      <c r="R4" s="55"/>
      <c r="S4" s="55"/>
      <c r="T4" s="55"/>
      <c r="U4" s="55"/>
      <c r="V4" s="56"/>
      <c r="W4" s="56"/>
      <c r="X4" s="56"/>
      <c r="Y4" s="56"/>
      <c r="Z4" s="57"/>
      <c r="AA4" s="58"/>
      <c r="AB4" s="59"/>
    </row>
    <row r="5" ht="13.5" customHeight="1">
      <c r="A5" s="60">
        <f>IFERROR(__xludf.DUMMYFUNCTION("""COMPUTED_VALUE"""),4.0)</f>
        <v>4</v>
      </c>
      <c r="B5" s="61" t="str">
        <f>IFERROR(__xludf.DUMMYFUNCTION("""COMPUTED_VALUE"""),"96")</f>
        <v>96</v>
      </c>
      <c r="C5" s="62" t="str">
        <f>IFERROR(__xludf.DUMMYFUNCTION("""COMPUTED_VALUE"""),"MEMLOUK")</f>
        <v>MEMLOUK</v>
      </c>
      <c r="D5" s="63" t="str">
        <f>IFERROR(__xludf.DUMMYFUNCTION("""COMPUTED_VALUE"""),"EDEN")</f>
        <v>EDEN</v>
      </c>
      <c r="E5" s="51" t="str">
        <f>IFERROR(__xludf.DUMMYFUNCTION("""COMPUTED_VALUE"""),"SF2")</f>
        <v>SF2</v>
      </c>
      <c r="F5" s="82">
        <f>IFERROR(__xludf.DUMMYFUNCTION("""COMPUTED_VALUE"""),1.0)</f>
        <v>1</v>
      </c>
      <c r="G5" s="52">
        <f>IFERROR(__xludf.DUMMYFUNCTION("""COMPUTED_VALUE"""),0.02201388960685123)</f>
        <v>0.02201388961</v>
      </c>
      <c r="H5" s="53">
        <f>IFERROR(__xludf.DUMMYFUNCTION("""COMPUTED_VALUE"""),0.004571759345703019)</f>
        <v>0.004571759346</v>
      </c>
      <c r="I5" s="53">
        <f>IFERROR(__xludf.DUMMYFUNCTION("""COMPUTED_VALUE"""),0.008217592633391292)</f>
        <v>0.008217592633</v>
      </c>
      <c r="J5" s="53">
        <f>IFERROR(__xludf.DUMMYFUNCTION("""COMPUTED_VALUE"""),0.007638889024891928)</f>
        <v>0.007638889025</v>
      </c>
      <c r="K5" s="54">
        <f>IFERROR(__xludf.DUMMYFUNCTION("""COMPUTED_VALUE"""),0.0015856486028649917)</f>
        <v>0.001585648603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6"/>
      <c r="W5" s="56"/>
      <c r="X5" s="56"/>
      <c r="Y5" s="56"/>
      <c r="Z5" s="57"/>
      <c r="AA5" s="58"/>
      <c r="AB5" s="59"/>
    </row>
    <row r="6" ht="13.5" customHeight="1">
      <c r="A6" s="60">
        <f>IFERROR(__xludf.DUMMYFUNCTION("""COMPUTED_VALUE"""),5.0)</f>
        <v>5</v>
      </c>
      <c r="B6" s="61" t="str">
        <f>IFERROR(__xludf.DUMMYFUNCTION("""COMPUTED_VALUE"""),"95")</f>
        <v>95</v>
      </c>
      <c r="C6" s="62" t="str">
        <f>IFERROR(__xludf.DUMMYFUNCTION("""COMPUTED_VALUE"""),"MARTELLOZZO")</f>
        <v>MARTELLOZZO</v>
      </c>
      <c r="D6" s="63" t="str">
        <f>IFERROR(__xludf.DUMMYFUNCTION("""COMPUTED_VALUE"""),"LAURA")</f>
        <v>LAURA</v>
      </c>
      <c r="E6" s="51" t="str">
        <f>IFERROR(__xludf.DUMMYFUNCTION("""COMPUTED_VALUE"""),"SF2")</f>
        <v>SF2</v>
      </c>
      <c r="F6" s="82">
        <f>IFERROR(__xludf.DUMMYFUNCTION("""COMPUTED_VALUE"""),2.0)</f>
        <v>2</v>
      </c>
      <c r="G6" s="52">
        <f>IFERROR(__xludf.DUMMYFUNCTION("""COMPUTED_VALUE"""),0.022361111831397475)</f>
        <v>0.02236111183</v>
      </c>
      <c r="H6" s="53">
        <f>IFERROR(__xludf.DUMMYFUNCTION("""COMPUTED_VALUE"""),0.004988425926623143)</f>
        <v>0.004988425927</v>
      </c>
      <c r="I6" s="53">
        <f>IFERROR(__xludf.DUMMYFUNCTION("""COMPUTED_VALUE"""),0.008437500081691604)</f>
        <v>0.008437500082</v>
      </c>
      <c r="J6" s="53">
        <f>IFERROR(__xludf.DUMMYFUNCTION("""COMPUTED_VALUE"""),0.007812499714124952)</f>
        <v>0.007812499714</v>
      </c>
      <c r="K6" s="54">
        <f>IFERROR(__xludf.DUMMYFUNCTION("""COMPUTED_VALUE"""),0.0011226861089577754)</f>
        <v>0.001122686109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6"/>
      <c r="W6" s="56"/>
      <c r="X6" s="56"/>
      <c r="Y6" s="56"/>
      <c r="Z6" s="57"/>
      <c r="AA6" s="58"/>
      <c r="AB6" s="59"/>
    </row>
    <row r="7" ht="13.5" customHeight="1">
      <c r="A7" s="60">
        <f>IFERROR(__xludf.DUMMYFUNCTION("""COMPUTED_VALUE"""),6.0)</f>
        <v>6</v>
      </c>
      <c r="B7" s="61" t="str">
        <f>IFERROR(__xludf.DUMMYFUNCTION("""COMPUTED_VALUE"""),"227")</f>
        <v>227</v>
      </c>
      <c r="C7" s="62" t="str">
        <f>IFERROR(__xludf.DUMMYFUNCTION("""COMPUTED_VALUE"""),"VOROS")</f>
        <v>VOROS</v>
      </c>
      <c r="D7" s="63" t="str">
        <f>IFERROR(__xludf.DUMMYFUNCTION("""COMPUTED_VALUE"""),"CAROLINE")</f>
        <v>CAROLINE</v>
      </c>
      <c r="E7" s="51" t="str">
        <f>IFERROR(__xludf.DUMMYFUNCTION("""COMPUTED_VALUE"""),"SF2")</f>
        <v>SF2</v>
      </c>
      <c r="F7" s="82">
        <f>IFERROR(__xludf.DUMMYFUNCTION("""COMPUTED_VALUE"""),3.0)</f>
        <v>3</v>
      </c>
      <c r="G7" s="52">
        <f>IFERROR(__xludf.DUMMYFUNCTION("""COMPUTED_VALUE"""),0.022800926861683602)</f>
        <v>0.02280092686</v>
      </c>
      <c r="H7" s="53">
        <f>IFERROR(__xludf.DUMMYFUNCTION("""COMPUTED_VALUE"""),0.0038310185269194)</f>
        <v>0.003831018527</v>
      </c>
      <c r="I7" s="53">
        <f>IFERROR(__xludf.DUMMYFUNCTION("""COMPUTED_VALUE"""),0.007627314843310747)</f>
        <v>0.007627314843</v>
      </c>
      <c r="J7" s="53">
        <f>IFERROR(__xludf.DUMMYFUNCTION("""COMPUTED_VALUE"""),0.010219907401886882)</f>
        <v>0.0102199074</v>
      </c>
      <c r="K7" s="54">
        <f>IFERROR(__xludf.DUMMYFUNCTION("""COMPUTED_VALUE"""),0.0011226860895665733)</f>
        <v>0.00112268609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6"/>
      <c r="W7" s="56"/>
      <c r="X7" s="56"/>
      <c r="Y7" s="56"/>
      <c r="Z7" s="57"/>
      <c r="AA7" s="58"/>
      <c r="AB7" s="59"/>
    </row>
    <row r="8" ht="13.5" customHeight="1">
      <c r="A8" s="60">
        <f>IFERROR(__xludf.DUMMYFUNCTION("""COMPUTED_VALUE"""),7.0)</f>
        <v>7</v>
      </c>
      <c r="B8" s="61" t="str">
        <f>IFERROR(__xludf.DUMMYFUNCTION("""COMPUTED_VALUE"""),"99")</f>
        <v>99</v>
      </c>
      <c r="C8" s="62" t="str">
        <f>IFERROR(__xludf.DUMMYFUNCTION("""COMPUTED_VALUE"""),"BOUKHIBA")</f>
        <v>BOUKHIBA</v>
      </c>
      <c r="D8" s="63" t="str">
        <f>IFERROR(__xludf.DUMMYFUNCTION("""COMPUTED_VALUE"""),"SARAH")</f>
        <v>SARAH</v>
      </c>
      <c r="E8" s="51" t="str">
        <f>IFERROR(__xludf.DUMMYFUNCTION("""COMPUTED_VALUE"""),"SF2")</f>
        <v>SF2</v>
      </c>
      <c r="F8" s="82">
        <f>IFERROR(__xludf.DUMMYFUNCTION("""COMPUTED_VALUE"""),4.0)</f>
        <v>4</v>
      </c>
      <c r="G8" s="52">
        <f>IFERROR(__xludf.DUMMYFUNCTION("""COMPUTED_VALUE"""),0.022812500419936464)</f>
        <v>0.02281250042</v>
      </c>
      <c r="H8" s="53">
        <f>IFERROR(__xludf.DUMMYFUNCTION("""COMPUTED_VALUE"""),0.003472222273266771)</f>
        <v>0.003472222273</v>
      </c>
      <c r="I8" s="53">
        <f>IFERROR(__xludf.DUMMYFUNCTION("""COMPUTED_VALUE"""),0.009039351864320326)</f>
        <v>0.009039351864</v>
      </c>
      <c r="J8" s="53">
        <f>IFERROR(__xludf.DUMMYFUNCTION("""COMPUTED_VALUE"""),0.009131944852576488)</f>
        <v>0.009131944853</v>
      </c>
      <c r="K8" s="54">
        <f>IFERROR(__xludf.DUMMYFUNCTION("""COMPUTED_VALUE"""),0.0011689814297728782)</f>
        <v>0.00116898143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6"/>
      <c r="W8" s="56"/>
      <c r="X8" s="56"/>
      <c r="Y8" s="56"/>
      <c r="Z8" s="57"/>
      <c r="AA8" s="58"/>
      <c r="AB8" s="59"/>
    </row>
    <row r="9" ht="13.5" customHeight="1">
      <c r="A9" s="60">
        <f>IFERROR(__xludf.DUMMYFUNCTION("""COMPUTED_VALUE"""),8.0)</f>
        <v>8</v>
      </c>
      <c r="B9" s="61" t="str">
        <f>IFERROR(__xludf.DUMMYFUNCTION("""COMPUTED_VALUE"""),"71")</f>
        <v>71</v>
      </c>
      <c r="C9" s="62" t="str">
        <f>IFERROR(__xludf.DUMMYFUNCTION("""COMPUTED_VALUE"""),"BRES")</f>
        <v>BRES</v>
      </c>
      <c r="D9" s="63" t="str">
        <f>IFERROR(__xludf.DUMMYFUNCTION("""COMPUTED_VALUE"""),"EDITH")</f>
        <v>EDITH</v>
      </c>
      <c r="E9" s="51" t="str">
        <f>IFERROR(__xludf.DUMMYFUNCTION("""COMPUTED_VALUE"""),"SF4")</f>
        <v>SF4</v>
      </c>
      <c r="F9" s="82">
        <f>IFERROR(__xludf.DUMMYFUNCTION("""COMPUTED_VALUE"""),2.0)</f>
        <v>2</v>
      </c>
      <c r="G9" s="52">
        <f>IFERROR(__xludf.DUMMYFUNCTION("""COMPUTED_VALUE"""),0.02288194538449067)</f>
        <v>0.02288194538</v>
      </c>
      <c r="H9" s="53">
        <f>IFERROR(__xludf.DUMMYFUNCTION("""COMPUTED_VALUE"""),0.004155092692853159)</f>
        <v>0.004155092693</v>
      </c>
      <c r="I9" s="53">
        <f>IFERROR(__xludf.DUMMYFUNCTION("""COMPUTED_VALUE"""),0.008993055632710937)</f>
        <v>0.008993055633</v>
      </c>
      <c r="J9" s="53">
        <f>IFERROR(__xludf.DUMMYFUNCTION("""COMPUTED_VALUE"""),0.008831018634555555)</f>
        <v>0.008831018635</v>
      </c>
      <c r="K9" s="54">
        <f>IFERROR(__xludf.DUMMYFUNCTION("""COMPUTED_VALUE"""),9.027784243710174E-4)</f>
        <v>0.0009027784244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6"/>
      <c r="W9" s="56"/>
      <c r="X9" s="56"/>
      <c r="Y9" s="56"/>
      <c r="Z9" s="57"/>
      <c r="AA9" s="58"/>
      <c r="AB9" s="59"/>
    </row>
    <row r="10" ht="13.5" customHeight="1">
      <c r="A10" s="60">
        <f>IFERROR(__xludf.DUMMYFUNCTION("""COMPUTED_VALUE"""),9.0)</f>
        <v>9</v>
      </c>
      <c r="B10" s="61" t="str">
        <f>IFERROR(__xludf.DUMMYFUNCTION("""COMPUTED_VALUE"""),"184")</f>
        <v>184</v>
      </c>
      <c r="C10" s="62" t="str">
        <f>IFERROR(__xludf.DUMMYFUNCTION("""COMPUTED_VALUE"""),"HEATH")</f>
        <v>HEATH</v>
      </c>
      <c r="D10" s="63" t="str">
        <f>IFERROR(__xludf.DUMMYFUNCTION("""COMPUTED_VALUE"""),"JULIETTE")</f>
        <v>JULIETTE</v>
      </c>
      <c r="E10" s="51" t="str">
        <f>IFERROR(__xludf.DUMMYFUNCTION("""COMPUTED_VALUE"""),"SF4")</f>
        <v>SF4</v>
      </c>
      <c r="F10" s="82">
        <f>IFERROR(__xludf.DUMMYFUNCTION("""COMPUTED_VALUE"""),3.0)</f>
        <v>3</v>
      </c>
      <c r="G10" s="52">
        <f>IFERROR(__xludf.DUMMYFUNCTION("""COMPUTED_VALUE"""),0.023148149098744953)</f>
        <v>0.0231481491</v>
      </c>
      <c r="H10" s="53">
        <f>IFERROR(__xludf.DUMMYFUNCTION("""COMPUTED_VALUE"""),0.003715277839576642)</f>
        <v>0.00371527784</v>
      </c>
      <c r="I10" s="53">
        <f>IFERROR(__xludf.DUMMYFUNCTION("""COMPUTED_VALUE"""),0.008900463055988876)</f>
        <v>0.008900463056</v>
      </c>
      <c r="J10" s="53">
        <f>IFERROR(__xludf.DUMMYFUNCTION("""COMPUTED_VALUE"""),0.009375000127951469)</f>
        <v>0.009375000128</v>
      </c>
      <c r="K10" s="54">
        <f>IFERROR(__xludf.DUMMYFUNCTION("""COMPUTED_VALUE"""),0.0011574080752279666)</f>
        <v>0.001157408075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6"/>
      <c r="W10" s="56"/>
      <c r="X10" s="56"/>
      <c r="Y10" s="56"/>
      <c r="Z10" s="57"/>
      <c r="AA10" s="58"/>
      <c r="AB10" s="59"/>
    </row>
    <row r="11" ht="13.5" customHeight="1">
      <c r="A11" s="60">
        <f>IFERROR(__xludf.DUMMYFUNCTION("""COMPUTED_VALUE"""),10.0)</f>
        <v>10</v>
      </c>
      <c r="B11" s="61" t="str">
        <f>IFERROR(__xludf.DUMMYFUNCTION("""COMPUTED_VALUE"""),"60")</f>
        <v>60</v>
      </c>
      <c r="C11" s="62" t="str">
        <f>IFERROR(__xludf.DUMMYFUNCTION("""COMPUTED_VALUE"""),"MOLARD")</f>
        <v>MOLARD</v>
      </c>
      <c r="D11" s="63" t="str">
        <f>IFERROR(__xludf.DUMMYFUNCTION("""COMPUTED_VALUE"""),"ZOÉ")</f>
        <v>ZOÉ</v>
      </c>
      <c r="E11" s="51" t="str">
        <f>IFERROR(__xludf.DUMMYFUNCTION("""COMPUTED_VALUE"""),"SF1")</f>
        <v>SF1</v>
      </c>
      <c r="F11" s="82">
        <f>IFERROR(__xludf.DUMMYFUNCTION("""COMPUTED_VALUE"""),1.0)</f>
        <v>1</v>
      </c>
      <c r="G11" s="52">
        <f>IFERROR(__xludf.DUMMYFUNCTION("""COMPUTED_VALUE"""),0.02332176024100201)</f>
        <v>0.02332176024</v>
      </c>
      <c r="H11" s="53">
        <f>IFERROR(__xludf.DUMMYFUNCTION("""COMPUTED_VALUE"""),0.004247685292776932)</f>
        <v>0.004247685293</v>
      </c>
      <c r="I11" s="53">
        <f>IFERROR(__xludf.DUMMYFUNCTION("""COMPUTED_VALUE"""),0.00810185194479313)</f>
        <v>0.008101851945</v>
      </c>
      <c r="J11" s="53">
        <f>IFERROR(__xludf.DUMMYFUNCTION("""COMPUTED_VALUE"""),0.009398149039889475)</f>
        <v>0.00939814904</v>
      </c>
      <c r="K11" s="54">
        <f>IFERROR(__xludf.DUMMYFUNCTION("""COMPUTED_VALUE"""),0.0015740739635424737)</f>
        <v>0.001574073964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6"/>
      <c r="W11" s="56"/>
      <c r="X11" s="56"/>
      <c r="Y11" s="56"/>
      <c r="Z11" s="57"/>
      <c r="AA11" s="58"/>
      <c r="AB11" s="59"/>
    </row>
    <row r="12" ht="13.5" customHeight="1">
      <c r="A12" s="60">
        <f>IFERROR(__xludf.DUMMYFUNCTION("""COMPUTED_VALUE"""),11.0)</f>
        <v>11</v>
      </c>
      <c r="B12" s="61" t="str">
        <f>IFERROR(__xludf.DUMMYFUNCTION("""COMPUTED_VALUE"""),"168")</f>
        <v>168</v>
      </c>
      <c r="C12" s="62" t="str">
        <f>IFERROR(__xludf.DUMMYFUNCTION("""COMPUTED_VALUE"""),"WOESTELANDT")</f>
        <v>WOESTELANDT</v>
      </c>
      <c r="D12" s="63" t="str">
        <f>IFERROR(__xludf.DUMMYFUNCTION("""COMPUTED_VALUE"""),"JUSTINE")</f>
        <v>JUSTINE</v>
      </c>
      <c r="E12" s="51" t="str">
        <f>IFERROR(__xludf.DUMMYFUNCTION("""COMPUTED_VALUE"""),"SF1")</f>
        <v>SF1</v>
      </c>
      <c r="F12" s="82">
        <f>IFERROR(__xludf.DUMMYFUNCTION("""COMPUTED_VALUE"""),2.0)</f>
        <v>2</v>
      </c>
      <c r="G12" s="52">
        <f>IFERROR(__xludf.DUMMYFUNCTION("""COMPUTED_VALUE"""),0.023356482140881398)</f>
        <v>0.02335648214</v>
      </c>
      <c r="H12" s="53">
        <f>IFERROR(__xludf.DUMMYFUNCTION("""COMPUTED_VALUE"""),0.003912037096527725)</f>
        <v>0.003912037097</v>
      </c>
      <c r="I12" s="53">
        <f>IFERROR(__xludf.DUMMYFUNCTION("""COMPUTED_VALUE"""),0.008472222325969333)</f>
        <v>0.008472222326</v>
      </c>
      <c r="J12" s="53">
        <f>IFERROR(__xludf.DUMMYFUNCTION("""COMPUTED_VALUE"""),0.009733796166995516)</f>
        <v>0.009733796167</v>
      </c>
      <c r="K12" s="54">
        <f>IFERROR(__xludf.DUMMYFUNCTION("""COMPUTED_VALUE"""),0.0012384265513888243)</f>
        <v>0.001238426551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6"/>
      <c r="W12" s="56"/>
      <c r="X12" s="56"/>
      <c r="Y12" s="56"/>
      <c r="Z12" s="57"/>
      <c r="AA12" s="58"/>
      <c r="AB12" s="59"/>
    </row>
    <row r="13" ht="13.5" customHeight="1">
      <c r="A13" s="60">
        <f>IFERROR(__xludf.DUMMYFUNCTION("""COMPUTED_VALUE"""),12.0)</f>
        <v>12</v>
      </c>
      <c r="B13" s="61" t="str">
        <f>IFERROR(__xludf.DUMMYFUNCTION("""COMPUTED_VALUE"""),"156")</f>
        <v>156</v>
      </c>
      <c r="C13" s="62" t="str">
        <f>IFERROR(__xludf.DUMMYFUNCTION("""COMPUTED_VALUE"""),"PILIDJIAN")</f>
        <v>PILIDJIAN</v>
      </c>
      <c r="D13" s="63" t="str">
        <f>IFERROR(__xludf.DUMMYFUNCTION("""COMPUTED_VALUE"""),"CLAIRE")</f>
        <v>CLAIRE</v>
      </c>
      <c r="E13" s="51" t="str">
        <f>IFERROR(__xludf.DUMMYFUNCTION("""COMPUTED_VALUE"""),"SF2")</f>
        <v>SF2</v>
      </c>
      <c r="F13" s="82">
        <f>IFERROR(__xludf.DUMMYFUNCTION("""COMPUTED_VALUE"""),5.0)</f>
        <v>5</v>
      </c>
      <c r="G13" s="52">
        <f>IFERROR(__xludf.DUMMYFUNCTION("""COMPUTED_VALUE"""),0.023379630270167512)</f>
        <v>0.02337963027</v>
      </c>
      <c r="H13" s="53">
        <f>IFERROR(__xludf.DUMMYFUNCTION("""COMPUTED_VALUE"""),0.005300925983923055)</f>
        <v>0.005300925984</v>
      </c>
      <c r="I13" s="53">
        <f>IFERROR(__xludf.DUMMYFUNCTION("""COMPUTED_VALUE"""),0.008298611116812791)</f>
        <v>0.008298611117</v>
      </c>
      <c r="J13" s="53">
        <f>IFERROR(__xludf.DUMMYFUNCTION("""COMPUTED_VALUE"""),0.008587962909657918)</f>
        <v>0.00858796291</v>
      </c>
      <c r="K13" s="54">
        <f>IFERROR(__xludf.DUMMYFUNCTION("""COMPUTED_VALUE"""),0.001192130259773748)</f>
        <v>0.00119213026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6"/>
      <c r="W13" s="56"/>
      <c r="X13" s="56"/>
      <c r="Y13" s="56"/>
      <c r="Z13" s="57"/>
      <c r="AA13" s="58"/>
      <c r="AB13" s="59"/>
    </row>
    <row r="14" ht="13.5" customHeight="1">
      <c r="A14" s="60">
        <f>IFERROR(__xludf.DUMMYFUNCTION("""COMPUTED_VALUE"""),13.0)</f>
        <v>13</v>
      </c>
      <c r="B14" s="61" t="str">
        <f>IFERROR(__xludf.DUMMYFUNCTION("""COMPUTED_VALUE"""),"151")</f>
        <v>151</v>
      </c>
      <c r="C14" s="62" t="str">
        <f>IFERROR(__xludf.DUMMYFUNCTION("""COMPUTED_VALUE"""),"OTMANI")</f>
        <v>OTMANI</v>
      </c>
      <c r="D14" s="63" t="str">
        <f>IFERROR(__xludf.DUMMYFUNCTION("""COMPUTED_VALUE"""),"SIXTINE")</f>
        <v>SIXTINE</v>
      </c>
      <c r="E14" s="51" t="str">
        <f>IFERROR(__xludf.DUMMYFUNCTION("""COMPUTED_VALUE"""),"SF2")</f>
        <v>SF2</v>
      </c>
      <c r="F14" s="82">
        <f>IFERROR(__xludf.DUMMYFUNCTION("""COMPUTED_VALUE"""),6.0)</f>
        <v>6</v>
      </c>
      <c r="G14" s="52">
        <f>IFERROR(__xludf.DUMMYFUNCTION("""COMPUTED_VALUE"""),0.023668981517082004)</f>
        <v>0.02366898152</v>
      </c>
      <c r="H14" s="53">
        <f>IFERROR(__xludf.DUMMYFUNCTION("""COMPUTED_VALUE"""),0.005162037147852138)</f>
        <v>0.005162037148</v>
      </c>
      <c r="I14" s="53">
        <f>IFERROR(__xludf.DUMMYFUNCTION("""COMPUTED_VALUE"""),0.007847222332410702)</f>
        <v>0.007847222332</v>
      </c>
      <c r="J14" s="53">
        <f>IFERROR(__xludf.DUMMYFUNCTION("""COMPUTED_VALUE"""),0.009386573696905442)</f>
        <v>0.009386573697</v>
      </c>
      <c r="K14" s="54">
        <f>IFERROR(__xludf.DUMMYFUNCTION("""COMPUTED_VALUE"""),0.0012731483399137222)</f>
        <v>0.00127314834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6"/>
      <c r="W14" s="56"/>
      <c r="X14" s="56"/>
      <c r="Y14" s="56"/>
      <c r="Z14" s="57"/>
      <c r="AA14" s="58"/>
      <c r="AB14" s="59"/>
    </row>
    <row r="15" ht="13.5" customHeight="1">
      <c r="A15" s="60">
        <f>IFERROR(__xludf.DUMMYFUNCTION("""COMPUTED_VALUE"""),14.0)</f>
        <v>14</v>
      </c>
      <c r="B15" s="61" t="str">
        <f>IFERROR(__xludf.DUMMYFUNCTION("""COMPUTED_VALUE"""),"127")</f>
        <v>127</v>
      </c>
      <c r="C15" s="62" t="str">
        <f>IFERROR(__xludf.DUMMYFUNCTION("""COMPUTED_VALUE"""),"GOSSE")</f>
        <v>GOSSE</v>
      </c>
      <c r="D15" s="63" t="str">
        <f>IFERROR(__xludf.DUMMYFUNCTION("""COMPUTED_VALUE"""),"MARION")</f>
        <v>MARION</v>
      </c>
      <c r="E15" s="51" t="str">
        <f>IFERROR(__xludf.DUMMYFUNCTION("""COMPUTED_VALUE"""),"SF2")</f>
        <v>SF2</v>
      </c>
      <c r="F15" s="82">
        <f>IFERROR(__xludf.DUMMYFUNCTION("""COMPUTED_VALUE"""),7.0)</f>
        <v>7</v>
      </c>
      <c r="G15" s="52">
        <f>IFERROR(__xludf.DUMMYFUNCTION("""COMPUTED_VALUE"""),0.024768518987503124)</f>
        <v>0.02476851899</v>
      </c>
      <c r="H15" s="53">
        <f>IFERROR(__xludf.DUMMYFUNCTION("""COMPUTED_VALUE"""),0.006064814874810289)</f>
        <v>0.006064814875</v>
      </c>
      <c r="I15" s="53">
        <f>IFERROR(__xludf.DUMMYFUNCTION("""COMPUTED_VALUE"""),0.008344907512302003)</f>
        <v>0.008344907512</v>
      </c>
      <c r="J15" s="53">
        <f>IFERROR(__xludf.DUMMYFUNCTION("""COMPUTED_VALUE"""),0.008784722415628693)</f>
        <v>0.008784722416</v>
      </c>
      <c r="K15" s="54">
        <f>IFERROR(__xludf.DUMMYFUNCTION("""COMPUTED_VALUE"""),0.0015740741847621387)</f>
        <v>0.001574074185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6"/>
      <c r="W15" s="56"/>
      <c r="X15" s="56"/>
      <c r="Y15" s="56"/>
      <c r="Z15" s="57"/>
      <c r="AA15" s="58"/>
      <c r="AB15" s="59"/>
    </row>
    <row r="16" ht="13.5" customHeight="1">
      <c r="A16" s="60">
        <f>IFERROR(__xludf.DUMMYFUNCTION("""COMPUTED_VALUE"""),15.0)</f>
        <v>15</v>
      </c>
      <c r="B16" s="61" t="str">
        <f>IFERROR(__xludf.DUMMYFUNCTION("""COMPUTED_VALUE"""),"171")</f>
        <v>171</v>
      </c>
      <c r="C16" s="62" t="str">
        <f>IFERROR(__xludf.DUMMYFUNCTION("""COMPUTED_VALUE"""),"GUILLEUX")</f>
        <v>GUILLEUX</v>
      </c>
      <c r="D16" s="63" t="str">
        <f>IFERROR(__xludf.DUMMYFUNCTION("""COMPUTED_VALUE"""),"CHARLOTTE")</f>
        <v>CHARLOTTE</v>
      </c>
      <c r="E16" s="51" t="str">
        <f>IFERROR(__xludf.DUMMYFUNCTION("""COMPUTED_VALUE"""),"SF1")</f>
        <v>SF1</v>
      </c>
      <c r="F16" s="82">
        <f>IFERROR(__xludf.DUMMYFUNCTION("""COMPUTED_VALUE"""),3.0)</f>
        <v>3</v>
      </c>
      <c r="G16" s="52">
        <f>IFERROR(__xludf.DUMMYFUNCTION("""COMPUTED_VALUE"""),0.024965278309609925)</f>
        <v>0.02496527831</v>
      </c>
      <c r="H16" s="53">
        <f>IFERROR(__xludf.DUMMYFUNCTION("""COMPUTED_VALUE"""),0.004398148241456884)</f>
        <v>0.004398148241</v>
      </c>
      <c r="I16" s="53">
        <f>IFERROR(__xludf.DUMMYFUNCTION("""COMPUTED_VALUE"""),0.00922453710140148)</f>
        <v>0.009224537101</v>
      </c>
      <c r="J16" s="53">
        <f>IFERROR(__xludf.DUMMYFUNCTION("""COMPUTED_VALUE"""),0.010011574484258247)</f>
        <v>0.01001157448</v>
      </c>
      <c r="K16" s="54">
        <f>IFERROR(__xludf.DUMMYFUNCTION("""COMPUTED_VALUE"""),0.0013310184824933133)</f>
        <v>0.001331018482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6"/>
      <c r="W16" s="56"/>
      <c r="X16" s="56"/>
      <c r="Y16" s="56"/>
      <c r="Z16" s="57"/>
      <c r="AA16" s="58"/>
      <c r="AB16" s="59"/>
    </row>
    <row r="17" ht="13.5" customHeight="1">
      <c r="A17" s="60">
        <f>IFERROR(__xludf.DUMMYFUNCTION("""COMPUTED_VALUE"""),16.0)</f>
        <v>16</v>
      </c>
      <c r="B17" s="61" t="str">
        <f>IFERROR(__xludf.DUMMYFUNCTION("""COMPUTED_VALUE"""),"114")</f>
        <v>114</v>
      </c>
      <c r="C17" s="62" t="str">
        <f>IFERROR(__xludf.DUMMYFUNCTION("""COMPUTED_VALUE"""),"MOTA")</f>
        <v>MOTA</v>
      </c>
      <c r="D17" s="63" t="str">
        <f>IFERROR(__xludf.DUMMYFUNCTION("""COMPUTED_VALUE"""),"LOUISE")</f>
        <v>LOUISE</v>
      </c>
      <c r="E17" s="51" t="str">
        <f>IFERROR(__xludf.DUMMYFUNCTION("""COMPUTED_VALUE"""),"SF1")</f>
        <v>SF1</v>
      </c>
      <c r="F17" s="82">
        <f>IFERROR(__xludf.DUMMYFUNCTION("""COMPUTED_VALUE"""),4.0)</f>
        <v>4</v>
      </c>
      <c r="G17" s="52">
        <f>IFERROR(__xludf.DUMMYFUNCTION("""COMPUTED_VALUE"""),0.025115740906495973)</f>
        <v>0.02511574091</v>
      </c>
      <c r="H17" s="53">
        <f>IFERROR(__xludf.DUMMYFUNCTION("""COMPUTED_VALUE"""),0.004780092666808982)</f>
        <v>0.004780092667</v>
      </c>
      <c r="I17" s="53">
        <f>IFERROR(__xludf.DUMMYFUNCTION("""COMPUTED_VALUE"""),0.008923611148949316)</f>
        <v>0.008923611149</v>
      </c>
      <c r="J17" s="53">
        <f>IFERROR(__xludf.DUMMYFUNCTION("""COMPUTED_VALUE"""),0.01015046198495078)</f>
        <v>0.01015046198</v>
      </c>
      <c r="K17" s="54">
        <f>IFERROR(__xludf.DUMMYFUNCTION("""COMPUTED_VALUE"""),0.001261575105786895)</f>
        <v>0.001261575106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6"/>
      <c r="W17" s="56"/>
      <c r="X17" s="56"/>
      <c r="Y17" s="56"/>
      <c r="Z17" s="57"/>
      <c r="AA17" s="58"/>
      <c r="AB17" s="59"/>
    </row>
    <row r="18" ht="13.5" customHeight="1">
      <c r="A18" s="60">
        <f>IFERROR(__xludf.DUMMYFUNCTION("""COMPUTED_VALUE"""),17.0)</f>
        <v>17</v>
      </c>
      <c r="B18" s="61" t="str">
        <f>IFERROR(__xludf.DUMMYFUNCTION("""COMPUTED_VALUE"""),"61")</f>
        <v>61</v>
      </c>
      <c r="C18" s="62" t="str">
        <f>IFERROR(__xludf.DUMMYFUNCTION("""COMPUTED_VALUE"""),"JUDIC GILOT")</f>
        <v>JUDIC GILOT</v>
      </c>
      <c r="D18" s="63" t="str">
        <f>IFERROR(__xludf.DUMMYFUNCTION("""COMPUTED_VALUE"""),"LILA MAUD")</f>
        <v>LILA MAUD</v>
      </c>
      <c r="E18" s="51" t="str">
        <f>IFERROR(__xludf.DUMMYFUNCTION("""COMPUTED_VALUE"""),"SF1")</f>
        <v>SF1</v>
      </c>
      <c r="F18" s="82">
        <f>IFERROR(__xludf.DUMMYFUNCTION("""COMPUTED_VALUE"""),5.0)</f>
        <v>5</v>
      </c>
      <c r="G18" s="52">
        <f>IFERROR(__xludf.DUMMYFUNCTION("""COMPUTED_VALUE"""),0.025543981705805057)</f>
        <v>0.02554398171</v>
      </c>
      <c r="H18" s="53">
        <f>IFERROR(__xludf.DUMMYFUNCTION("""COMPUTED_VALUE"""),0.004490740852759218)</f>
        <v>0.004490740853</v>
      </c>
      <c r="I18" s="53">
        <f>IFERROR(__xludf.DUMMYFUNCTION("""COMPUTED_VALUE"""),0.008321759355770219)</f>
        <v>0.008321759356</v>
      </c>
      <c r="J18" s="53">
        <f>IFERROR(__xludf.DUMMYFUNCTION("""COMPUTED_VALUE"""),0.01101851839604159)</f>
        <v>0.0110185184</v>
      </c>
      <c r="K18" s="54">
        <f>IFERROR(__xludf.DUMMYFUNCTION("""COMPUTED_VALUE"""),0.0017129631012340303)</f>
        <v>0.001712963101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6"/>
      <c r="W18" s="56"/>
      <c r="X18" s="56"/>
      <c r="Y18" s="56"/>
      <c r="Z18" s="57"/>
      <c r="AA18" s="58"/>
      <c r="AB18" s="59"/>
    </row>
    <row r="19" ht="13.5" customHeight="1">
      <c r="A19" s="60">
        <f>IFERROR(__xludf.DUMMYFUNCTION("""COMPUTED_VALUE"""),18.0)</f>
        <v>18</v>
      </c>
      <c r="B19" s="61" t="str">
        <f>IFERROR(__xludf.DUMMYFUNCTION("""COMPUTED_VALUE"""),"129")</f>
        <v>129</v>
      </c>
      <c r="C19" s="62" t="str">
        <f>IFERROR(__xludf.DUMMYFUNCTION("""COMPUTED_VALUE"""),"ROY")</f>
        <v>ROY</v>
      </c>
      <c r="D19" s="63" t="str">
        <f>IFERROR(__xludf.DUMMYFUNCTION("""COMPUTED_VALUE"""),"MATHILDE")</f>
        <v>MATHILDE</v>
      </c>
      <c r="E19" s="51" t="str">
        <f>IFERROR(__xludf.DUMMYFUNCTION("""COMPUTED_VALUE"""),"SF3")</f>
        <v>SF3</v>
      </c>
      <c r="F19" s="82">
        <f>IFERROR(__xludf.DUMMYFUNCTION("""COMPUTED_VALUE"""),3.0)</f>
        <v>3</v>
      </c>
      <c r="G19" s="52">
        <f>IFERROR(__xludf.DUMMYFUNCTION("""COMPUTED_VALUE"""),0.025648148811484424)</f>
        <v>0.02564814881</v>
      </c>
      <c r="H19" s="53">
        <f>IFERROR(__xludf.DUMMYFUNCTION("""COMPUTED_VALUE"""),0.004756944488533433)</f>
        <v>0.004756944489</v>
      </c>
      <c r="I19" s="53">
        <f>IFERROR(__xludf.DUMMYFUNCTION("""COMPUTED_VALUE"""),0.009062500045851393)</f>
        <v>0.009062500046</v>
      </c>
      <c r="J19" s="53">
        <f>IFERROR(__xludf.DUMMYFUNCTION("""COMPUTED_VALUE"""),0.009953703705760701)</f>
        <v>0.009953703706</v>
      </c>
      <c r="K19" s="54">
        <f>IFERROR(__xludf.DUMMYFUNCTION("""COMPUTED_VALUE"""),0.0018750005713388963)</f>
        <v>0.001875000571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6"/>
      <c r="W19" s="56"/>
      <c r="X19" s="56"/>
      <c r="Y19" s="56"/>
      <c r="Z19" s="57"/>
      <c r="AA19" s="58"/>
      <c r="AB19" s="59"/>
    </row>
    <row r="20" ht="13.5" customHeight="1">
      <c r="A20" s="60">
        <f>IFERROR(__xludf.DUMMYFUNCTION("""COMPUTED_VALUE"""),19.0)</f>
        <v>19</v>
      </c>
      <c r="B20" s="61" t="str">
        <f>IFERROR(__xludf.DUMMYFUNCTION("""COMPUTED_VALUE"""),"55")</f>
        <v>55</v>
      </c>
      <c r="C20" s="62" t="str">
        <f>IFERROR(__xludf.DUMMYFUNCTION("""COMPUTED_VALUE"""),"TOLOSA")</f>
        <v>TOLOSA</v>
      </c>
      <c r="D20" s="63" t="str">
        <f>IFERROR(__xludf.DUMMYFUNCTION("""COMPUTED_VALUE"""),"CATALINA")</f>
        <v>CATALINA</v>
      </c>
      <c r="E20" s="51" t="str">
        <f>IFERROR(__xludf.DUMMYFUNCTION("""COMPUTED_VALUE"""),"SF2")</f>
        <v>SF2</v>
      </c>
      <c r="F20" s="82">
        <f>IFERROR(__xludf.DUMMYFUNCTION("""COMPUTED_VALUE"""),8.0)</f>
        <v>8</v>
      </c>
      <c r="G20" s="52">
        <f>IFERROR(__xludf.DUMMYFUNCTION("""COMPUTED_VALUE"""),0.025706018930930618)</f>
        <v>0.02570601893</v>
      </c>
      <c r="H20" s="53">
        <f>IFERROR(__xludf.DUMMYFUNCTION("""COMPUTED_VALUE"""),0.005509259300602751)</f>
        <v>0.005509259301</v>
      </c>
      <c r="I20" s="53">
        <f>IFERROR(__xludf.DUMMYFUNCTION("""COMPUTED_VALUE"""),0.009108796300968669)</f>
        <v>0.009108796301</v>
      </c>
      <c r="J20" s="53">
        <f>IFERROR(__xludf.DUMMYFUNCTION("""COMPUTED_VALUE"""),0.009884258623900442)</f>
        <v>0.009884258624</v>
      </c>
      <c r="K20" s="54">
        <f>IFERROR(__xludf.DUMMYFUNCTION("""COMPUTED_VALUE"""),0.0012037047054587564)</f>
        <v>0.001203704705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6"/>
      <c r="W20" s="56"/>
      <c r="X20" s="56"/>
      <c r="Y20" s="56"/>
      <c r="Z20" s="57"/>
      <c r="AA20" s="58"/>
      <c r="AB20" s="59"/>
    </row>
    <row r="21" ht="13.5" customHeight="1">
      <c r="A21" s="60">
        <f>IFERROR(__xludf.DUMMYFUNCTION("""COMPUTED_VALUE"""),20.0)</f>
        <v>20</v>
      </c>
      <c r="B21" s="61" t="str">
        <f>IFERROR(__xludf.DUMMYFUNCTION("""COMPUTED_VALUE"""),"175")</f>
        <v>175</v>
      </c>
      <c r="C21" s="62" t="str">
        <f>IFERROR(__xludf.DUMMYFUNCTION("""COMPUTED_VALUE"""),"JOURDAN")</f>
        <v>JOURDAN</v>
      </c>
      <c r="D21" s="63" t="str">
        <f>IFERROR(__xludf.DUMMYFUNCTION("""COMPUTED_VALUE"""),"ORIANE")</f>
        <v>ORIANE</v>
      </c>
      <c r="E21" s="51" t="str">
        <f>IFERROR(__xludf.DUMMYFUNCTION("""COMPUTED_VALUE"""),"SF2")</f>
        <v>SF2</v>
      </c>
      <c r="F21" s="82">
        <f>IFERROR(__xludf.DUMMYFUNCTION("""COMPUTED_VALUE"""),9.0)</f>
        <v>9</v>
      </c>
      <c r="G21" s="52">
        <f>IFERROR(__xludf.DUMMYFUNCTION("""COMPUTED_VALUE"""),0.02578703750346751)</f>
        <v>0.0257870375</v>
      </c>
      <c r="H21" s="53">
        <f>IFERROR(__xludf.DUMMYFUNCTION("""COMPUTED_VALUE"""),0.005555555642046832)</f>
        <v>0.005555555642</v>
      </c>
      <c r="I21" s="53">
        <f>IFERROR(__xludf.DUMMYFUNCTION("""COMPUTED_VALUE"""),0.008923611205389353)</f>
        <v>0.008923611205</v>
      </c>
      <c r="J21" s="53">
        <f>IFERROR(__xludf.DUMMYFUNCTION("""COMPUTED_VALUE"""),0.010219907367707403)</f>
        <v>0.01021990737</v>
      </c>
      <c r="K21" s="54">
        <f>IFERROR(__xludf.DUMMYFUNCTION("""COMPUTED_VALUE"""),0.001087963288323922)</f>
        <v>0.001087963288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6"/>
      <c r="W21" s="56"/>
      <c r="X21" s="56"/>
      <c r="Y21" s="56"/>
      <c r="Z21" s="57"/>
      <c r="AA21" s="58"/>
      <c r="AB21" s="59"/>
    </row>
    <row r="22" ht="13.5" customHeight="1">
      <c r="A22" s="60">
        <f>IFERROR(__xludf.DUMMYFUNCTION("""COMPUTED_VALUE"""),21.0)</f>
        <v>21</v>
      </c>
      <c r="B22" s="61" t="str">
        <f>IFERROR(__xludf.DUMMYFUNCTION("""COMPUTED_VALUE"""),"70")</f>
        <v>70</v>
      </c>
      <c r="C22" s="62" t="str">
        <f>IFERROR(__xludf.DUMMYFUNCTION("""COMPUTED_VALUE"""),"TISNE")</f>
        <v>TISNE</v>
      </c>
      <c r="D22" s="63" t="str">
        <f>IFERROR(__xludf.DUMMYFUNCTION("""COMPUTED_VALUE"""),"MAUD")</f>
        <v>MAUD</v>
      </c>
      <c r="E22" s="51" t="str">
        <f>IFERROR(__xludf.DUMMYFUNCTION("""COMPUTED_VALUE"""),"SF3")</f>
        <v>SF3</v>
      </c>
      <c r="F22" s="82">
        <f>IFERROR(__xludf.DUMMYFUNCTION("""COMPUTED_VALUE"""),4.0)</f>
        <v>4</v>
      </c>
      <c r="G22" s="52">
        <f>IFERROR(__xludf.DUMMYFUNCTION("""COMPUTED_VALUE"""),0.025891204067823068)</f>
        <v>0.02589120407</v>
      </c>
      <c r="H22" s="53">
        <f>IFERROR(__xludf.DUMMYFUNCTION("""COMPUTED_VALUE"""),0.0050925926964827985)</f>
        <v>0.005092592696</v>
      </c>
      <c r="I22" s="53">
        <f>IFERROR(__xludf.DUMMYFUNCTION("""COMPUTED_VALUE"""),0.009733796355276188)</f>
        <v>0.009733796355</v>
      </c>
      <c r="J22" s="53">
        <f>IFERROR(__xludf.DUMMYFUNCTION("""COMPUTED_VALUE"""),0.009282407061549834)</f>
        <v>0.009282407062</v>
      </c>
      <c r="K22" s="54">
        <f>IFERROR(__xludf.DUMMYFUNCTION("""COMPUTED_VALUE"""),0.001782407954514247)</f>
        <v>0.001782407955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6"/>
      <c r="W22" s="56"/>
      <c r="X22" s="56"/>
      <c r="Y22" s="56"/>
      <c r="Z22" s="57"/>
      <c r="AA22" s="58"/>
      <c r="AB22" s="59"/>
    </row>
    <row r="23" ht="13.5" customHeight="1">
      <c r="A23" s="60">
        <f>IFERROR(__xludf.DUMMYFUNCTION("""COMPUTED_VALUE"""),22.0)</f>
        <v>22</v>
      </c>
      <c r="B23" s="61" t="str">
        <f>IFERROR(__xludf.DUMMYFUNCTION("""COMPUTED_VALUE"""),"167")</f>
        <v>167</v>
      </c>
      <c r="C23" s="62" t="str">
        <f>IFERROR(__xludf.DUMMYFUNCTION("""COMPUTED_VALUE"""),"LOCATELLI")</f>
        <v>LOCATELLI</v>
      </c>
      <c r="D23" s="63" t="str">
        <f>IFERROR(__xludf.DUMMYFUNCTION("""COMPUTED_VALUE"""),"HÉLÈNE")</f>
        <v>HÉLÈNE</v>
      </c>
      <c r="E23" s="51" t="str">
        <f>IFERROR(__xludf.DUMMYFUNCTION("""COMPUTED_VALUE"""),"SF4")</f>
        <v>SF4</v>
      </c>
      <c r="F23" s="82">
        <f>IFERROR(__xludf.DUMMYFUNCTION("""COMPUTED_VALUE"""),4.0)</f>
        <v>4</v>
      </c>
      <c r="G23" s="52">
        <f>IFERROR(__xludf.DUMMYFUNCTION("""COMPUTED_VALUE"""),0.02616898254520943)</f>
        <v>0.02616898255</v>
      </c>
      <c r="H23" s="53">
        <f>IFERROR(__xludf.DUMMYFUNCTION("""COMPUTED_VALUE"""),0.004513888950902383)</f>
        <v>0.004513888951</v>
      </c>
      <c r="I23" s="53">
        <f>IFERROR(__xludf.DUMMYFUNCTION("""COMPUTED_VALUE"""),0.009143518584083053)</f>
        <v>0.009143518584</v>
      </c>
      <c r="J23" s="53">
        <f>IFERROR(__xludf.DUMMYFUNCTION("""COMPUTED_VALUE"""),0.011157407370738016)</f>
        <v>0.01115740737</v>
      </c>
      <c r="K23" s="54">
        <f>IFERROR(__xludf.DUMMYFUNCTION("""COMPUTED_VALUE"""),0.0013541676394859788)</f>
        <v>0.001354167639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6"/>
      <c r="W23" s="56"/>
      <c r="X23" s="56"/>
      <c r="Y23" s="56"/>
      <c r="Z23" s="57"/>
      <c r="AA23" s="58"/>
      <c r="AB23" s="59"/>
    </row>
    <row r="24" ht="13.5" customHeight="1">
      <c r="A24" s="60">
        <f>IFERROR(__xludf.DUMMYFUNCTION("""COMPUTED_VALUE"""),23.0)</f>
        <v>23</v>
      </c>
      <c r="B24" s="61" t="str">
        <f>IFERROR(__xludf.DUMMYFUNCTION("""COMPUTED_VALUE"""),"140")</f>
        <v>140</v>
      </c>
      <c r="C24" s="62" t="str">
        <f>IFERROR(__xludf.DUMMYFUNCTION("""COMPUTED_VALUE"""),"MALET")</f>
        <v>MALET</v>
      </c>
      <c r="D24" s="63" t="str">
        <f>IFERROR(__xludf.DUMMYFUNCTION("""COMPUTED_VALUE"""),"JEANNE")</f>
        <v>JEANNE</v>
      </c>
      <c r="E24" s="51" t="str">
        <f>IFERROR(__xludf.DUMMYFUNCTION("""COMPUTED_VALUE"""),"SF3")</f>
        <v>SF3</v>
      </c>
      <c r="F24" s="82">
        <f>IFERROR(__xludf.DUMMYFUNCTION("""COMPUTED_VALUE"""),5.0)</f>
        <v>5</v>
      </c>
      <c r="G24" s="52">
        <f>IFERROR(__xludf.DUMMYFUNCTION("""COMPUTED_VALUE"""),0.026238426055317253)</f>
        <v>0.02623842606</v>
      </c>
      <c r="H24" s="53">
        <f>IFERROR(__xludf.DUMMYFUNCTION("""COMPUTED_VALUE"""),0.005312500097361468)</f>
        <v>0.005312500097</v>
      </c>
      <c r="I24" s="53">
        <f>IFERROR(__xludf.DUMMYFUNCTION("""COMPUTED_VALUE"""),0.00875000009689379)</f>
        <v>0.008750000097</v>
      </c>
      <c r="J24" s="53">
        <f>IFERROR(__xludf.DUMMYFUNCTION("""COMPUTED_VALUE"""),0.010983795813640826)</f>
        <v>0.01098379581</v>
      </c>
      <c r="K24" s="54">
        <f>IFERROR(__xludf.DUMMYFUNCTION("""COMPUTED_VALUE"""),0.0011921300474211681)</f>
        <v>0.001192130047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6"/>
      <c r="W24" s="56"/>
      <c r="X24" s="56"/>
      <c r="Y24" s="56"/>
      <c r="Z24" s="57"/>
      <c r="AA24" s="58"/>
      <c r="AB24" s="59"/>
    </row>
    <row r="25" ht="13.5" customHeight="1">
      <c r="A25" s="60">
        <f>IFERROR(__xludf.DUMMYFUNCTION("""COMPUTED_VALUE"""),24.0)</f>
        <v>24</v>
      </c>
      <c r="B25" s="61" t="str">
        <f>IFERROR(__xludf.DUMMYFUNCTION("""COMPUTED_VALUE"""),"77")</f>
        <v>77</v>
      </c>
      <c r="C25" s="62" t="str">
        <f>IFERROR(__xludf.DUMMYFUNCTION("""COMPUTED_VALUE"""),"BOUDOT")</f>
        <v>BOUDOT</v>
      </c>
      <c r="D25" s="63" t="str">
        <f>IFERROR(__xludf.DUMMYFUNCTION("""COMPUTED_VALUE"""),"SOLÈNE")</f>
        <v>SOLÈNE</v>
      </c>
      <c r="E25" s="51" t="str">
        <f>IFERROR(__xludf.DUMMYFUNCTION("""COMPUTED_VALUE"""),"SF3")</f>
        <v>SF3</v>
      </c>
      <c r="F25" s="82">
        <f>IFERROR(__xludf.DUMMYFUNCTION("""COMPUTED_VALUE"""),6.0)</f>
        <v>6</v>
      </c>
      <c r="G25" s="52">
        <f>IFERROR(__xludf.DUMMYFUNCTION("""COMPUTED_VALUE"""),0.026655093162815818)</f>
        <v>0.02665509316</v>
      </c>
      <c r="H25" s="53">
        <f>IFERROR(__xludf.DUMMYFUNCTION("""COMPUTED_VALUE"""),0.004537037139844276)</f>
        <v>0.00453703714</v>
      </c>
      <c r="I25" s="53">
        <f>IFERROR(__xludf.DUMMYFUNCTION("""COMPUTED_VALUE"""),0.009155092642967926)</f>
        <v>0.009155092643</v>
      </c>
      <c r="J25" s="53">
        <f>IFERROR(__xludf.DUMMYFUNCTION("""COMPUTED_VALUE"""),0.011747685461638098)</f>
        <v>0.01174768546</v>
      </c>
      <c r="K25" s="54">
        <f>IFERROR(__xludf.DUMMYFUNCTION("""COMPUTED_VALUE"""),0.001215277918365518)</f>
        <v>0.001215277918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6"/>
      <c r="W25" s="56"/>
      <c r="X25" s="56"/>
      <c r="Y25" s="56"/>
      <c r="Z25" s="57"/>
      <c r="AA25" s="58"/>
      <c r="AB25" s="59"/>
    </row>
    <row r="26" ht="13.5" customHeight="1">
      <c r="A26" s="60">
        <f>IFERROR(__xludf.DUMMYFUNCTION("""COMPUTED_VALUE"""),25.0)</f>
        <v>25</v>
      </c>
      <c r="B26" s="61" t="str">
        <f>IFERROR(__xludf.DUMMYFUNCTION("""COMPUTED_VALUE"""),"67")</f>
        <v>67</v>
      </c>
      <c r="C26" s="62" t="str">
        <f>IFERROR(__xludf.DUMMYFUNCTION("""COMPUTED_VALUE"""),"BALOT")</f>
        <v>BALOT</v>
      </c>
      <c r="D26" s="63" t="str">
        <f>IFERROR(__xludf.DUMMYFUNCTION("""COMPUTED_VALUE"""),"SARAH")</f>
        <v>SARAH</v>
      </c>
      <c r="E26" s="51" t="str">
        <f>IFERROR(__xludf.DUMMYFUNCTION("""COMPUTED_VALUE"""),"SF2")</f>
        <v>SF2</v>
      </c>
      <c r="F26" s="82">
        <f>IFERROR(__xludf.DUMMYFUNCTION("""COMPUTED_VALUE"""),10.0)</f>
        <v>10</v>
      </c>
      <c r="G26" s="52">
        <f>IFERROR(__xludf.DUMMYFUNCTION("""COMPUTED_VALUE"""),0.02679398240285868)</f>
        <v>0.0267939824</v>
      </c>
      <c r="H26" s="53">
        <f>IFERROR(__xludf.DUMMYFUNCTION("""COMPUTED_VALUE"""),0.005497685187225778)</f>
        <v>0.005497685187</v>
      </c>
      <c r="I26" s="53">
        <f>IFERROR(__xludf.DUMMYFUNCTION("""COMPUTED_VALUE"""),0.009224537133720285)</f>
        <v>0.009224537134</v>
      </c>
      <c r="J26" s="53">
        <f>IFERROR(__xludf.DUMMYFUNCTION("""COMPUTED_VALUE"""),0.010682870692332168)</f>
        <v>0.01068287069</v>
      </c>
      <c r="K26" s="54">
        <f>IFERROR(__xludf.DUMMYFUNCTION("""COMPUTED_VALUE"""),0.0013888893895804512)</f>
        <v>0.00138888939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6"/>
      <c r="W26" s="56"/>
      <c r="X26" s="56"/>
      <c r="Y26" s="56"/>
      <c r="Z26" s="57"/>
      <c r="AA26" s="58"/>
      <c r="AB26" s="59"/>
    </row>
    <row r="27" ht="13.5" customHeight="1">
      <c r="A27" s="60">
        <f>IFERROR(__xludf.DUMMYFUNCTION("""COMPUTED_VALUE"""),26.0)</f>
        <v>26</v>
      </c>
      <c r="B27" s="61" t="str">
        <f>IFERROR(__xludf.DUMMYFUNCTION("""COMPUTED_VALUE"""),"113")</f>
        <v>113</v>
      </c>
      <c r="C27" s="62" t="str">
        <f>IFERROR(__xludf.DUMMYFUNCTION("""COMPUTED_VALUE"""),"MARCHETTI")</f>
        <v>MARCHETTI</v>
      </c>
      <c r="D27" s="63" t="str">
        <f>IFERROR(__xludf.DUMMYFUNCTION("""COMPUTED_VALUE"""),"CAMILLE")</f>
        <v>CAMILLE</v>
      </c>
      <c r="E27" s="51" t="str">
        <f>IFERROR(__xludf.DUMMYFUNCTION("""COMPUTED_VALUE"""),"SF2")</f>
        <v>SF2</v>
      </c>
      <c r="F27" s="82">
        <f>IFERROR(__xludf.DUMMYFUNCTION("""COMPUTED_VALUE"""),11.0)</f>
        <v>11</v>
      </c>
      <c r="G27" s="52">
        <f>IFERROR(__xludf.DUMMYFUNCTION("""COMPUTED_VALUE"""),0.027268519380520145)</f>
        <v>0.02726851938</v>
      </c>
      <c r="H27" s="53">
        <f>IFERROR(__xludf.DUMMYFUNCTION("""COMPUTED_VALUE"""),0.0054050926678055776)</f>
        <v>0.005405092668</v>
      </c>
      <c r="I27" s="53">
        <f>IFERROR(__xludf.DUMMYFUNCTION("""COMPUTED_VALUE"""),0.008379629643611521)</f>
        <v>0.008379629644</v>
      </c>
      <c r="J27" s="53">
        <f>IFERROR(__xludf.DUMMYFUNCTION("""COMPUTED_VALUE"""),0.01230324047713252)</f>
        <v>0.01230324048</v>
      </c>
      <c r="K27" s="54">
        <f>IFERROR(__xludf.DUMMYFUNCTION("""COMPUTED_VALUE"""),0.0011805565919705266)</f>
        <v>0.001180556592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6"/>
      <c r="W27" s="56"/>
      <c r="X27" s="56"/>
      <c r="Y27" s="56"/>
      <c r="Z27" s="57"/>
      <c r="AA27" s="58"/>
      <c r="AB27" s="59"/>
    </row>
    <row r="28" ht="13.5" customHeight="1">
      <c r="A28" s="60">
        <f>IFERROR(__xludf.DUMMYFUNCTION("""COMPUTED_VALUE"""),27.0)</f>
        <v>27</v>
      </c>
      <c r="B28" s="61" t="str">
        <f>IFERROR(__xludf.DUMMYFUNCTION("""COMPUTED_VALUE"""),"128")</f>
        <v>128</v>
      </c>
      <c r="C28" s="62" t="str">
        <f>IFERROR(__xludf.DUMMYFUNCTION("""COMPUTED_VALUE"""),"MERLEAU")</f>
        <v>MERLEAU</v>
      </c>
      <c r="D28" s="63" t="str">
        <f>IFERROR(__xludf.DUMMYFUNCTION("""COMPUTED_VALUE"""),"AUDREY")</f>
        <v>AUDREY</v>
      </c>
      <c r="E28" s="51" t="str">
        <f>IFERROR(__xludf.DUMMYFUNCTION("""COMPUTED_VALUE"""),"SF3")</f>
        <v>SF3</v>
      </c>
      <c r="F28" s="82">
        <f>IFERROR(__xludf.DUMMYFUNCTION("""COMPUTED_VALUE"""),7.0)</f>
        <v>7</v>
      </c>
      <c r="G28" s="52">
        <f>IFERROR(__xludf.DUMMYFUNCTION("""COMPUTED_VALUE"""),0.02754629722857321)</f>
        <v>0.02754629723</v>
      </c>
      <c r="H28" s="53">
        <f>IFERROR(__xludf.DUMMYFUNCTION("""COMPUTED_VALUE"""),0.004953703743309753)</f>
        <v>0.004953703743</v>
      </c>
      <c r="I28" s="53">
        <f>IFERROR(__xludf.DUMMYFUNCTION("""COMPUTED_VALUE"""),0.011134259330340778)</f>
        <v>0.01113425933</v>
      </c>
      <c r="J28" s="53">
        <f>IFERROR(__xludf.DUMMYFUNCTION("""COMPUTED_VALUE"""),0.010856481388134335)</f>
        <v>0.01085648139</v>
      </c>
      <c r="K28" s="54">
        <f>IFERROR(__xludf.DUMMYFUNCTION("""COMPUTED_VALUE"""),6.018527667883437E-4)</f>
        <v>0.0006018527668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6"/>
      <c r="W28" s="56"/>
      <c r="X28" s="56"/>
      <c r="Y28" s="56"/>
      <c r="Z28" s="57"/>
      <c r="AA28" s="58"/>
      <c r="AB28" s="59"/>
    </row>
    <row r="29" ht="13.5" customHeight="1">
      <c r="A29" s="60">
        <f>IFERROR(__xludf.DUMMYFUNCTION("""COMPUTED_VALUE"""),28.0)</f>
        <v>28</v>
      </c>
      <c r="B29" s="61" t="str">
        <f>IFERROR(__xludf.DUMMYFUNCTION("""COMPUTED_VALUE"""),"111")</f>
        <v>111</v>
      </c>
      <c r="C29" s="62" t="str">
        <f>IFERROR(__xludf.DUMMYFUNCTION("""COMPUTED_VALUE"""),"DASSÉ")</f>
        <v>DASSÉ</v>
      </c>
      <c r="D29" s="63" t="str">
        <f>IFERROR(__xludf.DUMMYFUNCTION("""COMPUTED_VALUE"""),"LOUISE")</f>
        <v>LOUISE</v>
      </c>
      <c r="E29" s="51" t="str">
        <f>IFERROR(__xludf.DUMMYFUNCTION("""COMPUTED_VALUE"""),"SF2")</f>
        <v>SF2</v>
      </c>
      <c r="F29" s="82">
        <f>IFERROR(__xludf.DUMMYFUNCTION("""COMPUTED_VALUE"""),12.0)</f>
        <v>12</v>
      </c>
      <c r="G29" s="52">
        <f>IFERROR(__xludf.DUMMYFUNCTION("""COMPUTED_VALUE"""),0.02778935212552516)</f>
        <v>0.02778935213</v>
      </c>
      <c r="H29" s="53">
        <f>IFERROR(__xludf.DUMMYFUNCTION("""COMPUTED_VALUE"""),0.004513888953868142)</f>
        <v>0.004513888954</v>
      </c>
      <c r="I29" s="53">
        <f>IFERROR(__xludf.DUMMYFUNCTION("""COMPUTED_VALUE"""),0.009745370444781321)</f>
        <v>0.009745370445</v>
      </c>
      <c r="J29" s="53">
        <f>IFERROR(__xludf.DUMMYFUNCTION("""COMPUTED_VALUE"""),0.012094906842255716)</f>
        <v>0.01209490684</v>
      </c>
      <c r="K29" s="54">
        <f>IFERROR(__xludf.DUMMYFUNCTION("""COMPUTED_VALUE"""),0.0014351858846199808)</f>
        <v>0.001435185885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6"/>
      <c r="W29" s="56"/>
      <c r="X29" s="56"/>
      <c r="Y29" s="56"/>
      <c r="Z29" s="57"/>
      <c r="AA29" s="58"/>
      <c r="AB29" s="59"/>
    </row>
    <row r="30" ht="13.5" customHeight="1">
      <c r="A30" s="60">
        <f>IFERROR(__xludf.DUMMYFUNCTION("""COMPUTED_VALUE"""),29.0)</f>
        <v>29</v>
      </c>
      <c r="B30" s="61" t="str">
        <f>IFERROR(__xludf.DUMMYFUNCTION("""COMPUTED_VALUE"""),"166")</f>
        <v>166</v>
      </c>
      <c r="C30" s="62" t="str">
        <f>IFERROR(__xludf.DUMMYFUNCTION("""COMPUTED_VALUE"""),"BOUCHÉ")</f>
        <v>BOUCHÉ</v>
      </c>
      <c r="D30" s="63" t="str">
        <f>IFERROR(__xludf.DUMMYFUNCTION("""COMPUTED_VALUE"""),"AMÉLIE")</f>
        <v>AMÉLIE</v>
      </c>
      <c r="E30" s="51" t="str">
        <f>IFERROR(__xludf.DUMMYFUNCTION("""COMPUTED_VALUE"""),"SF3")</f>
        <v>SF3</v>
      </c>
      <c r="F30" s="82">
        <f>IFERROR(__xludf.DUMMYFUNCTION("""COMPUTED_VALUE"""),8.0)</f>
        <v>8</v>
      </c>
      <c r="G30" s="52">
        <f>IFERROR(__xludf.DUMMYFUNCTION("""COMPUTED_VALUE"""),0.028078703985006108)</f>
        <v>0.02807870399</v>
      </c>
      <c r="H30" s="53">
        <f>IFERROR(__xludf.DUMMYFUNCTION("""COMPUTED_VALUE"""),0.005162037151066553)</f>
        <v>0.005162037151</v>
      </c>
      <c r="I30" s="53">
        <f>IFERROR(__xludf.DUMMYFUNCTION("""COMPUTED_VALUE"""),0.009305555578500489)</f>
        <v>0.009305555579</v>
      </c>
      <c r="J30" s="53">
        <f>IFERROR(__xludf.DUMMYFUNCTION("""COMPUTED_VALUE"""),0.01247685141042386)</f>
        <v>0.01247685141</v>
      </c>
      <c r="K30" s="54">
        <f>IFERROR(__xludf.DUMMYFUNCTION("""COMPUTED_VALUE"""),0.0011342598450152057)</f>
        <v>0.001134259845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6"/>
      <c r="W30" s="56"/>
      <c r="X30" s="56"/>
      <c r="Y30" s="56"/>
      <c r="Z30" s="57"/>
      <c r="AA30" s="58"/>
      <c r="AB30" s="59"/>
    </row>
    <row r="31" ht="13.5" customHeight="1">
      <c r="A31" s="60">
        <f>IFERROR(__xludf.DUMMYFUNCTION("""COMPUTED_VALUE"""),30.0)</f>
        <v>30</v>
      </c>
      <c r="B31" s="61" t="str">
        <f>IFERROR(__xludf.DUMMYFUNCTION("""COMPUTED_VALUE"""),"98")</f>
        <v>98</v>
      </c>
      <c r="C31" s="62" t="str">
        <f>IFERROR(__xludf.DUMMYFUNCTION("""COMPUTED_VALUE"""),"DEJEAN")</f>
        <v>DEJEAN</v>
      </c>
      <c r="D31" s="63" t="str">
        <f>IFERROR(__xludf.DUMMYFUNCTION("""COMPUTED_VALUE"""),"LEA")</f>
        <v>LEA</v>
      </c>
      <c r="E31" s="51" t="str">
        <f>IFERROR(__xludf.DUMMYFUNCTION("""COMPUTED_VALUE"""),"SF2")</f>
        <v>SF2</v>
      </c>
      <c r="F31" s="82">
        <f>IFERROR(__xludf.DUMMYFUNCTION("""COMPUTED_VALUE"""),13.0)</f>
        <v>13</v>
      </c>
      <c r="G31" s="52">
        <f>IFERROR(__xludf.DUMMYFUNCTION("""COMPUTED_VALUE"""),0.028263889648335146)</f>
        <v>0.02826388965</v>
      </c>
      <c r="H31" s="53">
        <f>IFERROR(__xludf.DUMMYFUNCTION("""COMPUTED_VALUE"""),0.0040972222461836405)</f>
        <v>0.004097222246</v>
      </c>
      <c r="I31" s="53">
        <f>IFERROR(__xludf.DUMMYFUNCTION("""COMPUTED_VALUE"""),0.009583333408838138)</f>
        <v>0.009583333409</v>
      </c>
      <c r="J31" s="53">
        <f>IFERROR(__xludf.DUMMYFUNCTION("""COMPUTED_VALUE"""),0.013113426366333218)</f>
        <v>0.01311342637</v>
      </c>
      <c r="K31" s="54">
        <f>IFERROR(__xludf.DUMMYFUNCTION("""COMPUTED_VALUE"""),0.0014699076269801496)</f>
        <v>0.001469907627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6"/>
      <c r="W31" s="56"/>
      <c r="X31" s="56"/>
      <c r="Y31" s="56"/>
      <c r="Z31" s="57"/>
      <c r="AA31" s="58"/>
      <c r="AB31" s="59"/>
    </row>
    <row r="32" ht="13.5" customHeight="1">
      <c r="A32" s="60">
        <f>IFERROR(__xludf.DUMMYFUNCTION("""COMPUTED_VALUE"""),31.0)</f>
        <v>31</v>
      </c>
      <c r="B32" s="61" t="str">
        <f>IFERROR(__xludf.DUMMYFUNCTION("""COMPUTED_VALUE"""),"199")</f>
        <v>199</v>
      </c>
      <c r="C32" s="62" t="str">
        <f>IFERROR(__xludf.DUMMYFUNCTION("""COMPUTED_VALUE"""),"LE HUËROU")</f>
        <v>LE HUËROU</v>
      </c>
      <c r="D32" s="63" t="str">
        <f>IFERROR(__xludf.DUMMYFUNCTION("""COMPUTED_VALUE"""),"MORGANE")</f>
        <v>MORGANE</v>
      </c>
      <c r="E32" s="51" t="str">
        <f>IFERROR(__xludf.DUMMYFUNCTION("""COMPUTED_VALUE"""),"SF3")</f>
        <v>SF3</v>
      </c>
      <c r="F32" s="82">
        <f>IFERROR(__xludf.DUMMYFUNCTION("""COMPUTED_VALUE"""),9.0)</f>
        <v>9</v>
      </c>
      <c r="G32" s="52">
        <f>IFERROR(__xludf.DUMMYFUNCTION("""COMPUTED_VALUE"""),0.02834490850448618)</f>
        <v>0.0283449085</v>
      </c>
      <c r="H32" s="53">
        <f>IFERROR(__xludf.DUMMYFUNCTION("""COMPUTED_VALUE"""),0.004085648222507913)</f>
        <v>0.004085648223</v>
      </c>
      <c r="I32" s="53">
        <f>IFERROR(__xludf.DUMMYFUNCTION("""COMPUTED_VALUE"""),0.01065972233441587)</f>
        <v>0.01065972233</v>
      </c>
      <c r="J32" s="53">
        <f>IFERROR(__xludf.DUMMYFUNCTION("""COMPUTED_VALUE"""),0.012256945260675233)</f>
        <v>0.01225694526</v>
      </c>
      <c r="K32" s="54">
        <f>IFERROR(__xludf.DUMMYFUNCTION("""COMPUTED_VALUE"""),0.0013425926868871644)</f>
        <v>0.001342592687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6"/>
      <c r="W32" s="56"/>
      <c r="X32" s="56"/>
      <c r="Y32" s="56"/>
      <c r="Z32" s="57"/>
      <c r="AA32" s="58"/>
      <c r="AB32" s="59"/>
    </row>
    <row r="33" ht="13.5" customHeight="1">
      <c r="A33" s="60">
        <f>IFERROR(__xludf.DUMMYFUNCTION("""COMPUTED_VALUE"""),32.0)</f>
        <v>32</v>
      </c>
      <c r="B33" s="61" t="str">
        <f>IFERROR(__xludf.DUMMYFUNCTION("""COMPUTED_VALUE"""),"172")</f>
        <v>172</v>
      </c>
      <c r="C33" s="62" t="str">
        <f>IFERROR(__xludf.DUMMYFUNCTION("""COMPUTED_VALUE"""),"LE POËZELLER")</f>
        <v>LE POËZELLER</v>
      </c>
      <c r="D33" s="63" t="str">
        <f>IFERROR(__xludf.DUMMYFUNCTION("""COMPUTED_VALUE"""),"DIANE")</f>
        <v>DIANE</v>
      </c>
      <c r="E33" s="51" t="str">
        <f>IFERROR(__xludf.DUMMYFUNCTION("""COMPUTED_VALUE"""),"SF1")</f>
        <v>SF1</v>
      </c>
      <c r="F33" s="82">
        <f>IFERROR(__xludf.DUMMYFUNCTION("""COMPUTED_VALUE"""),6.0)</f>
        <v>6</v>
      </c>
      <c r="G33" s="52">
        <f>IFERROR(__xludf.DUMMYFUNCTION("""COMPUTED_VALUE"""),0.028368056671543605)</f>
        <v>0.02836805667</v>
      </c>
      <c r="H33" s="53">
        <f>IFERROR(__xludf.DUMMYFUNCTION("""COMPUTED_VALUE"""),0.005694444486177794)</f>
        <v>0.005694444486</v>
      </c>
      <c r="I33" s="53">
        <f>IFERROR(__xludf.DUMMYFUNCTION("""COMPUTED_VALUE"""),0.009131944458597139)</f>
        <v>0.009131944459</v>
      </c>
      <c r="J33" s="53">
        <f>IFERROR(__xludf.DUMMYFUNCTION("""COMPUTED_VALUE"""),0.011157407443914896)</f>
        <v>0.01115740744</v>
      </c>
      <c r="K33" s="54">
        <f>IFERROR(__xludf.DUMMYFUNCTION("""COMPUTED_VALUE"""),0.002384260282853776)</f>
        <v>0.002384260283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  <c r="W33" s="56"/>
      <c r="X33" s="56"/>
      <c r="Y33" s="56"/>
      <c r="Z33" s="57"/>
      <c r="AA33" s="58"/>
      <c r="AB33" s="59"/>
    </row>
    <row r="34" ht="13.5" customHeight="1">
      <c r="A34" s="60">
        <f>IFERROR(__xludf.DUMMYFUNCTION("""COMPUTED_VALUE"""),33.0)</f>
        <v>33</v>
      </c>
      <c r="B34" s="61" t="str">
        <f>IFERROR(__xludf.DUMMYFUNCTION("""COMPUTED_VALUE"""),"152")</f>
        <v>152</v>
      </c>
      <c r="C34" s="62" t="str">
        <f>IFERROR(__xludf.DUMMYFUNCTION("""COMPUTED_VALUE"""),"PETIT")</f>
        <v>PETIT</v>
      </c>
      <c r="D34" s="63" t="str">
        <f>IFERROR(__xludf.DUMMYFUNCTION("""COMPUTED_VALUE"""),"LAURENE")</f>
        <v>LAURENE</v>
      </c>
      <c r="E34" s="51" t="str">
        <f>IFERROR(__xludf.DUMMYFUNCTION("""COMPUTED_VALUE"""),"SF2")</f>
        <v>SF2</v>
      </c>
      <c r="F34" s="82">
        <f>IFERROR(__xludf.DUMMYFUNCTION("""COMPUTED_VALUE"""),14.0)</f>
        <v>14</v>
      </c>
      <c r="G34" s="52">
        <f>IFERROR(__xludf.DUMMYFUNCTION("""COMPUTED_VALUE"""),0.029849537493109767)</f>
        <v>0.02984953749</v>
      </c>
      <c r="H34" s="53">
        <f>IFERROR(__xludf.DUMMYFUNCTION("""COMPUTED_VALUE"""),0.005486111169445932)</f>
        <v>0.005486111169</v>
      </c>
      <c r="I34" s="53">
        <f>IFERROR(__xludf.DUMMYFUNCTION("""COMPUTED_VALUE"""),0.01023148149054275)</f>
        <v>0.01023148149</v>
      </c>
      <c r="J34" s="53">
        <f>IFERROR(__xludf.DUMMYFUNCTION("""COMPUTED_VALUE"""),0.012870370738249034)</f>
        <v>0.01287037074</v>
      </c>
      <c r="K34" s="54">
        <f>IFERROR(__xludf.DUMMYFUNCTION("""COMPUTED_VALUE"""),0.0012615740948720517)</f>
        <v>0.001261574095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56"/>
      <c r="X34" s="56"/>
      <c r="Y34" s="56"/>
      <c r="Z34" s="57"/>
      <c r="AA34" s="58"/>
      <c r="AB34" s="59"/>
    </row>
    <row r="35" ht="13.5" customHeight="1">
      <c r="A35" s="60">
        <f>IFERROR(__xludf.DUMMYFUNCTION("""COMPUTED_VALUE"""),34.0)</f>
        <v>34</v>
      </c>
      <c r="B35" s="61" t="str">
        <f>IFERROR(__xludf.DUMMYFUNCTION("""COMPUTED_VALUE"""),"142")</f>
        <v>142</v>
      </c>
      <c r="C35" s="62" t="str">
        <f>IFERROR(__xludf.DUMMYFUNCTION("""COMPUTED_VALUE"""),"RAMADAN-ALBAN")</f>
        <v>RAMADAN-ALBAN</v>
      </c>
      <c r="D35" s="63" t="str">
        <f>IFERROR(__xludf.DUMMYFUNCTION("""COMPUTED_VALUE"""),"WENDY")</f>
        <v>WENDY</v>
      </c>
      <c r="E35" s="51" t="str">
        <f>IFERROR(__xludf.DUMMYFUNCTION("""COMPUTED_VALUE"""),"SF4")</f>
        <v>SF4</v>
      </c>
      <c r="F35" s="82">
        <f>IFERROR(__xludf.DUMMYFUNCTION("""COMPUTED_VALUE"""),5.0)</f>
        <v>5</v>
      </c>
      <c r="G35" s="52">
        <f>IFERROR(__xludf.DUMMYFUNCTION("""COMPUTED_VALUE"""),0.03067129689823295)</f>
        <v>0.0306712969</v>
      </c>
      <c r="H35" s="53">
        <f>IFERROR(__xludf.DUMMYFUNCTION("""COMPUTED_VALUE"""),0.0060995371156182965)</f>
        <v>0.006099537116</v>
      </c>
      <c r="I35" s="53">
        <f>IFERROR(__xludf.DUMMYFUNCTION("""COMPUTED_VALUE"""),0.010358796381237951)</f>
        <v>0.01035879638</v>
      </c>
      <c r="J35" s="53">
        <f>IFERROR(__xludf.DUMMYFUNCTION("""COMPUTED_VALUE"""),0.012326389217753711)</f>
        <v>0.01232638922</v>
      </c>
      <c r="K35" s="54">
        <f>IFERROR(__xludf.DUMMYFUNCTION("""COMPUTED_VALUE"""),0.001886574183622992)</f>
        <v>0.001886574184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6"/>
      <c r="W35" s="56"/>
      <c r="X35" s="56"/>
      <c r="Y35" s="56"/>
      <c r="Z35" s="57"/>
      <c r="AA35" s="58"/>
      <c r="AB35" s="59"/>
    </row>
    <row r="36" ht="13.5" customHeight="1">
      <c r="A36" s="60" t="str">
        <f>IFERROR(__xludf.DUMMYFUNCTION("""COMPUTED_VALUE"""),"")</f>
        <v/>
      </c>
      <c r="B36" s="61" t="str">
        <f>IFERROR(__xludf.DUMMYFUNCTION("""COMPUTED_VALUE"""),"")</f>
        <v/>
      </c>
      <c r="C36" s="63" t="str">
        <f>IFERROR(__xludf.DUMMYFUNCTION("""COMPUTED_VALUE"""),"")</f>
        <v/>
      </c>
      <c r="D36" s="63" t="str">
        <f>IFERROR(__xludf.DUMMYFUNCTION("""COMPUTED_VALUE"""),"")</f>
        <v/>
      </c>
      <c r="E36" s="51" t="str">
        <f>IFERROR(__xludf.DUMMYFUNCTION("""COMPUTED_VALUE"""),"")</f>
        <v/>
      </c>
      <c r="F36" s="82" t="str">
        <f>IFERROR(__xludf.DUMMYFUNCTION("""COMPUTED_VALUE"""),"")</f>
        <v/>
      </c>
      <c r="G36" s="52" t="str">
        <f>IFERROR(__xludf.DUMMYFUNCTION("""COMPUTED_VALUE"""),"")</f>
        <v/>
      </c>
      <c r="H36" s="53" t="str">
        <f>IFERROR(__xludf.DUMMYFUNCTION("""COMPUTED_VALUE"""),"")</f>
        <v/>
      </c>
      <c r="I36" s="53" t="str">
        <f>IFERROR(__xludf.DUMMYFUNCTION("""COMPUTED_VALUE"""),"")</f>
        <v/>
      </c>
      <c r="J36" s="53" t="str">
        <f>IFERROR(__xludf.DUMMYFUNCTION("""COMPUTED_VALUE"""),"")</f>
        <v/>
      </c>
      <c r="K36" s="54" t="str">
        <f>IFERROR(__xludf.DUMMYFUNCTION("""COMPUTED_VALUE"""),"")</f>
        <v/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6"/>
      <c r="W36" s="56"/>
      <c r="X36" s="56"/>
      <c r="Y36" s="56"/>
      <c r="Z36" s="57"/>
      <c r="AA36" s="58"/>
      <c r="AB36" s="59"/>
    </row>
    <row r="37" ht="13.5" customHeight="1">
      <c r="A37" s="60" t="str">
        <f>IFERROR(__xludf.DUMMYFUNCTION("""COMPUTED_VALUE"""),"")</f>
        <v/>
      </c>
      <c r="B37" s="61" t="str">
        <f>IFERROR(__xludf.DUMMYFUNCTION("""COMPUTED_VALUE"""),"")</f>
        <v/>
      </c>
      <c r="C37" s="63" t="str">
        <f>IFERROR(__xludf.DUMMYFUNCTION("""COMPUTED_VALUE"""),"")</f>
        <v/>
      </c>
      <c r="D37" s="63" t="str">
        <f>IFERROR(__xludf.DUMMYFUNCTION("""COMPUTED_VALUE"""),"")</f>
        <v/>
      </c>
      <c r="E37" s="51" t="str">
        <f>IFERROR(__xludf.DUMMYFUNCTION("""COMPUTED_VALUE"""),"")</f>
        <v/>
      </c>
      <c r="F37" s="82" t="str">
        <f>IFERROR(__xludf.DUMMYFUNCTION("""COMPUTED_VALUE"""),"")</f>
        <v/>
      </c>
      <c r="G37" s="52" t="str">
        <f>IFERROR(__xludf.DUMMYFUNCTION("""COMPUTED_VALUE"""),"")</f>
        <v/>
      </c>
      <c r="H37" s="53" t="str">
        <f>IFERROR(__xludf.DUMMYFUNCTION("""COMPUTED_VALUE"""),"")</f>
        <v/>
      </c>
      <c r="I37" s="53" t="str">
        <f>IFERROR(__xludf.DUMMYFUNCTION("""COMPUTED_VALUE"""),"")</f>
        <v/>
      </c>
      <c r="J37" s="53" t="str">
        <f>IFERROR(__xludf.DUMMYFUNCTION("""COMPUTED_VALUE"""),"")</f>
        <v/>
      </c>
      <c r="K37" s="54" t="str">
        <f>IFERROR(__xludf.DUMMYFUNCTION("""COMPUTED_VALUE"""),"")</f>
        <v/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6"/>
      <c r="W37" s="56"/>
      <c r="X37" s="56"/>
      <c r="Y37" s="56"/>
      <c r="Z37" s="57"/>
      <c r="AA37" s="58"/>
      <c r="AB37" s="59"/>
    </row>
    <row r="38" ht="13.5" customHeight="1">
      <c r="A38" s="60" t="str">
        <f>IFERROR(__xludf.DUMMYFUNCTION("""COMPUTED_VALUE"""),"")</f>
        <v/>
      </c>
      <c r="B38" s="61" t="str">
        <f>IFERROR(__xludf.DUMMYFUNCTION("""COMPUTED_VALUE"""),"")</f>
        <v/>
      </c>
      <c r="C38" s="63" t="str">
        <f>IFERROR(__xludf.DUMMYFUNCTION("""COMPUTED_VALUE"""),"")</f>
        <v/>
      </c>
      <c r="D38" s="63" t="str">
        <f>IFERROR(__xludf.DUMMYFUNCTION("""COMPUTED_VALUE"""),"")</f>
        <v/>
      </c>
      <c r="E38" s="51" t="str">
        <f>IFERROR(__xludf.DUMMYFUNCTION("""COMPUTED_VALUE"""),"")</f>
        <v/>
      </c>
      <c r="F38" s="82" t="str">
        <f>IFERROR(__xludf.DUMMYFUNCTION("""COMPUTED_VALUE"""),"")</f>
        <v/>
      </c>
      <c r="G38" s="52" t="str">
        <f>IFERROR(__xludf.DUMMYFUNCTION("""COMPUTED_VALUE"""),"")</f>
        <v/>
      </c>
      <c r="H38" s="53" t="str">
        <f>IFERROR(__xludf.DUMMYFUNCTION("""COMPUTED_VALUE"""),"")</f>
        <v/>
      </c>
      <c r="I38" s="53" t="str">
        <f>IFERROR(__xludf.DUMMYFUNCTION("""COMPUTED_VALUE"""),"")</f>
        <v/>
      </c>
      <c r="J38" s="53" t="str">
        <f>IFERROR(__xludf.DUMMYFUNCTION("""COMPUTED_VALUE"""),"")</f>
        <v/>
      </c>
      <c r="K38" s="54" t="str">
        <f>IFERROR(__xludf.DUMMYFUNCTION("""COMPUTED_VALUE"""),"")</f>
        <v/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6"/>
      <c r="W38" s="56"/>
      <c r="X38" s="56"/>
      <c r="Y38" s="56"/>
      <c r="Z38" s="57"/>
      <c r="AA38" s="58"/>
      <c r="AB38" s="59"/>
    </row>
    <row r="39" ht="13.5" customHeight="1">
      <c r="A39" s="60" t="str">
        <f>IFERROR(__xludf.DUMMYFUNCTION("""COMPUTED_VALUE"""),"")</f>
        <v/>
      </c>
      <c r="B39" s="61" t="str">
        <f>IFERROR(__xludf.DUMMYFUNCTION("""COMPUTED_VALUE"""),"")</f>
        <v/>
      </c>
      <c r="C39" s="63" t="str">
        <f>IFERROR(__xludf.DUMMYFUNCTION("""COMPUTED_VALUE"""),"")</f>
        <v/>
      </c>
      <c r="D39" s="63" t="str">
        <f>IFERROR(__xludf.DUMMYFUNCTION("""COMPUTED_VALUE"""),"")</f>
        <v/>
      </c>
      <c r="E39" s="51" t="str">
        <f>IFERROR(__xludf.DUMMYFUNCTION("""COMPUTED_VALUE"""),"")</f>
        <v/>
      </c>
      <c r="F39" s="82" t="str">
        <f>IFERROR(__xludf.DUMMYFUNCTION("""COMPUTED_VALUE"""),"")</f>
        <v/>
      </c>
      <c r="G39" s="52" t="str">
        <f>IFERROR(__xludf.DUMMYFUNCTION("""COMPUTED_VALUE"""),"")</f>
        <v/>
      </c>
      <c r="H39" s="53" t="str">
        <f>IFERROR(__xludf.DUMMYFUNCTION("""COMPUTED_VALUE"""),"")</f>
        <v/>
      </c>
      <c r="I39" s="53" t="str">
        <f>IFERROR(__xludf.DUMMYFUNCTION("""COMPUTED_VALUE"""),"")</f>
        <v/>
      </c>
      <c r="J39" s="53" t="str">
        <f>IFERROR(__xludf.DUMMYFUNCTION("""COMPUTED_VALUE"""),"")</f>
        <v/>
      </c>
      <c r="K39" s="54" t="str">
        <f>IFERROR(__xludf.DUMMYFUNCTION("""COMPUTED_VALUE"""),"")</f>
        <v/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6"/>
      <c r="W39" s="56"/>
      <c r="X39" s="56"/>
      <c r="Y39" s="56"/>
      <c r="Z39" s="57"/>
      <c r="AA39" s="58"/>
      <c r="AB39" s="59"/>
    </row>
    <row r="40" ht="13.5" customHeight="1">
      <c r="A40" s="60" t="str">
        <f>IFERROR(__xludf.DUMMYFUNCTION("""COMPUTED_VALUE"""),"")</f>
        <v/>
      </c>
      <c r="B40" s="61" t="str">
        <f>IFERROR(__xludf.DUMMYFUNCTION("""COMPUTED_VALUE"""),"")</f>
        <v/>
      </c>
      <c r="C40" s="63" t="str">
        <f>IFERROR(__xludf.DUMMYFUNCTION("""COMPUTED_VALUE"""),"")</f>
        <v/>
      </c>
      <c r="D40" s="63" t="str">
        <f>IFERROR(__xludf.DUMMYFUNCTION("""COMPUTED_VALUE"""),"")</f>
        <v/>
      </c>
      <c r="E40" s="51" t="str">
        <f>IFERROR(__xludf.DUMMYFUNCTION("""COMPUTED_VALUE"""),"")</f>
        <v/>
      </c>
      <c r="F40" s="82" t="str">
        <f>IFERROR(__xludf.DUMMYFUNCTION("""COMPUTED_VALUE"""),"")</f>
        <v/>
      </c>
      <c r="G40" s="52" t="str">
        <f>IFERROR(__xludf.DUMMYFUNCTION("""COMPUTED_VALUE"""),"")</f>
        <v/>
      </c>
      <c r="H40" s="53" t="str">
        <f>IFERROR(__xludf.DUMMYFUNCTION("""COMPUTED_VALUE"""),"")</f>
        <v/>
      </c>
      <c r="I40" s="53" t="str">
        <f>IFERROR(__xludf.DUMMYFUNCTION("""COMPUTED_VALUE"""),"")</f>
        <v/>
      </c>
      <c r="J40" s="53" t="str">
        <f>IFERROR(__xludf.DUMMYFUNCTION("""COMPUTED_VALUE"""),"")</f>
        <v/>
      </c>
      <c r="K40" s="54" t="str">
        <f>IFERROR(__xludf.DUMMYFUNCTION("""COMPUTED_VALUE"""),"")</f>
        <v/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6"/>
      <c r="W40" s="56"/>
      <c r="X40" s="56"/>
      <c r="Y40" s="56"/>
      <c r="Z40" s="57"/>
      <c r="AA40" s="58"/>
      <c r="AB40" s="59"/>
    </row>
    <row r="41" ht="13.5" customHeight="1">
      <c r="A41" s="60" t="str">
        <f>IFERROR(__xludf.DUMMYFUNCTION("""COMPUTED_VALUE"""),"")</f>
        <v/>
      </c>
      <c r="B41" s="61" t="str">
        <f>IFERROR(__xludf.DUMMYFUNCTION("""COMPUTED_VALUE"""),"")</f>
        <v/>
      </c>
      <c r="C41" s="63" t="str">
        <f>IFERROR(__xludf.DUMMYFUNCTION("""COMPUTED_VALUE"""),"")</f>
        <v/>
      </c>
      <c r="D41" s="63" t="str">
        <f>IFERROR(__xludf.DUMMYFUNCTION("""COMPUTED_VALUE"""),"")</f>
        <v/>
      </c>
      <c r="E41" s="51" t="str">
        <f>IFERROR(__xludf.DUMMYFUNCTION("""COMPUTED_VALUE"""),"")</f>
        <v/>
      </c>
      <c r="F41" s="82" t="str">
        <f>IFERROR(__xludf.DUMMYFUNCTION("""COMPUTED_VALUE"""),"")</f>
        <v/>
      </c>
      <c r="G41" s="52" t="str">
        <f>IFERROR(__xludf.DUMMYFUNCTION("""COMPUTED_VALUE"""),"")</f>
        <v/>
      </c>
      <c r="H41" s="53" t="str">
        <f>IFERROR(__xludf.DUMMYFUNCTION("""COMPUTED_VALUE"""),"")</f>
        <v/>
      </c>
      <c r="I41" s="53" t="str">
        <f>IFERROR(__xludf.DUMMYFUNCTION("""COMPUTED_VALUE"""),"")</f>
        <v/>
      </c>
      <c r="J41" s="53" t="str">
        <f>IFERROR(__xludf.DUMMYFUNCTION("""COMPUTED_VALUE"""),"")</f>
        <v/>
      </c>
      <c r="K41" s="54" t="str">
        <f>IFERROR(__xludf.DUMMYFUNCTION("""COMPUTED_VALUE"""),"")</f>
        <v/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6"/>
      <c r="W41" s="56"/>
      <c r="X41" s="56"/>
      <c r="Y41" s="56"/>
      <c r="Z41" s="57"/>
      <c r="AA41" s="58"/>
      <c r="AB41" s="59"/>
    </row>
    <row r="42" ht="13.5" customHeight="1">
      <c r="A42" s="60" t="str">
        <f>IFERROR(__xludf.DUMMYFUNCTION("""COMPUTED_VALUE"""),"")</f>
        <v/>
      </c>
      <c r="B42" s="64" t="str">
        <f>IFERROR(__xludf.DUMMYFUNCTION("""COMPUTED_VALUE"""),"")</f>
        <v/>
      </c>
      <c r="C42" s="63" t="str">
        <f>IFERROR(__xludf.DUMMYFUNCTION("""COMPUTED_VALUE"""),"")</f>
        <v/>
      </c>
      <c r="D42" s="63" t="str">
        <f>IFERROR(__xludf.DUMMYFUNCTION("""COMPUTED_VALUE"""),"")</f>
        <v/>
      </c>
      <c r="E42" s="51" t="str">
        <f>IFERROR(__xludf.DUMMYFUNCTION("""COMPUTED_VALUE"""),"")</f>
        <v/>
      </c>
      <c r="F42" s="82" t="str">
        <f>IFERROR(__xludf.DUMMYFUNCTION("""COMPUTED_VALUE"""),"")</f>
        <v/>
      </c>
      <c r="G42" s="52" t="str">
        <f>IFERROR(__xludf.DUMMYFUNCTION("""COMPUTED_VALUE"""),"")</f>
        <v/>
      </c>
      <c r="H42" s="53" t="str">
        <f>IFERROR(__xludf.DUMMYFUNCTION("""COMPUTED_VALUE"""),"")</f>
        <v/>
      </c>
      <c r="I42" s="53" t="str">
        <f>IFERROR(__xludf.DUMMYFUNCTION("""COMPUTED_VALUE"""),"")</f>
        <v/>
      </c>
      <c r="J42" s="53" t="str">
        <f>IFERROR(__xludf.DUMMYFUNCTION("""COMPUTED_VALUE"""),"")</f>
        <v/>
      </c>
      <c r="K42" s="54" t="str">
        <f>IFERROR(__xludf.DUMMYFUNCTION("""COMPUTED_VALUE"""),"")</f>
        <v/>
      </c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6"/>
      <c r="W42" s="56"/>
      <c r="X42" s="56"/>
      <c r="Y42" s="56"/>
      <c r="Z42" s="57"/>
      <c r="AA42" s="58"/>
      <c r="AB42" s="59"/>
    </row>
    <row r="43" ht="13.5" customHeight="1">
      <c r="A43" s="60" t="str">
        <f>IFERROR(__xludf.DUMMYFUNCTION("""COMPUTED_VALUE"""),"")</f>
        <v/>
      </c>
      <c r="B43" s="64" t="str">
        <f>IFERROR(__xludf.DUMMYFUNCTION("""COMPUTED_VALUE"""),"")</f>
        <v/>
      </c>
      <c r="C43" s="63" t="str">
        <f>IFERROR(__xludf.DUMMYFUNCTION("""COMPUTED_VALUE"""),"")</f>
        <v/>
      </c>
      <c r="D43" s="63" t="str">
        <f>IFERROR(__xludf.DUMMYFUNCTION("""COMPUTED_VALUE"""),"")</f>
        <v/>
      </c>
      <c r="E43" s="51" t="str">
        <f>IFERROR(__xludf.DUMMYFUNCTION("""COMPUTED_VALUE"""),"")</f>
        <v/>
      </c>
      <c r="F43" s="82" t="str">
        <f>IFERROR(__xludf.DUMMYFUNCTION("""COMPUTED_VALUE"""),"")</f>
        <v/>
      </c>
      <c r="G43" s="52" t="str">
        <f>IFERROR(__xludf.DUMMYFUNCTION("""COMPUTED_VALUE"""),"")</f>
        <v/>
      </c>
      <c r="H43" s="53" t="str">
        <f>IFERROR(__xludf.DUMMYFUNCTION("""COMPUTED_VALUE"""),"")</f>
        <v/>
      </c>
      <c r="I43" s="53" t="str">
        <f>IFERROR(__xludf.DUMMYFUNCTION("""COMPUTED_VALUE"""),"")</f>
        <v/>
      </c>
      <c r="J43" s="53" t="str">
        <f>IFERROR(__xludf.DUMMYFUNCTION("""COMPUTED_VALUE"""),"")</f>
        <v/>
      </c>
      <c r="K43" s="54" t="str">
        <f>IFERROR(__xludf.DUMMYFUNCTION("""COMPUTED_VALUE"""),"")</f>
        <v/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6"/>
      <c r="W43" s="56"/>
      <c r="X43" s="56"/>
      <c r="Y43" s="56"/>
      <c r="Z43" s="57"/>
      <c r="AA43" s="58"/>
      <c r="AB43" s="59"/>
    </row>
    <row r="44" ht="13.5" customHeight="1">
      <c r="A44" s="60" t="str">
        <f>IFERROR(__xludf.DUMMYFUNCTION("""COMPUTED_VALUE"""),"")</f>
        <v/>
      </c>
      <c r="B44" s="64" t="str">
        <f>IFERROR(__xludf.DUMMYFUNCTION("""COMPUTED_VALUE"""),"")</f>
        <v/>
      </c>
      <c r="C44" s="63" t="str">
        <f>IFERROR(__xludf.DUMMYFUNCTION("""COMPUTED_VALUE"""),"")</f>
        <v/>
      </c>
      <c r="D44" s="63" t="str">
        <f>IFERROR(__xludf.DUMMYFUNCTION("""COMPUTED_VALUE"""),"")</f>
        <v/>
      </c>
      <c r="E44" s="51" t="str">
        <f>IFERROR(__xludf.DUMMYFUNCTION("""COMPUTED_VALUE"""),"")</f>
        <v/>
      </c>
      <c r="F44" s="82" t="str">
        <f>IFERROR(__xludf.DUMMYFUNCTION("""COMPUTED_VALUE"""),"")</f>
        <v/>
      </c>
      <c r="G44" s="52" t="str">
        <f>IFERROR(__xludf.DUMMYFUNCTION("""COMPUTED_VALUE"""),"")</f>
        <v/>
      </c>
      <c r="H44" s="53" t="str">
        <f>IFERROR(__xludf.DUMMYFUNCTION("""COMPUTED_VALUE"""),"")</f>
        <v/>
      </c>
      <c r="I44" s="53" t="str">
        <f>IFERROR(__xludf.DUMMYFUNCTION("""COMPUTED_VALUE"""),"")</f>
        <v/>
      </c>
      <c r="J44" s="53" t="str">
        <f>IFERROR(__xludf.DUMMYFUNCTION("""COMPUTED_VALUE"""),"")</f>
        <v/>
      </c>
      <c r="K44" s="54" t="str">
        <f>IFERROR(__xludf.DUMMYFUNCTION("""COMPUTED_VALUE"""),"")</f>
        <v/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6"/>
      <c r="W44" s="56"/>
      <c r="X44" s="56"/>
      <c r="Y44" s="56"/>
      <c r="Z44" s="57"/>
      <c r="AA44" s="58"/>
      <c r="AB44" s="59"/>
    </row>
    <row r="45" ht="13.5" customHeight="1">
      <c r="A45" s="60" t="str">
        <f>IFERROR(__xludf.DUMMYFUNCTION("""COMPUTED_VALUE"""),"")</f>
        <v/>
      </c>
      <c r="B45" s="64" t="str">
        <f>IFERROR(__xludf.DUMMYFUNCTION("""COMPUTED_VALUE"""),"")</f>
        <v/>
      </c>
      <c r="C45" s="63" t="str">
        <f>IFERROR(__xludf.DUMMYFUNCTION("""COMPUTED_VALUE"""),"")</f>
        <v/>
      </c>
      <c r="D45" s="63" t="str">
        <f>IFERROR(__xludf.DUMMYFUNCTION("""COMPUTED_VALUE"""),"")</f>
        <v/>
      </c>
      <c r="E45" s="51" t="str">
        <f>IFERROR(__xludf.DUMMYFUNCTION("""COMPUTED_VALUE"""),"")</f>
        <v/>
      </c>
      <c r="F45" s="82" t="str">
        <f>IFERROR(__xludf.DUMMYFUNCTION("""COMPUTED_VALUE"""),"")</f>
        <v/>
      </c>
      <c r="G45" s="52" t="str">
        <f>IFERROR(__xludf.DUMMYFUNCTION("""COMPUTED_VALUE"""),"")</f>
        <v/>
      </c>
      <c r="H45" s="53" t="str">
        <f>IFERROR(__xludf.DUMMYFUNCTION("""COMPUTED_VALUE"""),"")</f>
        <v/>
      </c>
      <c r="I45" s="53" t="str">
        <f>IFERROR(__xludf.DUMMYFUNCTION("""COMPUTED_VALUE"""),"")</f>
        <v/>
      </c>
      <c r="J45" s="53" t="str">
        <f>IFERROR(__xludf.DUMMYFUNCTION("""COMPUTED_VALUE"""),"")</f>
        <v/>
      </c>
      <c r="K45" s="54" t="str">
        <f>IFERROR(__xludf.DUMMYFUNCTION("""COMPUTED_VALUE"""),"")</f>
        <v/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6"/>
      <c r="W45" s="56"/>
      <c r="X45" s="56"/>
      <c r="Y45" s="56"/>
      <c r="Z45" s="57"/>
      <c r="AA45" s="58"/>
      <c r="AB45" s="59"/>
    </row>
    <row r="46" ht="13.5" customHeight="1">
      <c r="A46" s="60" t="str">
        <f>IFERROR(__xludf.DUMMYFUNCTION("""COMPUTED_VALUE"""),"")</f>
        <v/>
      </c>
      <c r="B46" s="64" t="str">
        <f>IFERROR(__xludf.DUMMYFUNCTION("""COMPUTED_VALUE"""),"")</f>
        <v/>
      </c>
      <c r="C46" s="63" t="str">
        <f>IFERROR(__xludf.DUMMYFUNCTION("""COMPUTED_VALUE"""),"")</f>
        <v/>
      </c>
      <c r="D46" s="63" t="str">
        <f>IFERROR(__xludf.DUMMYFUNCTION("""COMPUTED_VALUE"""),"")</f>
        <v/>
      </c>
      <c r="E46" s="51" t="str">
        <f>IFERROR(__xludf.DUMMYFUNCTION("""COMPUTED_VALUE"""),"")</f>
        <v/>
      </c>
      <c r="F46" s="82" t="str">
        <f>IFERROR(__xludf.DUMMYFUNCTION("""COMPUTED_VALUE"""),"")</f>
        <v/>
      </c>
      <c r="G46" s="52" t="str">
        <f>IFERROR(__xludf.DUMMYFUNCTION("""COMPUTED_VALUE"""),"")</f>
        <v/>
      </c>
      <c r="H46" s="53" t="str">
        <f>IFERROR(__xludf.DUMMYFUNCTION("""COMPUTED_VALUE"""),"")</f>
        <v/>
      </c>
      <c r="I46" s="53" t="str">
        <f>IFERROR(__xludf.DUMMYFUNCTION("""COMPUTED_VALUE"""),"")</f>
        <v/>
      </c>
      <c r="J46" s="53" t="str">
        <f>IFERROR(__xludf.DUMMYFUNCTION("""COMPUTED_VALUE"""),"")</f>
        <v/>
      </c>
      <c r="K46" s="54" t="str">
        <f>IFERROR(__xludf.DUMMYFUNCTION("""COMPUTED_VALUE"""),"")</f>
        <v/>
      </c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6"/>
      <c r="W46" s="56"/>
      <c r="X46" s="56"/>
      <c r="Y46" s="56"/>
      <c r="Z46" s="57"/>
      <c r="AA46" s="58"/>
      <c r="AB46" s="59"/>
    </row>
    <row r="47" ht="13.5" customHeight="1">
      <c r="A47" s="60" t="str">
        <f>IFERROR(__xludf.DUMMYFUNCTION("""COMPUTED_VALUE"""),"")</f>
        <v/>
      </c>
      <c r="B47" s="64" t="str">
        <f>IFERROR(__xludf.DUMMYFUNCTION("""COMPUTED_VALUE"""),"")</f>
        <v/>
      </c>
      <c r="C47" s="63" t="str">
        <f>IFERROR(__xludf.DUMMYFUNCTION("""COMPUTED_VALUE"""),"")</f>
        <v/>
      </c>
      <c r="D47" s="63" t="str">
        <f>IFERROR(__xludf.DUMMYFUNCTION("""COMPUTED_VALUE"""),"")</f>
        <v/>
      </c>
      <c r="E47" s="51" t="str">
        <f>IFERROR(__xludf.DUMMYFUNCTION("""COMPUTED_VALUE"""),"")</f>
        <v/>
      </c>
      <c r="F47" s="82" t="str">
        <f>IFERROR(__xludf.DUMMYFUNCTION("""COMPUTED_VALUE"""),"")</f>
        <v/>
      </c>
      <c r="G47" s="52" t="str">
        <f>IFERROR(__xludf.DUMMYFUNCTION("""COMPUTED_VALUE"""),"")</f>
        <v/>
      </c>
      <c r="H47" s="53" t="str">
        <f>IFERROR(__xludf.DUMMYFUNCTION("""COMPUTED_VALUE"""),"")</f>
        <v/>
      </c>
      <c r="I47" s="53" t="str">
        <f>IFERROR(__xludf.DUMMYFUNCTION("""COMPUTED_VALUE"""),"")</f>
        <v/>
      </c>
      <c r="J47" s="53" t="str">
        <f>IFERROR(__xludf.DUMMYFUNCTION("""COMPUTED_VALUE"""),"")</f>
        <v/>
      </c>
      <c r="K47" s="54" t="str">
        <f>IFERROR(__xludf.DUMMYFUNCTION("""COMPUTED_VALUE"""),"")</f>
        <v/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6"/>
      <c r="W47" s="56"/>
      <c r="X47" s="56"/>
      <c r="Y47" s="56"/>
      <c r="Z47" s="57"/>
      <c r="AA47" s="58"/>
      <c r="AB47" s="59"/>
    </row>
    <row r="48" ht="13.5" customHeight="1">
      <c r="A48" s="60" t="str">
        <f>IFERROR(__xludf.DUMMYFUNCTION("""COMPUTED_VALUE"""),"")</f>
        <v/>
      </c>
      <c r="B48" s="64" t="str">
        <f>IFERROR(__xludf.DUMMYFUNCTION("""COMPUTED_VALUE"""),"")</f>
        <v/>
      </c>
      <c r="C48" s="63" t="str">
        <f>IFERROR(__xludf.DUMMYFUNCTION("""COMPUTED_VALUE"""),"")</f>
        <v/>
      </c>
      <c r="D48" s="63" t="str">
        <f>IFERROR(__xludf.DUMMYFUNCTION("""COMPUTED_VALUE"""),"")</f>
        <v/>
      </c>
      <c r="E48" s="51" t="str">
        <f>IFERROR(__xludf.DUMMYFUNCTION("""COMPUTED_VALUE"""),"")</f>
        <v/>
      </c>
      <c r="F48" s="82" t="str">
        <f>IFERROR(__xludf.DUMMYFUNCTION("""COMPUTED_VALUE"""),"")</f>
        <v/>
      </c>
      <c r="G48" s="52" t="str">
        <f>IFERROR(__xludf.DUMMYFUNCTION("""COMPUTED_VALUE"""),"")</f>
        <v/>
      </c>
      <c r="H48" s="53" t="str">
        <f>IFERROR(__xludf.DUMMYFUNCTION("""COMPUTED_VALUE"""),"")</f>
        <v/>
      </c>
      <c r="I48" s="53" t="str">
        <f>IFERROR(__xludf.DUMMYFUNCTION("""COMPUTED_VALUE"""),"")</f>
        <v/>
      </c>
      <c r="J48" s="53" t="str">
        <f>IFERROR(__xludf.DUMMYFUNCTION("""COMPUTED_VALUE"""),"")</f>
        <v/>
      </c>
      <c r="K48" s="54" t="str">
        <f>IFERROR(__xludf.DUMMYFUNCTION("""COMPUTED_VALUE"""),"")</f>
        <v/>
      </c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6"/>
      <c r="W48" s="56"/>
      <c r="X48" s="56"/>
      <c r="Y48" s="56"/>
      <c r="Z48" s="57"/>
      <c r="AA48" s="58"/>
      <c r="AB48" s="59"/>
    </row>
    <row r="49" ht="13.5" customHeight="1">
      <c r="A49" s="60" t="str">
        <f>IFERROR(__xludf.DUMMYFUNCTION("""COMPUTED_VALUE"""),"")</f>
        <v/>
      </c>
      <c r="B49" s="64" t="str">
        <f>IFERROR(__xludf.DUMMYFUNCTION("""COMPUTED_VALUE"""),"")</f>
        <v/>
      </c>
      <c r="C49" s="63" t="str">
        <f>IFERROR(__xludf.DUMMYFUNCTION("""COMPUTED_VALUE"""),"")</f>
        <v/>
      </c>
      <c r="D49" s="63" t="str">
        <f>IFERROR(__xludf.DUMMYFUNCTION("""COMPUTED_VALUE"""),"")</f>
        <v/>
      </c>
      <c r="E49" s="51" t="str">
        <f>IFERROR(__xludf.DUMMYFUNCTION("""COMPUTED_VALUE"""),"")</f>
        <v/>
      </c>
      <c r="F49" s="82" t="str">
        <f>IFERROR(__xludf.DUMMYFUNCTION("""COMPUTED_VALUE"""),"")</f>
        <v/>
      </c>
      <c r="G49" s="52" t="str">
        <f>IFERROR(__xludf.DUMMYFUNCTION("""COMPUTED_VALUE"""),"")</f>
        <v/>
      </c>
      <c r="H49" s="53" t="str">
        <f>IFERROR(__xludf.DUMMYFUNCTION("""COMPUTED_VALUE"""),"")</f>
        <v/>
      </c>
      <c r="I49" s="53" t="str">
        <f>IFERROR(__xludf.DUMMYFUNCTION("""COMPUTED_VALUE"""),"")</f>
        <v/>
      </c>
      <c r="J49" s="53" t="str">
        <f>IFERROR(__xludf.DUMMYFUNCTION("""COMPUTED_VALUE"""),"")</f>
        <v/>
      </c>
      <c r="K49" s="54" t="str">
        <f>IFERROR(__xludf.DUMMYFUNCTION("""COMPUTED_VALUE"""),"")</f>
        <v/>
      </c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6"/>
      <c r="W49" s="56"/>
      <c r="X49" s="56"/>
      <c r="Y49" s="56"/>
      <c r="Z49" s="57"/>
      <c r="AA49" s="58"/>
      <c r="AB49" s="59"/>
    </row>
    <row r="50" ht="13.5" customHeight="1">
      <c r="A50" s="60" t="str">
        <f>IFERROR(__xludf.DUMMYFUNCTION("""COMPUTED_VALUE"""),"")</f>
        <v/>
      </c>
      <c r="B50" s="64" t="str">
        <f>IFERROR(__xludf.DUMMYFUNCTION("""COMPUTED_VALUE"""),"")</f>
        <v/>
      </c>
      <c r="C50" s="63" t="str">
        <f>IFERROR(__xludf.DUMMYFUNCTION("""COMPUTED_VALUE"""),"")</f>
        <v/>
      </c>
      <c r="D50" s="63" t="str">
        <f>IFERROR(__xludf.DUMMYFUNCTION("""COMPUTED_VALUE"""),"")</f>
        <v/>
      </c>
      <c r="E50" s="51" t="str">
        <f>IFERROR(__xludf.DUMMYFUNCTION("""COMPUTED_VALUE"""),"")</f>
        <v/>
      </c>
      <c r="F50" s="82" t="str">
        <f>IFERROR(__xludf.DUMMYFUNCTION("""COMPUTED_VALUE"""),"")</f>
        <v/>
      </c>
      <c r="G50" s="52" t="str">
        <f>IFERROR(__xludf.DUMMYFUNCTION("""COMPUTED_VALUE"""),"")</f>
        <v/>
      </c>
      <c r="H50" s="53" t="str">
        <f>IFERROR(__xludf.DUMMYFUNCTION("""COMPUTED_VALUE"""),"")</f>
        <v/>
      </c>
      <c r="I50" s="53" t="str">
        <f>IFERROR(__xludf.DUMMYFUNCTION("""COMPUTED_VALUE"""),"")</f>
        <v/>
      </c>
      <c r="J50" s="53" t="str">
        <f>IFERROR(__xludf.DUMMYFUNCTION("""COMPUTED_VALUE"""),"")</f>
        <v/>
      </c>
      <c r="K50" s="54" t="str">
        <f>IFERROR(__xludf.DUMMYFUNCTION("""COMPUTED_VALUE"""),"")</f>
        <v/>
      </c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6"/>
      <c r="W50" s="56"/>
      <c r="X50" s="56"/>
      <c r="Y50" s="56"/>
      <c r="Z50" s="57"/>
      <c r="AA50" s="58"/>
      <c r="AB50" s="59"/>
    </row>
    <row r="51" ht="13.5" customHeight="1">
      <c r="A51" s="60" t="str">
        <f>IFERROR(__xludf.DUMMYFUNCTION("""COMPUTED_VALUE"""),"")</f>
        <v/>
      </c>
      <c r="B51" s="64" t="str">
        <f>IFERROR(__xludf.DUMMYFUNCTION("""COMPUTED_VALUE"""),"")</f>
        <v/>
      </c>
      <c r="C51" s="63" t="str">
        <f>IFERROR(__xludf.DUMMYFUNCTION("""COMPUTED_VALUE"""),"")</f>
        <v/>
      </c>
      <c r="D51" s="63" t="str">
        <f>IFERROR(__xludf.DUMMYFUNCTION("""COMPUTED_VALUE"""),"")</f>
        <v/>
      </c>
      <c r="E51" s="51" t="str">
        <f>IFERROR(__xludf.DUMMYFUNCTION("""COMPUTED_VALUE"""),"")</f>
        <v/>
      </c>
      <c r="F51" s="82" t="str">
        <f>IFERROR(__xludf.DUMMYFUNCTION("""COMPUTED_VALUE"""),"")</f>
        <v/>
      </c>
      <c r="G51" s="52" t="str">
        <f>IFERROR(__xludf.DUMMYFUNCTION("""COMPUTED_VALUE"""),"")</f>
        <v/>
      </c>
      <c r="H51" s="53" t="str">
        <f>IFERROR(__xludf.DUMMYFUNCTION("""COMPUTED_VALUE"""),"")</f>
        <v/>
      </c>
      <c r="I51" s="53" t="str">
        <f>IFERROR(__xludf.DUMMYFUNCTION("""COMPUTED_VALUE"""),"")</f>
        <v/>
      </c>
      <c r="J51" s="53" t="str">
        <f>IFERROR(__xludf.DUMMYFUNCTION("""COMPUTED_VALUE"""),"")</f>
        <v/>
      </c>
      <c r="K51" s="54" t="str">
        <f>IFERROR(__xludf.DUMMYFUNCTION("""COMPUTED_VALUE"""),"")</f>
        <v/>
      </c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6"/>
      <c r="W51" s="56"/>
      <c r="X51" s="56"/>
      <c r="Y51" s="56"/>
      <c r="Z51" s="57"/>
      <c r="AA51" s="58"/>
      <c r="AB51" s="59"/>
    </row>
    <row r="52" ht="13.5" customHeight="1">
      <c r="A52" s="60" t="str">
        <f>IFERROR(__xludf.DUMMYFUNCTION("""COMPUTED_VALUE"""),"")</f>
        <v/>
      </c>
      <c r="B52" s="64" t="str">
        <f>IFERROR(__xludf.DUMMYFUNCTION("""COMPUTED_VALUE"""),"")</f>
        <v/>
      </c>
      <c r="C52" s="63" t="str">
        <f>IFERROR(__xludf.DUMMYFUNCTION("""COMPUTED_VALUE"""),"")</f>
        <v/>
      </c>
      <c r="D52" s="63" t="str">
        <f>IFERROR(__xludf.DUMMYFUNCTION("""COMPUTED_VALUE"""),"")</f>
        <v/>
      </c>
      <c r="E52" s="51" t="str">
        <f>IFERROR(__xludf.DUMMYFUNCTION("""COMPUTED_VALUE"""),"")</f>
        <v/>
      </c>
      <c r="F52" s="82" t="str">
        <f>IFERROR(__xludf.DUMMYFUNCTION("""COMPUTED_VALUE"""),"")</f>
        <v/>
      </c>
      <c r="G52" s="52" t="str">
        <f>IFERROR(__xludf.DUMMYFUNCTION("""COMPUTED_VALUE"""),"")</f>
        <v/>
      </c>
      <c r="H52" s="53" t="str">
        <f>IFERROR(__xludf.DUMMYFUNCTION("""COMPUTED_VALUE"""),"")</f>
        <v/>
      </c>
      <c r="I52" s="53" t="str">
        <f>IFERROR(__xludf.DUMMYFUNCTION("""COMPUTED_VALUE"""),"")</f>
        <v/>
      </c>
      <c r="J52" s="53" t="str">
        <f>IFERROR(__xludf.DUMMYFUNCTION("""COMPUTED_VALUE"""),"")</f>
        <v/>
      </c>
      <c r="K52" s="54" t="str">
        <f>IFERROR(__xludf.DUMMYFUNCTION("""COMPUTED_VALUE"""),"")</f>
        <v/>
      </c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6"/>
      <c r="W52" s="56"/>
      <c r="X52" s="56"/>
      <c r="Y52" s="56"/>
      <c r="Z52" s="57"/>
      <c r="AA52" s="58"/>
      <c r="AB52" s="59"/>
    </row>
    <row r="53" ht="13.5" customHeight="1">
      <c r="A53" s="60" t="str">
        <f>IFERROR(__xludf.DUMMYFUNCTION("""COMPUTED_VALUE"""),"")</f>
        <v/>
      </c>
      <c r="B53" s="64" t="str">
        <f>IFERROR(__xludf.DUMMYFUNCTION("""COMPUTED_VALUE"""),"")</f>
        <v/>
      </c>
      <c r="C53" s="63" t="str">
        <f>IFERROR(__xludf.DUMMYFUNCTION("""COMPUTED_VALUE"""),"")</f>
        <v/>
      </c>
      <c r="D53" s="63" t="str">
        <f>IFERROR(__xludf.DUMMYFUNCTION("""COMPUTED_VALUE"""),"")</f>
        <v/>
      </c>
      <c r="E53" s="51" t="str">
        <f>IFERROR(__xludf.DUMMYFUNCTION("""COMPUTED_VALUE"""),"")</f>
        <v/>
      </c>
      <c r="F53" s="82" t="str">
        <f>IFERROR(__xludf.DUMMYFUNCTION("""COMPUTED_VALUE"""),"")</f>
        <v/>
      </c>
      <c r="G53" s="52" t="str">
        <f>IFERROR(__xludf.DUMMYFUNCTION("""COMPUTED_VALUE"""),"")</f>
        <v/>
      </c>
      <c r="H53" s="53" t="str">
        <f>IFERROR(__xludf.DUMMYFUNCTION("""COMPUTED_VALUE"""),"")</f>
        <v/>
      </c>
      <c r="I53" s="53" t="str">
        <f>IFERROR(__xludf.DUMMYFUNCTION("""COMPUTED_VALUE"""),"")</f>
        <v/>
      </c>
      <c r="J53" s="53" t="str">
        <f>IFERROR(__xludf.DUMMYFUNCTION("""COMPUTED_VALUE"""),"")</f>
        <v/>
      </c>
      <c r="K53" s="54" t="str">
        <f>IFERROR(__xludf.DUMMYFUNCTION("""COMPUTED_VALUE"""),"")</f>
        <v/>
      </c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6"/>
      <c r="W53" s="56"/>
      <c r="X53" s="56"/>
      <c r="Y53" s="56"/>
      <c r="Z53" s="57"/>
      <c r="AA53" s="58"/>
      <c r="AB53" s="59"/>
    </row>
    <row r="54" ht="13.5" customHeight="1">
      <c r="A54" s="60" t="str">
        <f>IFERROR(__xludf.DUMMYFUNCTION("""COMPUTED_VALUE"""),"")</f>
        <v/>
      </c>
      <c r="B54" s="64" t="str">
        <f>IFERROR(__xludf.DUMMYFUNCTION("""COMPUTED_VALUE"""),"")</f>
        <v/>
      </c>
      <c r="C54" s="63" t="str">
        <f>IFERROR(__xludf.DUMMYFUNCTION("""COMPUTED_VALUE"""),"")</f>
        <v/>
      </c>
      <c r="D54" s="63" t="str">
        <f>IFERROR(__xludf.DUMMYFUNCTION("""COMPUTED_VALUE"""),"")</f>
        <v/>
      </c>
      <c r="E54" s="51" t="str">
        <f>IFERROR(__xludf.DUMMYFUNCTION("""COMPUTED_VALUE"""),"")</f>
        <v/>
      </c>
      <c r="F54" s="82" t="str">
        <f>IFERROR(__xludf.DUMMYFUNCTION("""COMPUTED_VALUE"""),"")</f>
        <v/>
      </c>
      <c r="G54" s="52" t="str">
        <f>IFERROR(__xludf.DUMMYFUNCTION("""COMPUTED_VALUE"""),"")</f>
        <v/>
      </c>
      <c r="H54" s="53" t="str">
        <f>IFERROR(__xludf.DUMMYFUNCTION("""COMPUTED_VALUE"""),"")</f>
        <v/>
      </c>
      <c r="I54" s="53" t="str">
        <f>IFERROR(__xludf.DUMMYFUNCTION("""COMPUTED_VALUE"""),"")</f>
        <v/>
      </c>
      <c r="J54" s="53" t="str">
        <f>IFERROR(__xludf.DUMMYFUNCTION("""COMPUTED_VALUE"""),"")</f>
        <v/>
      </c>
      <c r="K54" s="54" t="str">
        <f>IFERROR(__xludf.DUMMYFUNCTION("""COMPUTED_VALUE"""),"")</f>
        <v/>
      </c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6"/>
      <c r="W54" s="56"/>
      <c r="X54" s="56"/>
      <c r="Y54" s="56"/>
      <c r="Z54" s="57"/>
      <c r="AA54" s="58"/>
      <c r="AB54" s="59"/>
    </row>
    <row r="55" ht="13.5" customHeight="1">
      <c r="A55" s="60" t="str">
        <f>IFERROR(__xludf.DUMMYFUNCTION("""COMPUTED_VALUE"""),"")</f>
        <v/>
      </c>
      <c r="B55" s="64" t="str">
        <f>IFERROR(__xludf.DUMMYFUNCTION("""COMPUTED_VALUE"""),"")</f>
        <v/>
      </c>
      <c r="C55" s="63" t="str">
        <f>IFERROR(__xludf.DUMMYFUNCTION("""COMPUTED_VALUE"""),"")</f>
        <v/>
      </c>
      <c r="D55" s="63" t="str">
        <f>IFERROR(__xludf.DUMMYFUNCTION("""COMPUTED_VALUE"""),"")</f>
        <v/>
      </c>
      <c r="E55" s="51" t="str">
        <f>IFERROR(__xludf.DUMMYFUNCTION("""COMPUTED_VALUE"""),"")</f>
        <v/>
      </c>
      <c r="F55" s="82" t="str">
        <f>IFERROR(__xludf.DUMMYFUNCTION("""COMPUTED_VALUE"""),"")</f>
        <v/>
      </c>
      <c r="G55" s="52" t="str">
        <f>IFERROR(__xludf.DUMMYFUNCTION("""COMPUTED_VALUE"""),"")</f>
        <v/>
      </c>
      <c r="H55" s="53" t="str">
        <f>IFERROR(__xludf.DUMMYFUNCTION("""COMPUTED_VALUE"""),"")</f>
        <v/>
      </c>
      <c r="I55" s="53" t="str">
        <f>IFERROR(__xludf.DUMMYFUNCTION("""COMPUTED_VALUE"""),"")</f>
        <v/>
      </c>
      <c r="J55" s="53" t="str">
        <f>IFERROR(__xludf.DUMMYFUNCTION("""COMPUTED_VALUE"""),"")</f>
        <v/>
      </c>
      <c r="K55" s="54" t="str">
        <f>IFERROR(__xludf.DUMMYFUNCTION("""COMPUTED_VALUE"""),"")</f>
        <v/>
      </c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6"/>
      <c r="W55" s="56"/>
      <c r="X55" s="56"/>
      <c r="Y55" s="56"/>
      <c r="Z55" s="57"/>
      <c r="AA55" s="58"/>
      <c r="AB55" s="59"/>
    </row>
    <row r="56" ht="13.5" customHeight="1">
      <c r="A56" s="60" t="str">
        <f>IFERROR(__xludf.DUMMYFUNCTION("""COMPUTED_VALUE"""),"")</f>
        <v/>
      </c>
      <c r="B56" s="64" t="str">
        <f>IFERROR(__xludf.DUMMYFUNCTION("""COMPUTED_VALUE"""),"")</f>
        <v/>
      </c>
      <c r="C56" s="63" t="str">
        <f>IFERROR(__xludf.DUMMYFUNCTION("""COMPUTED_VALUE"""),"")</f>
        <v/>
      </c>
      <c r="D56" s="63" t="str">
        <f>IFERROR(__xludf.DUMMYFUNCTION("""COMPUTED_VALUE"""),"")</f>
        <v/>
      </c>
      <c r="E56" s="51" t="str">
        <f>IFERROR(__xludf.DUMMYFUNCTION("""COMPUTED_VALUE"""),"")</f>
        <v/>
      </c>
      <c r="F56" s="82" t="str">
        <f>IFERROR(__xludf.DUMMYFUNCTION("""COMPUTED_VALUE"""),"")</f>
        <v/>
      </c>
      <c r="G56" s="52" t="str">
        <f>IFERROR(__xludf.DUMMYFUNCTION("""COMPUTED_VALUE"""),"")</f>
        <v/>
      </c>
      <c r="H56" s="53" t="str">
        <f>IFERROR(__xludf.DUMMYFUNCTION("""COMPUTED_VALUE"""),"")</f>
        <v/>
      </c>
      <c r="I56" s="53" t="str">
        <f>IFERROR(__xludf.DUMMYFUNCTION("""COMPUTED_VALUE"""),"")</f>
        <v/>
      </c>
      <c r="J56" s="53" t="str">
        <f>IFERROR(__xludf.DUMMYFUNCTION("""COMPUTED_VALUE"""),"")</f>
        <v/>
      </c>
      <c r="K56" s="54" t="str">
        <f>IFERROR(__xludf.DUMMYFUNCTION("""COMPUTED_VALUE"""),"")</f>
        <v/>
      </c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6"/>
      <c r="W56" s="56"/>
      <c r="X56" s="56"/>
      <c r="Y56" s="56"/>
      <c r="Z56" s="57"/>
      <c r="AA56" s="58"/>
      <c r="AB56" s="59"/>
    </row>
    <row r="57" ht="13.5" customHeight="1">
      <c r="A57" s="60" t="str">
        <f>IFERROR(__xludf.DUMMYFUNCTION("""COMPUTED_VALUE"""),"")</f>
        <v/>
      </c>
      <c r="B57" s="64" t="str">
        <f>IFERROR(__xludf.DUMMYFUNCTION("""COMPUTED_VALUE"""),"")</f>
        <v/>
      </c>
      <c r="C57" s="63" t="str">
        <f>IFERROR(__xludf.DUMMYFUNCTION("""COMPUTED_VALUE"""),"")</f>
        <v/>
      </c>
      <c r="D57" s="63" t="str">
        <f>IFERROR(__xludf.DUMMYFUNCTION("""COMPUTED_VALUE"""),"")</f>
        <v/>
      </c>
      <c r="E57" s="51" t="str">
        <f>IFERROR(__xludf.DUMMYFUNCTION("""COMPUTED_VALUE"""),"")</f>
        <v/>
      </c>
      <c r="F57" s="82" t="str">
        <f>IFERROR(__xludf.DUMMYFUNCTION("""COMPUTED_VALUE"""),"")</f>
        <v/>
      </c>
      <c r="G57" s="52" t="str">
        <f>IFERROR(__xludf.DUMMYFUNCTION("""COMPUTED_VALUE"""),"")</f>
        <v/>
      </c>
      <c r="H57" s="53" t="str">
        <f>IFERROR(__xludf.DUMMYFUNCTION("""COMPUTED_VALUE"""),"")</f>
        <v/>
      </c>
      <c r="I57" s="53" t="str">
        <f>IFERROR(__xludf.DUMMYFUNCTION("""COMPUTED_VALUE"""),"")</f>
        <v/>
      </c>
      <c r="J57" s="53" t="str">
        <f>IFERROR(__xludf.DUMMYFUNCTION("""COMPUTED_VALUE"""),"")</f>
        <v/>
      </c>
      <c r="K57" s="54" t="str">
        <f>IFERROR(__xludf.DUMMYFUNCTION("""COMPUTED_VALUE"""),"")</f>
        <v/>
      </c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6"/>
      <c r="W57" s="56"/>
      <c r="X57" s="56"/>
      <c r="Y57" s="56"/>
      <c r="Z57" s="57"/>
      <c r="AA57" s="58"/>
      <c r="AB57" s="59"/>
    </row>
    <row r="58" ht="13.5" customHeight="1">
      <c r="A58" s="60" t="str">
        <f>IFERROR(__xludf.DUMMYFUNCTION("""COMPUTED_VALUE"""),"")</f>
        <v/>
      </c>
      <c r="B58" s="64" t="str">
        <f>IFERROR(__xludf.DUMMYFUNCTION("""COMPUTED_VALUE"""),"")</f>
        <v/>
      </c>
      <c r="C58" s="63" t="str">
        <f>IFERROR(__xludf.DUMMYFUNCTION("""COMPUTED_VALUE"""),"")</f>
        <v/>
      </c>
      <c r="D58" s="63" t="str">
        <f>IFERROR(__xludf.DUMMYFUNCTION("""COMPUTED_VALUE"""),"")</f>
        <v/>
      </c>
      <c r="E58" s="51" t="str">
        <f>IFERROR(__xludf.DUMMYFUNCTION("""COMPUTED_VALUE"""),"")</f>
        <v/>
      </c>
      <c r="F58" s="82" t="str">
        <f>IFERROR(__xludf.DUMMYFUNCTION("""COMPUTED_VALUE"""),"")</f>
        <v/>
      </c>
      <c r="G58" s="52" t="str">
        <f>IFERROR(__xludf.DUMMYFUNCTION("""COMPUTED_VALUE"""),"")</f>
        <v/>
      </c>
      <c r="H58" s="53" t="str">
        <f>IFERROR(__xludf.DUMMYFUNCTION("""COMPUTED_VALUE"""),"")</f>
        <v/>
      </c>
      <c r="I58" s="53" t="str">
        <f>IFERROR(__xludf.DUMMYFUNCTION("""COMPUTED_VALUE"""),"")</f>
        <v/>
      </c>
      <c r="J58" s="53" t="str">
        <f>IFERROR(__xludf.DUMMYFUNCTION("""COMPUTED_VALUE"""),"")</f>
        <v/>
      </c>
      <c r="K58" s="54" t="str">
        <f>IFERROR(__xludf.DUMMYFUNCTION("""COMPUTED_VALUE"""),"")</f>
        <v/>
      </c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6"/>
      <c r="W58" s="56"/>
      <c r="X58" s="56"/>
      <c r="Y58" s="56"/>
      <c r="Z58" s="57"/>
      <c r="AA58" s="58"/>
      <c r="AB58" s="59"/>
    </row>
    <row r="59" ht="13.5" customHeight="1">
      <c r="A59" s="60" t="str">
        <f>IFERROR(__xludf.DUMMYFUNCTION("""COMPUTED_VALUE"""),"")</f>
        <v/>
      </c>
      <c r="B59" s="64" t="str">
        <f>IFERROR(__xludf.DUMMYFUNCTION("""COMPUTED_VALUE"""),"")</f>
        <v/>
      </c>
      <c r="C59" s="63" t="str">
        <f>IFERROR(__xludf.DUMMYFUNCTION("""COMPUTED_VALUE"""),"")</f>
        <v/>
      </c>
      <c r="D59" s="63" t="str">
        <f>IFERROR(__xludf.DUMMYFUNCTION("""COMPUTED_VALUE"""),"")</f>
        <v/>
      </c>
      <c r="E59" s="51" t="str">
        <f>IFERROR(__xludf.DUMMYFUNCTION("""COMPUTED_VALUE"""),"")</f>
        <v/>
      </c>
      <c r="F59" s="82" t="str">
        <f>IFERROR(__xludf.DUMMYFUNCTION("""COMPUTED_VALUE"""),"")</f>
        <v/>
      </c>
      <c r="G59" s="52" t="str">
        <f>IFERROR(__xludf.DUMMYFUNCTION("""COMPUTED_VALUE"""),"")</f>
        <v/>
      </c>
      <c r="H59" s="53" t="str">
        <f>IFERROR(__xludf.DUMMYFUNCTION("""COMPUTED_VALUE"""),"")</f>
        <v/>
      </c>
      <c r="I59" s="53" t="str">
        <f>IFERROR(__xludf.DUMMYFUNCTION("""COMPUTED_VALUE"""),"")</f>
        <v/>
      </c>
      <c r="J59" s="53" t="str">
        <f>IFERROR(__xludf.DUMMYFUNCTION("""COMPUTED_VALUE"""),"")</f>
        <v/>
      </c>
      <c r="K59" s="54" t="str">
        <f>IFERROR(__xludf.DUMMYFUNCTION("""COMPUTED_VALUE"""),"")</f>
        <v/>
      </c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6"/>
      <c r="W59" s="56"/>
      <c r="X59" s="56"/>
      <c r="Y59" s="56"/>
      <c r="Z59" s="57"/>
      <c r="AA59" s="58"/>
      <c r="AB59" s="59"/>
    </row>
    <row r="60" ht="13.5" customHeight="1">
      <c r="A60" s="60" t="str">
        <f>IFERROR(__xludf.DUMMYFUNCTION("""COMPUTED_VALUE"""),"")</f>
        <v/>
      </c>
      <c r="B60" s="64" t="str">
        <f>IFERROR(__xludf.DUMMYFUNCTION("""COMPUTED_VALUE"""),"")</f>
        <v/>
      </c>
      <c r="C60" s="63" t="str">
        <f>IFERROR(__xludf.DUMMYFUNCTION("""COMPUTED_VALUE"""),"")</f>
        <v/>
      </c>
      <c r="D60" s="63" t="str">
        <f>IFERROR(__xludf.DUMMYFUNCTION("""COMPUTED_VALUE"""),"")</f>
        <v/>
      </c>
      <c r="E60" s="51" t="str">
        <f>IFERROR(__xludf.DUMMYFUNCTION("""COMPUTED_VALUE"""),"")</f>
        <v/>
      </c>
      <c r="F60" s="82" t="str">
        <f>IFERROR(__xludf.DUMMYFUNCTION("""COMPUTED_VALUE"""),"")</f>
        <v/>
      </c>
      <c r="G60" s="52" t="str">
        <f>IFERROR(__xludf.DUMMYFUNCTION("""COMPUTED_VALUE"""),"")</f>
        <v/>
      </c>
      <c r="H60" s="53" t="str">
        <f>IFERROR(__xludf.DUMMYFUNCTION("""COMPUTED_VALUE"""),"")</f>
        <v/>
      </c>
      <c r="I60" s="53" t="str">
        <f>IFERROR(__xludf.DUMMYFUNCTION("""COMPUTED_VALUE"""),"")</f>
        <v/>
      </c>
      <c r="J60" s="53" t="str">
        <f>IFERROR(__xludf.DUMMYFUNCTION("""COMPUTED_VALUE"""),"")</f>
        <v/>
      </c>
      <c r="K60" s="54" t="str">
        <f>IFERROR(__xludf.DUMMYFUNCTION("""COMPUTED_VALUE"""),"")</f>
        <v/>
      </c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6"/>
      <c r="W60" s="56"/>
      <c r="X60" s="56"/>
      <c r="Y60" s="56"/>
      <c r="Z60" s="57"/>
      <c r="AA60" s="58"/>
      <c r="AB60" s="59"/>
    </row>
    <row r="61" ht="13.5" customHeight="1">
      <c r="A61" s="60" t="str">
        <f>IFERROR(__xludf.DUMMYFUNCTION("""COMPUTED_VALUE"""),"")</f>
        <v/>
      </c>
      <c r="B61" s="64" t="str">
        <f>IFERROR(__xludf.DUMMYFUNCTION("""COMPUTED_VALUE"""),"")</f>
        <v/>
      </c>
      <c r="C61" s="63" t="str">
        <f>IFERROR(__xludf.DUMMYFUNCTION("""COMPUTED_VALUE"""),"")</f>
        <v/>
      </c>
      <c r="D61" s="63" t="str">
        <f>IFERROR(__xludf.DUMMYFUNCTION("""COMPUTED_VALUE"""),"")</f>
        <v/>
      </c>
      <c r="E61" s="51" t="str">
        <f>IFERROR(__xludf.DUMMYFUNCTION("""COMPUTED_VALUE"""),"")</f>
        <v/>
      </c>
      <c r="F61" s="82" t="str">
        <f>IFERROR(__xludf.DUMMYFUNCTION("""COMPUTED_VALUE"""),"")</f>
        <v/>
      </c>
      <c r="G61" s="52" t="str">
        <f>IFERROR(__xludf.DUMMYFUNCTION("""COMPUTED_VALUE"""),"")</f>
        <v/>
      </c>
      <c r="H61" s="53" t="str">
        <f>IFERROR(__xludf.DUMMYFUNCTION("""COMPUTED_VALUE"""),"")</f>
        <v/>
      </c>
      <c r="I61" s="53" t="str">
        <f>IFERROR(__xludf.DUMMYFUNCTION("""COMPUTED_VALUE"""),"")</f>
        <v/>
      </c>
      <c r="J61" s="53" t="str">
        <f>IFERROR(__xludf.DUMMYFUNCTION("""COMPUTED_VALUE"""),"")</f>
        <v/>
      </c>
      <c r="K61" s="54" t="str">
        <f>IFERROR(__xludf.DUMMYFUNCTION("""COMPUTED_VALUE"""),"")</f>
        <v/>
      </c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6"/>
      <c r="W61" s="56"/>
      <c r="X61" s="56"/>
      <c r="Y61" s="56"/>
      <c r="Z61" s="57"/>
      <c r="AA61" s="58"/>
      <c r="AB61" s="59"/>
    </row>
    <row r="62" ht="13.5" customHeight="1">
      <c r="A62" s="60" t="str">
        <f>IFERROR(__xludf.DUMMYFUNCTION("""COMPUTED_VALUE"""),"")</f>
        <v/>
      </c>
      <c r="B62" s="64" t="str">
        <f>IFERROR(__xludf.DUMMYFUNCTION("""COMPUTED_VALUE"""),"")</f>
        <v/>
      </c>
      <c r="C62" s="63" t="str">
        <f>IFERROR(__xludf.DUMMYFUNCTION("""COMPUTED_VALUE"""),"")</f>
        <v/>
      </c>
      <c r="D62" s="63" t="str">
        <f>IFERROR(__xludf.DUMMYFUNCTION("""COMPUTED_VALUE"""),"")</f>
        <v/>
      </c>
      <c r="E62" s="51" t="str">
        <f>IFERROR(__xludf.DUMMYFUNCTION("""COMPUTED_VALUE"""),"")</f>
        <v/>
      </c>
      <c r="F62" s="82" t="str">
        <f>IFERROR(__xludf.DUMMYFUNCTION("""COMPUTED_VALUE"""),"")</f>
        <v/>
      </c>
      <c r="G62" s="52" t="str">
        <f>IFERROR(__xludf.DUMMYFUNCTION("""COMPUTED_VALUE"""),"")</f>
        <v/>
      </c>
      <c r="H62" s="53" t="str">
        <f>IFERROR(__xludf.DUMMYFUNCTION("""COMPUTED_VALUE"""),"")</f>
        <v/>
      </c>
      <c r="I62" s="53" t="str">
        <f>IFERROR(__xludf.DUMMYFUNCTION("""COMPUTED_VALUE"""),"")</f>
        <v/>
      </c>
      <c r="J62" s="53" t="str">
        <f>IFERROR(__xludf.DUMMYFUNCTION("""COMPUTED_VALUE"""),"")</f>
        <v/>
      </c>
      <c r="K62" s="54" t="str">
        <f>IFERROR(__xludf.DUMMYFUNCTION("""COMPUTED_VALUE"""),"")</f>
        <v/>
      </c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6"/>
      <c r="W62" s="56"/>
      <c r="X62" s="56"/>
      <c r="Y62" s="56"/>
      <c r="Z62" s="57"/>
      <c r="AA62" s="58"/>
      <c r="AB62" s="59"/>
    </row>
    <row r="63" ht="13.5" customHeight="1">
      <c r="A63" s="60" t="str">
        <f>IFERROR(__xludf.DUMMYFUNCTION("""COMPUTED_VALUE"""),"")</f>
        <v/>
      </c>
      <c r="B63" s="64" t="str">
        <f>IFERROR(__xludf.DUMMYFUNCTION("""COMPUTED_VALUE"""),"")</f>
        <v/>
      </c>
      <c r="C63" s="63" t="str">
        <f>IFERROR(__xludf.DUMMYFUNCTION("""COMPUTED_VALUE"""),"")</f>
        <v/>
      </c>
      <c r="D63" s="63" t="str">
        <f>IFERROR(__xludf.DUMMYFUNCTION("""COMPUTED_VALUE"""),"")</f>
        <v/>
      </c>
      <c r="E63" s="51" t="str">
        <f>IFERROR(__xludf.DUMMYFUNCTION("""COMPUTED_VALUE"""),"")</f>
        <v/>
      </c>
      <c r="F63" s="82" t="str">
        <f>IFERROR(__xludf.DUMMYFUNCTION("""COMPUTED_VALUE"""),"")</f>
        <v/>
      </c>
      <c r="G63" s="52" t="str">
        <f>IFERROR(__xludf.DUMMYFUNCTION("""COMPUTED_VALUE"""),"")</f>
        <v/>
      </c>
      <c r="H63" s="53" t="str">
        <f>IFERROR(__xludf.DUMMYFUNCTION("""COMPUTED_VALUE"""),"")</f>
        <v/>
      </c>
      <c r="I63" s="53" t="str">
        <f>IFERROR(__xludf.DUMMYFUNCTION("""COMPUTED_VALUE"""),"")</f>
        <v/>
      </c>
      <c r="J63" s="53" t="str">
        <f>IFERROR(__xludf.DUMMYFUNCTION("""COMPUTED_VALUE"""),"")</f>
        <v/>
      </c>
      <c r="K63" s="54" t="str">
        <f>IFERROR(__xludf.DUMMYFUNCTION("""COMPUTED_VALUE"""),"")</f>
        <v/>
      </c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6"/>
      <c r="W63" s="56"/>
      <c r="X63" s="56"/>
      <c r="Y63" s="56"/>
      <c r="Z63" s="57"/>
      <c r="AA63" s="58"/>
      <c r="AB63" s="59"/>
    </row>
    <row r="64" ht="13.5" customHeight="1">
      <c r="A64" s="60" t="str">
        <f>IFERROR(__xludf.DUMMYFUNCTION("""COMPUTED_VALUE"""),"")</f>
        <v/>
      </c>
      <c r="B64" s="64" t="str">
        <f>IFERROR(__xludf.DUMMYFUNCTION("""COMPUTED_VALUE"""),"")</f>
        <v/>
      </c>
      <c r="C64" s="63" t="str">
        <f>IFERROR(__xludf.DUMMYFUNCTION("""COMPUTED_VALUE"""),"")</f>
        <v/>
      </c>
      <c r="D64" s="63" t="str">
        <f>IFERROR(__xludf.DUMMYFUNCTION("""COMPUTED_VALUE"""),"")</f>
        <v/>
      </c>
      <c r="E64" s="51" t="str">
        <f>IFERROR(__xludf.DUMMYFUNCTION("""COMPUTED_VALUE"""),"")</f>
        <v/>
      </c>
      <c r="F64" s="82" t="str">
        <f>IFERROR(__xludf.DUMMYFUNCTION("""COMPUTED_VALUE"""),"")</f>
        <v/>
      </c>
      <c r="G64" s="52" t="str">
        <f>IFERROR(__xludf.DUMMYFUNCTION("""COMPUTED_VALUE"""),"")</f>
        <v/>
      </c>
      <c r="H64" s="53" t="str">
        <f>IFERROR(__xludf.DUMMYFUNCTION("""COMPUTED_VALUE"""),"")</f>
        <v/>
      </c>
      <c r="I64" s="53" t="str">
        <f>IFERROR(__xludf.DUMMYFUNCTION("""COMPUTED_VALUE"""),"")</f>
        <v/>
      </c>
      <c r="J64" s="53" t="str">
        <f>IFERROR(__xludf.DUMMYFUNCTION("""COMPUTED_VALUE"""),"")</f>
        <v/>
      </c>
      <c r="K64" s="54" t="str">
        <f>IFERROR(__xludf.DUMMYFUNCTION("""COMPUTED_VALUE"""),"")</f>
        <v/>
      </c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6"/>
      <c r="W64" s="56"/>
      <c r="X64" s="56"/>
      <c r="Y64" s="56"/>
      <c r="Z64" s="57"/>
      <c r="AA64" s="58"/>
      <c r="AB64" s="59"/>
    </row>
    <row r="65" ht="13.5" customHeight="1">
      <c r="A65" s="60" t="str">
        <f>IFERROR(__xludf.DUMMYFUNCTION("""COMPUTED_VALUE"""),"")</f>
        <v/>
      </c>
      <c r="B65" s="64" t="str">
        <f>IFERROR(__xludf.DUMMYFUNCTION("""COMPUTED_VALUE"""),"")</f>
        <v/>
      </c>
      <c r="C65" s="63" t="str">
        <f>IFERROR(__xludf.DUMMYFUNCTION("""COMPUTED_VALUE"""),"")</f>
        <v/>
      </c>
      <c r="D65" s="63" t="str">
        <f>IFERROR(__xludf.DUMMYFUNCTION("""COMPUTED_VALUE"""),"")</f>
        <v/>
      </c>
      <c r="E65" s="51" t="str">
        <f>IFERROR(__xludf.DUMMYFUNCTION("""COMPUTED_VALUE"""),"")</f>
        <v/>
      </c>
      <c r="F65" s="82" t="str">
        <f>IFERROR(__xludf.DUMMYFUNCTION("""COMPUTED_VALUE"""),"")</f>
        <v/>
      </c>
      <c r="G65" s="52" t="str">
        <f>IFERROR(__xludf.DUMMYFUNCTION("""COMPUTED_VALUE"""),"")</f>
        <v/>
      </c>
      <c r="H65" s="53" t="str">
        <f>IFERROR(__xludf.DUMMYFUNCTION("""COMPUTED_VALUE"""),"")</f>
        <v/>
      </c>
      <c r="I65" s="53" t="str">
        <f>IFERROR(__xludf.DUMMYFUNCTION("""COMPUTED_VALUE"""),"")</f>
        <v/>
      </c>
      <c r="J65" s="53" t="str">
        <f>IFERROR(__xludf.DUMMYFUNCTION("""COMPUTED_VALUE"""),"")</f>
        <v/>
      </c>
      <c r="K65" s="54" t="str">
        <f>IFERROR(__xludf.DUMMYFUNCTION("""COMPUTED_VALUE"""),"")</f>
        <v/>
      </c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6"/>
      <c r="W65" s="56"/>
      <c r="X65" s="56"/>
      <c r="Y65" s="56"/>
      <c r="Z65" s="57"/>
      <c r="AA65" s="58"/>
      <c r="AB65" s="59"/>
    </row>
    <row r="66" ht="13.5" customHeight="1">
      <c r="A66" s="60" t="str">
        <f>IFERROR(__xludf.DUMMYFUNCTION("""COMPUTED_VALUE"""),"")</f>
        <v/>
      </c>
      <c r="B66" s="64" t="str">
        <f>IFERROR(__xludf.DUMMYFUNCTION("""COMPUTED_VALUE"""),"")</f>
        <v/>
      </c>
      <c r="C66" s="63" t="str">
        <f>IFERROR(__xludf.DUMMYFUNCTION("""COMPUTED_VALUE"""),"")</f>
        <v/>
      </c>
      <c r="D66" s="63" t="str">
        <f>IFERROR(__xludf.DUMMYFUNCTION("""COMPUTED_VALUE"""),"")</f>
        <v/>
      </c>
      <c r="E66" s="51" t="str">
        <f>IFERROR(__xludf.DUMMYFUNCTION("""COMPUTED_VALUE"""),"")</f>
        <v/>
      </c>
      <c r="F66" s="82" t="str">
        <f>IFERROR(__xludf.DUMMYFUNCTION("""COMPUTED_VALUE"""),"")</f>
        <v/>
      </c>
      <c r="G66" s="52" t="str">
        <f>IFERROR(__xludf.DUMMYFUNCTION("""COMPUTED_VALUE"""),"")</f>
        <v/>
      </c>
      <c r="H66" s="53" t="str">
        <f>IFERROR(__xludf.DUMMYFUNCTION("""COMPUTED_VALUE"""),"")</f>
        <v/>
      </c>
      <c r="I66" s="53" t="str">
        <f>IFERROR(__xludf.DUMMYFUNCTION("""COMPUTED_VALUE"""),"")</f>
        <v/>
      </c>
      <c r="J66" s="53" t="str">
        <f>IFERROR(__xludf.DUMMYFUNCTION("""COMPUTED_VALUE"""),"")</f>
        <v/>
      </c>
      <c r="K66" s="54" t="str">
        <f>IFERROR(__xludf.DUMMYFUNCTION("""COMPUTED_VALUE"""),"")</f>
        <v/>
      </c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6"/>
      <c r="W66" s="56"/>
      <c r="X66" s="56"/>
      <c r="Y66" s="56"/>
      <c r="Z66" s="57"/>
      <c r="AA66" s="58"/>
      <c r="AB66" s="59"/>
    </row>
    <row r="67" ht="13.5" customHeight="1">
      <c r="A67" s="60" t="str">
        <f>IFERROR(__xludf.DUMMYFUNCTION("""COMPUTED_VALUE"""),"")</f>
        <v/>
      </c>
      <c r="B67" s="64" t="str">
        <f>IFERROR(__xludf.DUMMYFUNCTION("""COMPUTED_VALUE"""),"")</f>
        <v/>
      </c>
      <c r="C67" s="63" t="str">
        <f>IFERROR(__xludf.DUMMYFUNCTION("""COMPUTED_VALUE"""),"")</f>
        <v/>
      </c>
      <c r="D67" s="63" t="str">
        <f>IFERROR(__xludf.DUMMYFUNCTION("""COMPUTED_VALUE"""),"")</f>
        <v/>
      </c>
      <c r="E67" s="51" t="str">
        <f>IFERROR(__xludf.DUMMYFUNCTION("""COMPUTED_VALUE"""),"")</f>
        <v/>
      </c>
      <c r="F67" s="82" t="str">
        <f>IFERROR(__xludf.DUMMYFUNCTION("""COMPUTED_VALUE"""),"")</f>
        <v/>
      </c>
      <c r="G67" s="52" t="str">
        <f>IFERROR(__xludf.DUMMYFUNCTION("""COMPUTED_VALUE"""),"")</f>
        <v/>
      </c>
      <c r="H67" s="53" t="str">
        <f>IFERROR(__xludf.DUMMYFUNCTION("""COMPUTED_VALUE"""),"")</f>
        <v/>
      </c>
      <c r="I67" s="53" t="str">
        <f>IFERROR(__xludf.DUMMYFUNCTION("""COMPUTED_VALUE"""),"")</f>
        <v/>
      </c>
      <c r="J67" s="53" t="str">
        <f>IFERROR(__xludf.DUMMYFUNCTION("""COMPUTED_VALUE"""),"")</f>
        <v/>
      </c>
      <c r="K67" s="54" t="str">
        <f>IFERROR(__xludf.DUMMYFUNCTION("""COMPUTED_VALUE"""),"")</f>
        <v/>
      </c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6"/>
      <c r="W67" s="56"/>
      <c r="X67" s="56"/>
      <c r="Y67" s="56"/>
      <c r="Z67" s="57"/>
      <c r="AA67" s="58"/>
      <c r="AB67" s="59"/>
    </row>
    <row r="68" ht="13.5" customHeight="1">
      <c r="A68" s="60" t="str">
        <f>IFERROR(__xludf.DUMMYFUNCTION("""COMPUTED_VALUE"""),"")</f>
        <v/>
      </c>
      <c r="B68" s="64" t="str">
        <f>IFERROR(__xludf.DUMMYFUNCTION("""COMPUTED_VALUE"""),"")</f>
        <v/>
      </c>
      <c r="C68" s="63" t="str">
        <f>IFERROR(__xludf.DUMMYFUNCTION("""COMPUTED_VALUE"""),"")</f>
        <v/>
      </c>
      <c r="D68" s="63" t="str">
        <f>IFERROR(__xludf.DUMMYFUNCTION("""COMPUTED_VALUE"""),"")</f>
        <v/>
      </c>
      <c r="E68" s="51" t="str">
        <f>IFERROR(__xludf.DUMMYFUNCTION("""COMPUTED_VALUE"""),"")</f>
        <v/>
      </c>
      <c r="F68" s="82" t="str">
        <f>IFERROR(__xludf.DUMMYFUNCTION("""COMPUTED_VALUE"""),"")</f>
        <v/>
      </c>
      <c r="G68" s="52" t="str">
        <f>IFERROR(__xludf.DUMMYFUNCTION("""COMPUTED_VALUE"""),"")</f>
        <v/>
      </c>
      <c r="H68" s="53" t="str">
        <f>IFERROR(__xludf.DUMMYFUNCTION("""COMPUTED_VALUE"""),"")</f>
        <v/>
      </c>
      <c r="I68" s="53" t="str">
        <f>IFERROR(__xludf.DUMMYFUNCTION("""COMPUTED_VALUE"""),"")</f>
        <v/>
      </c>
      <c r="J68" s="53" t="str">
        <f>IFERROR(__xludf.DUMMYFUNCTION("""COMPUTED_VALUE"""),"")</f>
        <v/>
      </c>
      <c r="K68" s="54" t="str">
        <f>IFERROR(__xludf.DUMMYFUNCTION("""COMPUTED_VALUE"""),"")</f>
        <v/>
      </c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6"/>
      <c r="W68" s="56"/>
      <c r="X68" s="56"/>
      <c r="Y68" s="56"/>
      <c r="Z68" s="57"/>
      <c r="AA68" s="58"/>
      <c r="AB68" s="59"/>
    </row>
    <row r="69" ht="13.5" customHeight="1">
      <c r="A69" s="60" t="str">
        <f>IFERROR(__xludf.DUMMYFUNCTION("""COMPUTED_VALUE"""),"")</f>
        <v/>
      </c>
      <c r="B69" s="64" t="str">
        <f>IFERROR(__xludf.DUMMYFUNCTION("""COMPUTED_VALUE"""),"")</f>
        <v/>
      </c>
      <c r="C69" s="63" t="str">
        <f>IFERROR(__xludf.DUMMYFUNCTION("""COMPUTED_VALUE"""),"")</f>
        <v/>
      </c>
      <c r="D69" s="63" t="str">
        <f>IFERROR(__xludf.DUMMYFUNCTION("""COMPUTED_VALUE"""),"")</f>
        <v/>
      </c>
      <c r="E69" s="51" t="str">
        <f>IFERROR(__xludf.DUMMYFUNCTION("""COMPUTED_VALUE"""),"")</f>
        <v/>
      </c>
      <c r="F69" s="82" t="str">
        <f>IFERROR(__xludf.DUMMYFUNCTION("""COMPUTED_VALUE"""),"")</f>
        <v/>
      </c>
      <c r="G69" s="52" t="str">
        <f>IFERROR(__xludf.DUMMYFUNCTION("""COMPUTED_VALUE"""),"")</f>
        <v/>
      </c>
      <c r="H69" s="53" t="str">
        <f>IFERROR(__xludf.DUMMYFUNCTION("""COMPUTED_VALUE"""),"")</f>
        <v/>
      </c>
      <c r="I69" s="53" t="str">
        <f>IFERROR(__xludf.DUMMYFUNCTION("""COMPUTED_VALUE"""),"")</f>
        <v/>
      </c>
      <c r="J69" s="53" t="str">
        <f>IFERROR(__xludf.DUMMYFUNCTION("""COMPUTED_VALUE"""),"")</f>
        <v/>
      </c>
      <c r="K69" s="54" t="str">
        <f>IFERROR(__xludf.DUMMYFUNCTION("""COMPUTED_VALUE"""),"")</f>
        <v/>
      </c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6"/>
      <c r="W69" s="56"/>
      <c r="X69" s="56"/>
      <c r="Y69" s="56"/>
      <c r="Z69" s="57"/>
      <c r="AA69" s="58"/>
      <c r="AB69" s="59"/>
    </row>
    <row r="70" ht="13.5" customHeight="1">
      <c r="A70" s="60" t="str">
        <f>IFERROR(__xludf.DUMMYFUNCTION("""COMPUTED_VALUE"""),"")</f>
        <v/>
      </c>
      <c r="B70" s="64" t="str">
        <f>IFERROR(__xludf.DUMMYFUNCTION("""COMPUTED_VALUE"""),"")</f>
        <v/>
      </c>
      <c r="C70" s="63" t="str">
        <f>IFERROR(__xludf.DUMMYFUNCTION("""COMPUTED_VALUE"""),"")</f>
        <v/>
      </c>
      <c r="D70" s="63" t="str">
        <f>IFERROR(__xludf.DUMMYFUNCTION("""COMPUTED_VALUE"""),"")</f>
        <v/>
      </c>
      <c r="E70" s="51" t="str">
        <f>IFERROR(__xludf.DUMMYFUNCTION("""COMPUTED_VALUE"""),"")</f>
        <v/>
      </c>
      <c r="F70" s="82" t="str">
        <f>IFERROR(__xludf.DUMMYFUNCTION("""COMPUTED_VALUE"""),"")</f>
        <v/>
      </c>
      <c r="G70" s="52" t="str">
        <f>IFERROR(__xludf.DUMMYFUNCTION("""COMPUTED_VALUE"""),"")</f>
        <v/>
      </c>
      <c r="H70" s="53" t="str">
        <f>IFERROR(__xludf.DUMMYFUNCTION("""COMPUTED_VALUE"""),"")</f>
        <v/>
      </c>
      <c r="I70" s="53" t="str">
        <f>IFERROR(__xludf.DUMMYFUNCTION("""COMPUTED_VALUE"""),"")</f>
        <v/>
      </c>
      <c r="J70" s="53" t="str">
        <f>IFERROR(__xludf.DUMMYFUNCTION("""COMPUTED_VALUE"""),"")</f>
        <v/>
      </c>
      <c r="K70" s="54" t="str">
        <f>IFERROR(__xludf.DUMMYFUNCTION("""COMPUTED_VALUE"""),"")</f>
        <v/>
      </c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6"/>
      <c r="W70" s="56"/>
      <c r="X70" s="56"/>
      <c r="Y70" s="56"/>
      <c r="Z70" s="57"/>
      <c r="AA70" s="58"/>
      <c r="AB70" s="59"/>
    </row>
    <row r="71" ht="13.5" customHeight="1">
      <c r="A71" s="60" t="str">
        <f>IFERROR(__xludf.DUMMYFUNCTION("""COMPUTED_VALUE"""),"")</f>
        <v/>
      </c>
      <c r="B71" s="64" t="str">
        <f>IFERROR(__xludf.DUMMYFUNCTION("""COMPUTED_VALUE"""),"")</f>
        <v/>
      </c>
      <c r="C71" s="63" t="str">
        <f>IFERROR(__xludf.DUMMYFUNCTION("""COMPUTED_VALUE"""),"")</f>
        <v/>
      </c>
      <c r="D71" s="63" t="str">
        <f>IFERROR(__xludf.DUMMYFUNCTION("""COMPUTED_VALUE"""),"")</f>
        <v/>
      </c>
      <c r="E71" s="51" t="str">
        <f>IFERROR(__xludf.DUMMYFUNCTION("""COMPUTED_VALUE"""),"")</f>
        <v/>
      </c>
      <c r="F71" s="82" t="str">
        <f>IFERROR(__xludf.DUMMYFUNCTION("""COMPUTED_VALUE"""),"")</f>
        <v/>
      </c>
      <c r="G71" s="52" t="str">
        <f>IFERROR(__xludf.DUMMYFUNCTION("""COMPUTED_VALUE"""),"")</f>
        <v/>
      </c>
      <c r="H71" s="53" t="str">
        <f>IFERROR(__xludf.DUMMYFUNCTION("""COMPUTED_VALUE"""),"")</f>
        <v/>
      </c>
      <c r="I71" s="53" t="str">
        <f>IFERROR(__xludf.DUMMYFUNCTION("""COMPUTED_VALUE"""),"")</f>
        <v/>
      </c>
      <c r="J71" s="53" t="str">
        <f>IFERROR(__xludf.DUMMYFUNCTION("""COMPUTED_VALUE"""),"")</f>
        <v/>
      </c>
      <c r="K71" s="54" t="str">
        <f>IFERROR(__xludf.DUMMYFUNCTION("""COMPUTED_VALUE"""),"")</f>
        <v/>
      </c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6"/>
      <c r="W71" s="56"/>
      <c r="X71" s="56"/>
      <c r="Y71" s="56"/>
      <c r="Z71" s="57"/>
      <c r="AA71" s="58"/>
      <c r="AB71" s="59"/>
    </row>
    <row r="72" ht="13.5" customHeight="1">
      <c r="A72" s="60" t="str">
        <f>IFERROR(__xludf.DUMMYFUNCTION("""COMPUTED_VALUE"""),"")</f>
        <v/>
      </c>
      <c r="B72" s="64" t="str">
        <f>IFERROR(__xludf.DUMMYFUNCTION("""COMPUTED_VALUE"""),"")</f>
        <v/>
      </c>
      <c r="C72" s="63" t="str">
        <f>IFERROR(__xludf.DUMMYFUNCTION("""COMPUTED_VALUE"""),"")</f>
        <v/>
      </c>
      <c r="D72" s="63" t="str">
        <f>IFERROR(__xludf.DUMMYFUNCTION("""COMPUTED_VALUE"""),"")</f>
        <v/>
      </c>
      <c r="E72" s="51" t="str">
        <f>IFERROR(__xludf.DUMMYFUNCTION("""COMPUTED_VALUE"""),"")</f>
        <v/>
      </c>
      <c r="F72" s="82" t="str">
        <f>IFERROR(__xludf.DUMMYFUNCTION("""COMPUTED_VALUE"""),"")</f>
        <v/>
      </c>
      <c r="G72" s="52" t="str">
        <f>IFERROR(__xludf.DUMMYFUNCTION("""COMPUTED_VALUE"""),"")</f>
        <v/>
      </c>
      <c r="H72" s="53" t="str">
        <f>IFERROR(__xludf.DUMMYFUNCTION("""COMPUTED_VALUE"""),"")</f>
        <v/>
      </c>
      <c r="I72" s="53" t="str">
        <f>IFERROR(__xludf.DUMMYFUNCTION("""COMPUTED_VALUE"""),"")</f>
        <v/>
      </c>
      <c r="J72" s="53" t="str">
        <f>IFERROR(__xludf.DUMMYFUNCTION("""COMPUTED_VALUE"""),"")</f>
        <v/>
      </c>
      <c r="K72" s="54" t="str">
        <f>IFERROR(__xludf.DUMMYFUNCTION("""COMPUTED_VALUE"""),"")</f>
        <v/>
      </c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6"/>
      <c r="W72" s="56"/>
      <c r="X72" s="56"/>
      <c r="Y72" s="56"/>
      <c r="Z72" s="57"/>
      <c r="AA72" s="58"/>
      <c r="AB72" s="59"/>
    </row>
    <row r="73" ht="13.5" customHeight="1">
      <c r="A73" s="60" t="str">
        <f>IFERROR(__xludf.DUMMYFUNCTION("""COMPUTED_VALUE"""),"")</f>
        <v/>
      </c>
      <c r="B73" s="64" t="str">
        <f>IFERROR(__xludf.DUMMYFUNCTION("""COMPUTED_VALUE"""),"")</f>
        <v/>
      </c>
      <c r="C73" s="63" t="str">
        <f>IFERROR(__xludf.DUMMYFUNCTION("""COMPUTED_VALUE"""),"")</f>
        <v/>
      </c>
      <c r="D73" s="63" t="str">
        <f>IFERROR(__xludf.DUMMYFUNCTION("""COMPUTED_VALUE"""),"")</f>
        <v/>
      </c>
      <c r="E73" s="51" t="str">
        <f>IFERROR(__xludf.DUMMYFUNCTION("""COMPUTED_VALUE"""),"")</f>
        <v/>
      </c>
      <c r="F73" s="82" t="str">
        <f>IFERROR(__xludf.DUMMYFUNCTION("""COMPUTED_VALUE"""),"")</f>
        <v/>
      </c>
      <c r="G73" s="52" t="str">
        <f>IFERROR(__xludf.DUMMYFUNCTION("""COMPUTED_VALUE"""),"")</f>
        <v/>
      </c>
      <c r="H73" s="53" t="str">
        <f>IFERROR(__xludf.DUMMYFUNCTION("""COMPUTED_VALUE"""),"")</f>
        <v/>
      </c>
      <c r="I73" s="53" t="str">
        <f>IFERROR(__xludf.DUMMYFUNCTION("""COMPUTED_VALUE"""),"")</f>
        <v/>
      </c>
      <c r="J73" s="53" t="str">
        <f>IFERROR(__xludf.DUMMYFUNCTION("""COMPUTED_VALUE"""),"")</f>
        <v/>
      </c>
      <c r="K73" s="54" t="str">
        <f>IFERROR(__xludf.DUMMYFUNCTION("""COMPUTED_VALUE"""),"")</f>
        <v/>
      </c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6"/>
      <c r="W73" s="56"/>
      <c r="X73" s="56"/>
      <c r="Y73" s="56"/>
      <c r="Z73" s="57"/>
      <c r="AA73" s="58"/>
      <c r="AB73" s="59"/>
    </row>
    <row r="74" ht="13.5" customHeight="1">
      <c r="A74" s="60" t="str">
        <f>IFERROR(__xludf.DUMMYFUNCTION("""COMPUTED_VALUE"""),"")</f>
        <v/>
      </c>
      <c r="B74" s="64" t="str">
        <f>IFERROR(__xludf.DUMMYFUNCTION("""COMPUTED_VALUE"""),"")</f>
        <v/>
      </c>
      <c r="C74" s="63" t="str">
        <f>IFERROR(__xludf.DUMMYFUNCTION("""COMPUTED_VALUE"""),"")</f>
        <v/>
      </c>
      <c r="D74" s="63" t="str">
        <f>IFERROR(__xludf.DUMMYFUNCTION("""COMPUTED_VALUE"""),"")</f>
        <v/>
      </c>
      <c r="E74" s="51" t="str">
        <f>IFERROR(__xludf.DUMMYFUNCTION("""COMPUTED_VALUE"""),"")</f>
        <v/>
      </c>
      <c r="F74" s="82" t="str">
        <f>IFERROR(__xludf.DUMMYFUNCTION("""COMPUTED_VALUE"""),"")</f>
        <v/>
      </c>
      <c r="G74" s="52" t="str">
        <f>IFERROR(__xludf.DUMMYFUNCTION("""COMPUTED_VALUE"""),"")</f>
        <v/>
      </c>
      <c r="H74" s="53" t="str">
        <f>IFERROR(__xludf.DUMMYFUNCTION("""COMPUTED_VALUE"""),"")</f>
        <v/>
      </c>
      <c r="I74" s="53" t="str">
        <f>IFERROR(__xludf.DUMMYFUNCTION("""COMPUTED_VALUE"""),"")</f>
        <v/>
      </c>
      <c r="J74" s="53" t="str">
        <f>IFERROR(__xludf.DUMMYFUNCTION("""COMPUTED_VALUE"""),"")</f>
        <v/>
      </c>
      <c r="K74" s="54" t="str">
        <f>IFERROR(__xludf.DUMMYFUNCTION("""COMPUTED_VALUE"""),"")</f>
        <v/>
      </c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6"/>
      <c r="W74" s="56"/>
      <c r="X74" s="56"/>
      <c r="Y74" s="56"/>
      <c r="Z74" s="57"/>
      <c r="AA74" s="58"/>
      <c r="AB74" s="59"/>
    </row>
    <row r="75" ht="13.5" customHeight="1">
      <c r="A75" s="60" t="str">
        <f>IFERROR(__xludf.DUMMYFUNCTION("""COMPUTED_VALUE"""),"")</f>
        <v/>
      </c>
      <c r="B75" s="64" t="str">
        <f>IFERROR(__xludf.DUMMYFUNCTION("""COMPUTED_VALUE"""),"")</f>
        <v/>
      </c>
      <c r="C75" s="63" t="str">
        <f>IFERROR(__xludf.DUMMYFUNCTION("""COMPUTED_VALUE"""),"")</f>
        <v/>
      </c>
      <c r="D75" s="63" t="str">
        <f>IFERROR(__xludf.DUMMYFUNCTION("""COMPUTED_VALUE"""),"")</f>
        <v/>
      </c>
      <c r="E75" s="51" t="str">
        <f>IFERROR(__xludf.DUMMYFUNCTION("""COMPUTED_VALUE"""),"")</f>
        <v/>
      </c>
      <c r="F75" s="82" t="str">
        <f>IFERROR(__xludf.DUMMYFUNCTION("""COMPUTED_VALUE"""),"")</f>
        <v/>
      </c>
      <c r="G75" s="52" t="str">
        <f>IFERROR(__xludf.DUMMYFUNCTION("""COMPUTED_VALUE"""),"")</f>
        <v/>
      </c>
      <c r="H75" s="53" t="str">
        <f>IFERROR(__xludf.DUMMYFUNCTION("""COMPUTED_VALUE"""),"")</f>
        <v/>
      </c>
      <c r="I75" s="53" t="str">
        <f>IFERROR(__xludf.DUMMYFUNCTION("""COMPUTED_VALUE"""),"")</f>
        <v/>
      </c>
      <c r="J75" s="53" t="str">
        <f>IFERROR(__xludf.DUMMYFUNCTION("""COMPUTED_VALUE"""),"")</f>
        <v/>
      </c>
      <c r="K75" s="54" t="str">
        <f>IFERROR(__xludf.DUMMYFUNCTION("""COMPUTED_VALUE"""),"")</f>
        <v/>
      </c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6"/>
      <c r="W75" s="56"/>
      <c r="X75" s="56"/>
      <c r="Y75" s="56"/>
      <c r="Z75" s="57"/>
      <c r="AA75" s="58"/>
      <c r="AB75" s="59"/>
    </row>
    <row r="76" ht="13.5" customHeight="1">
      <c r="A76" s="60" t="str">
        <f>IFERROR(__xludf.DUMMYFUNCTION("""COMPUTED_VALUE"""),"")</f>
        <v/>
      </c>
      <c r="B76" s="64" t="str">
        <f>IFERROR(__xludf.DUMMYFUNCTION("""COMPUTED_VALUE"""),"")</f>
        <v/>
      </c>
      <c r="C76" s="63" t="str">
        <f>IFERROR(__xludf.DUMMYFUNCTION("""COMPUTED_VALUE"""),"")</f>
        <v/>
      </c>
      <c r="D76" s="63" t="str">
        <f>IFERROR(__xludf.DUMMYFUNCTION("""COMPUTED_VALUE"""),"")</f>
        <v/>
      </c>
      <c r="E76" s="51" t="str">
        <f>IFERROR(__xludf.DUMMYFUNCTION("""COMPUTED_VALUE"""),"")</f>
        <v/>
      </c>
      <c r="F76" s="82" t="str">
        <f>IFERROR(__xludf.DUMMYFUNCTION("""COMPUTED_VALUE"""),"")</f>
        <v/>
      </c>
      <c r="G76" s="52" t="str">
        <f>IFERROR(__xludf.DUMMYFUNCTION("""COMPUTED_VALUE"""),"")</f>
        <v/>
      </c>
      <c r="H76" s="53" t="str">
        <f>IFERROR(__xludf.DUMMYFUNCTION("""COMPUTED_VALUE"""),"")</f>
        <v/>
      </c>
      <c r="I76" s="53" t="str">
        <f>IFERROR(__xludf.DUMMYFUNCTION("""COMPUTED_VALUE"""),"")</f>
        <v/>
      </c>
      <c r="J76" s="53" t="str">
        <f>IFERROR(__xludf.DUMMYFUNCTION("""COMPUTED_VALUE"""),"")</f>
        <v/>
      </c>
      <c r="K76" s="54" t="str">
        <f>IFERROR(__xludf.DUMMYFUNCTION("""COMPUTED_VALUE"""),"")</f>
        <v/>
      </c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6"/>
      <c r="W76" s="56"/>
      <c r="X76" s="56"/>
      <c r="Y76" s="56"/>
      <c r="Z76" s="57"/>
      <c r="AA76" s="58"/>
      <c r="AB76" s="59"/>
    </row>
    <row r="77" ht="13.5" customHeight="1">
      <c r="A77" s="60" t="str">
        <f>IFERROR(__xludf.DUMMYFUNCTION("""COMPUTED_VALUE"""),"")</f>
        <v/>
      </c>
      <c r="B77" s="64" t="str">
        <f>IFERROR(__xludf.DUMMYFUNCTION("""COMPUTED_VALUE"""),"")</f>
        <v/>
      </c>
      <c r="C77" s="63" t="str">
        <f>IFERROR(__xludf.DUMMYFUNCTION("""COMPUTED_VALUE"""),"")</f>
        <v/>
      </c>
      <c r="D77" s="63" t="str">
        <f>IFERROR(__xludf.DUMMYFUNCTION("""COMPUTED_VALUE"""),"")</f>
        <v/>
      </c>
      <c r="E77" s="51" t="str">
        <f>IFERROR(__xludf.DUMMYFUNCTION("""COMPUTED_VALUE"""),"")</f>
        <v/>
      </c>
      <c r="F77" s="82" t="str">
        <f>IFERROR(__xludf.DUMMYFUNCTION("""COMPUTED_VALUE"""),"")</f>
        <v/>
      </c>
      <c r="G77" s="52" t="str">
        <f>IFERROR(__xludf.DUMMYFUNCTION("""COMPUTED_VALUE"""),"")</f>
        <v/>
      </c>
      <c r="H77" s="53" t="str">
        <f>IFERROR(__xludf.DUMMYFUNCTION("""COMPUTED_VALUE"""),"")</f>
        <v/>
      </c>
      <c r="I77" s="53" t="str">
        <f>IFERROR(__xludf.DUMMYFUNCTION("""COMPUTED_VALUE"""),"")</f>
        <v/>
      </c>
      <c r="J77" s="53" t="str">
        <f>IFERROR(__xludf.DUMMYFUNCTION("""COMPUTED_VALUE"""),"")</f>
        <v/>
      </c>
      <c r="K77" s="54" t="str">
        <f>IFERROR(__xludf.DUMMYFUNCTION("""COMPUTED_VALUE"""),"")</f>
        <v/>
      </c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6"/>
      <c r="W77" s="56"/>
      <c r="X77" s="56"/>
      <c r="Y77" s="56"/>
      <c r="Z77" s="57"/>
      <c r="AA77" s="58"/>
      <c r="AB77" s="59"/>
    </row>
    <row r="78" ht="13.5" customHeight="1">
      <c r="A78" s="60" t="str">
        <f>IFERROR(__xludf.DUMMYFUNCTION("""COMPUTED_VALUE"""),"")</f>
        <v/>
      </c>
      <c r="B78" s="64" t="str">
        <f>IFERROR(__xludf.DUMMYFUNCTION("""COMPUTED_VALUE"""),"")</f>
        <v/>
      </c>
      <c r="C78" s="63" t="str">
        <f>IFERROR(__xludf.DUMMYFUNCTION("""COMPUTED_VALUE"""),"")</f>
        <v/>
      </c>
      <c r="D78" s="63" t="str">
        <f>IFERROR(__xludf.DUMMYFUNCTION("""COMPUTED_VALUE"""),"")</f>
        <v/>
      </c>
      <c r="E78" s="51" t="str">
        <f>IFERROR(__xludf.DUMMYFUNCTION("""COMPUTED_VALUE"""),"")</f>
        <v/>
      </c>
      <c r="F78" s="82" t="str">
        <f>IFERROR(__xludf.DUMMYFUNCTION("""COMPUTED_VALUE"""),"")</f>
        <v/>
      </c>
      <c r="G78" s="52" t="str">
        <f>IFERROR(__xludf.DUMMYFUNCTION("""COMPUTED_VALUE"""),"")</f>
        <v/>
      </c>
      <c r="H78" s="53" t="str">
        <f>IFERROR(__xludf.DUMMYFUNCTION("""COMPUTED_VALUE"""),"")</f>
        <v/>
      </c>
      <c r="I78" s="53" t="str">
        <f>IFERROR(__xludf.DUMMYFUNCTION("""COMPUTED_VALUE"""),"")</f>
        <v/>
      </c>
      <c r="J78" s="53" t="str">
        <f>IFERROR(__xludf.DUMMYFUNCTION("""COMPUTED_VALUE"""),"")</f>
        <v/>
      </c>
      <c r="K78" s="54" t="str">
        <f>IFERROR(__xludf.DUMMYFUNCTION("""COMPUTED_VALUE"""),"")</f>
        <v/>
      </c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6"/>
      <c r="W78" s="56"/>
      <c r="X78" s="56"/>
      <c r="Y78" s="56"/>
      <c r="Z78" s="57"/>
      <c r="AA78" s="58"/>
      <c r="AB78" s="59"/>
    </row>
    <row r="79" ht="13.5" customHeight="1">
      <c r="A79" s="60" t="str">
        <f>IFERROR(__xludf.DUMMYFUNCTION("""COMPUTED_VALUE"""),"")</f>
        <v/>
      </c>
      <c r="B79" s="64" t="str">
        <f>IFERROR(__xludf.DUMMYFUNCTION("""COMPUTED_VALUE"""),"")</f>
        <v/>
      </c>
      <c r="C79" s="63" t="str">
        <f>IFERROR(__xludf.DUMMYFUNCTION("""COMPUTED_VALUE"""),"")</f>
        <v/>
      </c>
      <c r="D79" s="63" t="str">
        <f>IFERROR(__xludf.DUMMYFUNCTION("""COMPUTED_VALUE"""),"")</f>
        <v/>
      </c>
      <c r="E79" s="51" t="str">
        <f>IFERROR(__xludf.DUMMYFUNCTION("""COMPUTED_VALUE"""),"")</f>
        <v/>
      </c>
      <c r="F79" s="82" t="str">
        <f>IFERROR(__xludf.DUMMYFUNCTION("""COMPUTED_VALUE"""),"")</f>
        <v/>
      </c>
      <c r="G79" s="52" t="str">
        <f>IFERROR(__xludf.DUMMYFUNCTION("""COMPUTED_VALUE"""),"")</f>
        <v/>
      </c>
      <c r="H79" s="53" t="str">
        <f>IFERROR(__xludf.DUMMYFUNCTION("""COMPUTED_VALUE"""),"")</f>
        <v/>
      </c>
      <c r="I79" s="53" t="str">
        <f>IFERROR(__xludf.DUMMYFUNCTION("""COMPUTED_VALUE"""),"")</f>
        <v/>
      </c>
      <c r="J79" s="53" t="str">
        <f>IFERROR(__xludf.DUMMYFUNCTION("""COMPUTED_VALUE"""),"")</f>
        <v/>
      </c>
      <c r="K79" s="54" t="str">
        <f>IFERROR(__xludf.DUMMYFUNCTION("""COMPUTED_VALUE"""),"")</f>
        <v/>
      </c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6"/>
      <c r="W79" s="56"/>
      <c r="X79" s="56"/>
      <c r="Y79" s="56"/>
      <c r="Z79" s="57"/>
      <c r="AA79" s="58"/>
      <c r="AB79" s="59"/>
    </row>
    <row r="80" ht="13.5" customHeight="1">
      <c r="A80" s="60" t="str">
        <f>IFERROR(__xludf.DUMMYFUNCTION("""COMPUTED_VALUE"""),"")</f>
        <v/>
      </c>
      <c r="B80" s="64" t="str">
        <f>IFERROR(__xludf.DUMMYFUNCTION("""COMPUTED_VALUE"""),"")</f>
        <v/>
      </c>
      <c r="C80" s="63" t="str">
        <f>IFERROR(__xludf.DUMMYFUNCTION("""COMPUTED_VALUE"""),"")</f>
        <v/>
      </c>
      <c r="D80" s="63" t="str">
        <f>IFERROR(__xludf.DUMMYFUNCTION("""COMPUTED_VALUE"""),"")</f>
        <v/>
      </c>
      <c r="E80" s="51" t="str">
        <f>IFERROR(__xludf.DUMMYFUNCTION("""COMPUTED_VALUE"""),"")</f>
        <v/>
      </c>
      <c r="F80" s="82" t="str">
        <f>IFERROR(__xludf.DUMMYFUNCTION("""COMPUTED_VALUE"""),"")</f>
        <v/>
      </c>
      <c r="G80" s="52" t="str">
        <f>IFERROR(__xludf.DUMMYFUNCTION("""COMPUTED_VALUE"""),"")</f>
        <v/>
      </c>
      <c r="H80" s="53" t="str">
        <f>IFERROR(__xludf.DUMMYFUNCTION("""COMPUTED_VALUE"""),"")</f>
        <v/>
      </c>
      <c r="I80" s="53" t="str">
        <f>IFERROR(__xludf.DUMMYFUNCTION("""COMPUTED_VALUE"""),"")</f>
        <v/>
      </c>
      <c r="J80" s="53" t="str">
        <f>IFERROR(__xludf.DUMMYFUNCTION("""COMPUTED_VALUE"""),"")</f>
        <v/>
      </c>
      <c r="K80" s="54" t="str">
        <f>IFERROR(__xludf.DUMMYFUNCTION("""COMPUTED_VALUE"""),"")</f>
        <v/>
      </c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6"/>
      <c r="W80" s="56"/>
      <c r="X80" s="56"/>
      <c r="Y80" s="56"/>
      <c r="Z80" s="57"/>
      <c r="AA80" s="58"/>
      <c r="AB80" s="59"/>
    </row>
    <row r="81" ht="13.5" customHeight="1">
      <c r="A81" s="60" t="str">
        <f>IFERROR(__xludf.DUMMYFUNCTION("""COMPUTED_VALUE"""),"")</f>
        <v/>
      </c>
      <c r="B81" s="64" t="str">
        <f>IFERROR(__xludf.DUMMYFUNCTION("""COMPUTED_VALUE"""),"")</f>
        <v/>
      </c>
      <c r="C81" s="63" t="str">
        <f>IFERROR(__xludf.DUMMYFUNCTION("""COMPUTED_VALUE"""),"")</f>
        <v/>
      </c>
      <c r="D81" s="63" t="str">
        <f>IFERROR(__xludf.DUMMYFUNCTION("""COMPUTED_VALUE"""),"")</f>
        <v/>
      </c>
      <c r="E81" s="51" t="str">
        <f>IFERROR(__xludf.DUMMYFUNCTION("""COMPUTED_VALUE"""),"")</f>
        <v/>
      </c>
      <c r="F81" s="82" t="str">
        <f>IFERROR(__xludf.DUMMYFUNCTION("""COMPUTED_VALUE"""),"")</f>
        <v/>
      </c>
      <c r="G81" s="52" t="str">
        <f>IFERROR(__xludf.DUMMYFUNCTION("""COMPUTED_VALUE"""),"")</f>
        <v/>
      </c>
      <c r="H81" s="53" t="str">
        <f>IFERROR(__xludf.DUMMYFUNCTION("""COMPUTED_VALUE"""),"")</f>
        <v/>
      </c>
      <c r="I81" s="53" t="str">
        <f>IFERROR(__xludf.DUMMYFUNCTION("""COMPUTED_VALUE"""),"")</f>
        <v/>
      </c>
      <c r="J81" s="53" t="str">
        <f>IFERROR(__xludf.DUMMYFUNCTION("""COMPUTED_VALUE"""),"")</f>
        <v/>
      </c>
      <c r="K81" s="54" t="str">
        <f>IFERROR(__xludf.DUMMYFUNCTION("""COMPUTED_VALUE"""),"")</f>
        <v/>
      </c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6"/>
      <c r="W81" s="56"/>
      <c r="X81" s="56"/>
      <c r="Y81" s="56"/>
      <c r="Z81" s="57"/>
      <c r="AA81" s="58"/>
      <c r="AB81" s="59"/>
    </row>
    <row r="82" ht="13.5" customHeight="1">
      <c r="A82" s="60" t="str">
        <f>IFERROR(__xludf.DUMMYFUNCTION("""COMPUTED_VALUE"""),"")</f>
        <v/>
      </c>
      <c r="B82" s="64" t="str">
        <f>IFERROR(__xludf.DUMMYFUNCTION("""COMPUTED_VALUE"""),"")</f>
        <v/>
      </c>
      <c r="C82" s="63" t="str">
        <f>IFERROR(__xludf.DUMMYFUNCTION("""COMPUTED_VALUE"""),"")</f>
        <v/>
      </c>
      <c r="D82" s="63" t="str">
        <f>IFERROR(__xludf.DUMMYFUNCTION("""COMPUTED_VALUE"""),"")</f>
        <v/>
      </c>
      <c r="E82" s="51" t="str">
        <f>IFERROR(__xludf.DUMMYFUNCTION("""COMPUTED_VALUE"""),"")</f>
        <v/>
      </c>
      <c r="F82" s="82" t="str">
        <f>IFERROR(__xludf.DUMMYFUNCTION("""COMPUTED_VALUE"""),"")</f>
        <v/>
      </c>
      <c r="G82" s="52" t="str">
        <f>IFERROR(__xludf.DUMMYFUNCTION("""COMPUTED_VALUE"""),"")</f>
        <v/>
      </c>
      <c r="H82" s="53" t="str">
        <f>IFERROR(__xludf.DUMMYFUNCTION("""COMPUTED_VALUE"""),"")</f>
        <v/>
      </c>
      <c r="I82" s="53" t="str">
        <f>IFERROR(__xludf.DUMMYFUNCTION("""COMPUTED_VALUE"""),"")</f>
        <v/>
      </c>
      <c r="J82" s="53" t="str">
        <f>IFERROR(__xludf.DUMMYFUNCTION("""COMPUTED_VALUE"""),"")</f>
        <v/>
      </c>
      <c r="K82" s="54" t="str">
        <f>IFERROR(__xludf.DUMMYFUNCTION("""COMPUTED_VALUE"""),"")</f>
        <v/>
      </c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6"/>
      <c r="W82" s="56"/>
      <c r="X82" s="56"/>
      <c r="Y82" s="56"/>
      <c r="Z82" s="57"/>
      <c r="AA82" s="58"/>
      <c r="AB82" s="59"/>
    </row>
    <row r="83" ht="13.5" customHeight="1">
      <c r="A83" s="60" t="str">
        <f>IFERROR(__xludf.DUMMYFUNCTION("""COMPUTED_VALUE"""),"")</f>
        <v/>
      </c>
      <c r="B83" s="64" t="str">
        <f>IFERROR(__xludf.DUMMYFUNCTION("""COMPUTED_VALUE"""),"")</f>
        <v/>
      </c>
      <c r="C83" s="63" t="str">
        <f>IFERROR(__xludf.DUMMYFUNCTION("""COMPUTED_VALUE"""),"")</f>
        <v/>
      </c>
      <c r="D83" s="63" t="str">
        <f>IFERROR(__xludf.DUMMYFUNCTION("""COMPUTED_VALUE"""),"")</f>
        <v/>
      </c>
      <c r="E83" s="51" t="str">
        <f>IFERROR(__xludf.DUMMYFUNCTION("""COMPUTED_VALUE"""),"")</f>
        <v/>
      </c>
      <c r="F83" s="82" t="str">
        <f>IFERROR(__xludf.DUMMYFUNCTION("""COMPUTED_VALUE"""),"")</f>
        <v/>
      </c>
      <c r="G83" s="52" t="str">
        <f>IFERROR(__xludf.DUMMYFUNCTION("""COMPUTED_VALUE"""),"")</f>
        <v/>
      </c>
      <c r="H83" s="53" t="str">
        <f>IFERROR(__xludf.DUMMYFUNCTION("""COMPUTED_VALUE"""),"")</f>
        <v/>
      </c>
      <c r="I83" s="53" t="str">
        <f>IFERROR(__xludf.DUMMYFUNCTION("""COMPUTED_VALUE"""),"")</f>
        <v/>
      </c>
      <c r="J83" s="53" t="str">
        <f>IFERROR(__xludf.DUMMYFUNCTION("""COMPUTED_VALUE"""),"")</f>
        <v/>
      </c>
      <c r="K83" s="54" t="str">
        <f>IFERROR(__xludf.DUMMYFUNCTION("""COMPUTED_VALUE"""),"")</f>
        <v/>
      </c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6"/>
      <c r="W83" s="56"/>
      <c r="X83" s="56"/>
      <c r="Y83" s="56"/>
      <c r="Z83" s="57"/>
      <c r="AA83" s="58"/>
      <c r="AB83" s="59"/>
    </row>
    <row r="84" ht="13.5" customHeight="1">
      <c r="A84" s="60" t="str">
        <f>IFERROR(__xludf.DUMMYFUNCTION("""COMPUTED_VALUE"""),"")</f>
        <v/>
      </c>
      <c r="B84" s="64" t="str">
        <f>IFERROR(__xludf.DUMMYFUNCTION("""COMPUTED_VALUE"""),"")</f>
        <v/>
      </c>
      <c r="C84" s="63" t="str">
        <f>IFERROR(__xludf.DUMMYFUNCTION("""COMPUTED_VALUE"""),"")</f>
        <v/>
      </c>
      <c r="D84" s="63" t="str">
        <f>IFERROR(__xludf.DUMMYFUNCTION("""COMPUTED_VALUE"""),"")</f>
        <v/>
      </c>
      <c r="E84" s="51" t="str">
        <f>IFERROR(__xludf.DUMMYFUNCTION("""COMPUTED_VALUE"""),"")</f>
        <v/>
      </c>
      <c r="F84" s="82" t="str">
        <f>IFERROR(__xludf.DUMMYFUNCTION("""COMPUTED_VALUE"""),"")</f>
        <v/>
      </c>
      <c r="G84" s="52" t="str">
        <f>IFERROR(__xludf.DUMMYFUNCTION("""COMPUTED_VALUE"""),"")</f>
        <v/>
      </c>
      <c r="H84" s="53" t="str">
        <f>IFERROR(__xludf.DUMMYFUNCTION("""COMPUTED_VALUE"""),"")</f>
        <v/>
      </c>
      <c r="I84" s="53" t="str">
        <f>IFERROR(__xludf.DUMMYFUNCTION("""COMPUTED_VALUE"""),"")</f>
        <v/>
      </c>
      <c r="J84" s="53" t="str">
        <f>IFERROR(__xludf.DUMMYFUNCTION("""COMPUTED_VALUE"""),"")</f>
        <v/>
      </c>
      <c r="K84" s="54" t="str">
        <f>IFERROR(__xludf.DUMMYFUNCTION("""COMPUTED_VALUE"""),"")</f>
        <v/>
      </c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6"/>
      <c r="W84" s="56"/>
      <c r="X84" s="56"/>
      <c r="Y84" s="56"/>
      <c r="Z84" s="57"/>
      <c r="AA84" s="58"/>
      <c r="AB84" s="59"/>
    </row>
    <row r="85" ht="13.5" customHeight="1">
      <c r="A85" s="60" t="str">
        <f>IFERROR(__xludf.DUMMYFUNCTION("""COMPUTED_VALUE"""),"")</f>
        <v/>
      </c>
      <c r="B85" s="64" t="str">
        <f>IFERROR(__xludf.DUMMYFUNCTION("""COMPUTED_VALUE"""),"")</f>
        <v/>
      </c>
      <c r="C85" s="63" t="str">
        <f>IFERROR(__xludf.DUMMYFUNCTION("""COMPUTED_VALUE"""),"")</f>
        <v/>
      </c>
      <c r="D85" s="63" t="str">
        <f>IFERROR(__xludf.DUMMYFUNCTION("""COMPUTED_VALUE"""),"")</f>
        <v/>
      </c>
      <c r="E85" s="51" t="str">
        <f>IFERROR(__xludf.DUMMYFUNCTION("""COMPUTED_VALUE"""),"")</f>
        <v/>
      </c>
      <c r="F85" s="82" t="str">
        <f>IFERROR(__xludf.DUMMYFUNCTION("""COMPUTED_VALUE"""),"")</f>
        <v/>
      </c>
      <c r="G85" s="52" t="str">
        <f>IFERROR(__xludf.DUMMYFUNCTION("""COMPUTED_VALUE"""),"")</f>
        <v/>
      </c>
      <c r="H85" s="53" t="str">
        <f>IFERROR(__xludf.DUMMYFUNCTION("""COMPUTED_VALUE"""),"")</f>
        <v/>
      </c>
      <c r="I85" s="53" t="str">
        <f>IFERROR(__xludf.DUMMYFUNCTION("""COMPUTED_VALUE"""),"")</f>
        <v/>
      </c>
      <c r="J85" s="53" t="str">
        <f>IFERROR(__xludf.DUMMYFUNCTION("""COMPUTED_VALUE"""),"")</f>
        <v/>
      </c>
      <c r="K85" s="54" t="str">
        <f>IFERROR(__xludf.DUMMYFUNCTION("""COMPUTED_VALUE"""),"")</f>
        <v/>
      </c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6"/>
      <c r="W85" s="56"/>
      <c r="X85" s="56"/>
      <c r="Y85" s="56"/>
      <c r="Z85" s="57"/>
      <c r="AA85" s="58"/>
      <c r="AB85" s="59"/>
    </row>
    <row r="86" ht="13.5" customHeight="1">
      <c r="A86" s="60" t="str">
        <f>IFERROR(__xludf.DUMMYFUNCTION("""COMPUTED_VALUE"""),"")</f>
        <v/>
      </c>
      <c r="B86" s="64" t="str">
        <f>IFERROR(__xludf.DUMMYFUNCTION("""COMPUTED_VALUE"""),"")</f>
        <v/>
      </c>
      <c r="C86" s="63" t="str">
        <f>IFERROR(__xludf.DUMMYFUNCTION("""COMPUTED_VALUE"""),"")</f>
        <v/>
      </c>
      <c r="D86" s="63" t="str">
        <f>IFERROR(__xludf.DUMMYFUNCTION("""COMPUTED_VALUE"""),"")</f>
        <v/>
      </c>
      <c r="E86" s="51" t="str">
        <f>IFERROR(__xludf.DUMMYFUNCTION("""COMPUTED_VALUE"""),"")</f>
        <v/>
      </c>
      <c r="F86" s="82" t="str">
        <f>IFERROR(__xludf.DUMMYFUNCTION("""COMPUTED_VALUE"""),"")</f>
        <v/>
      </c>
      <c r="G86" s="52" t="str">
        <f>IFERROR(__xludf.DUMMYFUNCTION("""COMPUTED_VALUE"""),"")</f>
        <v/>
      </c>
      <c r="H86" s="53" t="str">
        <f>IFERROR(__xludf.DUMMYFUNCTION("""COMPUTED_VALUE"""),"")</f>
        <v/>
      </c>
      <c r="I86" s="53" t="str">
        <f>IFERROR(__xludf.DUMMYFUNCTION("""COMPUTED_VALUE"""),"")</f>
        <v/>
      </c>
      <c r="J86" s="53" t="str">
        <f>IFERROR(__xludf.DUMMYFUNCTION("""COMPUTED_VALUE"""),"")</f>
        <v/>
      </c>
      <c r="K86" s="54" t="str">
        <f>IFERROR(__xludf.DUMMYFUNCTION("""COMPUTED_VALUE"""),"")</f>
        <v/>
      </c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6"/>
      <c r="W86" s="56"/>
      <c r="X86" s="56"/>
      <c r="Y86" s="56"/>
      <c r="Z86" s="57"/>
      <c r="AA86" s="58"/>
      <c r="AB86" s="59"/>
    </row>
    <row r="87" ht="13.5" customHeight="1">
      <c r="A87" s="60" t="str">
        <f>IFERROR(__xludf.DUMMYFUNCTION("""COMPUTED_VALUE"""),"")</f>
        <v/>
      </c>
      <c r="B87" s="64" t="str">
        <f>IFERROR(__xludf.DUMMYFUNCTION("""COMPUTED_VALUE"""),"")</f>
        <v/>
      </c>
      <c r="C87" s="63" t="str">
        <f>IFERROR(__xludf.DUMMYFUNCTION("""COMPUTED_VALUE"""),"")</f>
        <v/>
      </c>
      <c r="D87" s="63" t="str">
        <f>IFERROR(__xludf.DUMMYFUNCTION("""COMPUTED_VALUE"""),"")</f>
        <v/>
      </c>
      <c r="E87" s="51" t="str">
        <f>IFERROR(__xludf.DUMMYFUNCTION("""COMPUTED_VALUE"""),"")</f>
        <v/>
      </c>
      <c r="F87" s="82" t="str">
        <f>IFERROR(__xludf.DUMMYFUNCTION("""COMPUTED_VALUE"""),"")</f>
        <v/>
      </c>
      <c r="G87" s="52" t="str">
        <f>IFERROR(__xludf.DUMMYFUNCTION("""COMPUTED_VALUE"""),"")</f>
        <v/>
      </c>
      <c r="H87" s="53" t="str">
        <f>IFERROR(__xludf.DUMMYFUNCTION("""COMPUTED_VALUE"""),"")</f>
        <v/>
      </c>
      <c r="I87" s="53" t="str">
        <f>IFERROR(__xludf.DUMMYFUNCTION("""COMPUTED_VALUE"""),"")</f>
        <v/>
      </c>
      <c r="J87" s="53" t="str">
        <f>IFERROR(__xludf.DUMMYFUNCTION("""COMPUTED_VALUE"""),"")</f>
        <v/>
      </c>
      <c r="K87" s="54" t="str">
        <f>IFERROR(__xludf.DUMMYFUNCTION("""COMPUTED_VALUE"""),"")</f>
        <v/>
      </c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6"/>
      <c r="W87" s="56"/>
      <c r="X87" s="56"/>
      <c r="Y87" s="56"/>
      <c r="Z87" s="57"/>
      <c r="AA87" s="58"/>
      <c r="AB87" s="59"/>
    </row>
    <row r="88" ht="13.5" customHeight="1">
      <c r="A88" s="60" t="str">
        <f>IFERROR(__xludf.DUMMYFUNCTION("""COMPUTED_VALUE"""),"")</f>
        <v/>
      </c>
      <c r="B88" s="64" t="str">
        <f>IFERROR(__xludf.DUMMYFUNCTION("""COMPUTED_VALUE"""),"")</f>
        <v/>
      </c>
      <c r="C88" s="63" t="str">
        <f>IFERROR(__xludf.DUMMYFUNCTION("""COMPUTED_VALUE"""),"")</f>
        <v/>
      </c>
      <c r="D88" s="63" t="str">
        <f>IFERROR(__xludf.DUMMYFUNCTION("""COMPUTED_VALUE"""),"")</f>
        <v/>
      </c>
      <c r="E88" s="51" t="str">
        <f>IFERROR(__xludf.DUMMYFUNCTION("""COMPUTED_VALUE"""),"")</f>
        <v/>
      </c>
      <c r="F88" s="82" t="str">
        <f>IFERROR(__xludf.DUMMYFUNCTION("""COMPUTED_VALUE"""),"")</f>
        <v/>
      </c>
      <c r="G88" s="52" t="str">
        <f>IFERROR(__xludf.DUMMYFUNCTION("""COMPUTED_VALUE"""),"")</f>
        <v/>
      </c>
      <c r="H88" s="53" t="str">
        <f>IFERROR(__xludf.DUMMYFUNCTION("""COMPUTED_VALUE"""),"")</f>
        <v/>
      </c>
      <c r="I88" s="53" t="str">
        <f>IFERROR(__xludf.DUMMYFUNCTION("""COMPUTED_VALUE"""),"")</f>
        <v/>
      </c>
      <c r="J88" s="53" t="str">
        <f>IFERROR(__xludf.DUMMYFUNCTION("""COMPUTED_VALUE"""),"")</f>
        <v/>
      </c>
      <c r="K88" s="54" t="str">
        <f>IFERROR(__xludf.DUMMYFUNCTION("""COMPUTED_VALUE"""),"")</f>
        <v/>
      </c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6"/>
      <c r="W88" s="56"/>
      <c r="X88" s="56"/>
      <c r="Y88" s="56"/>
      <c r="Z88" s="57"/>
      <c r="AA88" s="58"/>
      <c r="AB88" s="59"/>
    </row>
    <row r="89" ht="13.5" customHeight="1">
      <c r="A89" s="60" t="str">
        <f>IFERROR(__xludf.DUMMYFUNCTION("""COMPUTED_VALUE"""),"")</f>
        <v/>
      </c>
      <c r="B89" s="64" t="str">
        <f>IFERROR(__xludf.DUMMYFUNCTION("""COMPUTED_VALUE"""),"")</f>
        <v/>
      </c>
      <c r="C89" s="63" t="str">
        <f>IFERROR(__xludf.DUMMYFUNCTION("""COMPUTED_VALUE"""),"")</f>
        <v/>
      </c>
      <c r="D89" s="63" t="str">
        <f>IFERROR(__xludf.DUMMYFUNCTION("""COMPUTED_VALUE"""),"")</f>
        <v/>
      </c>
      <c r="E89" s="51" t="str">
        <f>IFERROR(__xludf.DUMMYFUNCTION("""COMPUTED_VALUE"""),"")</f>
        <v/>
      </c>
      <c r="F89" s="82" t="str">
        <f>IFERROR(__xludf.DUMMYFUNCTION("""COMPUTED_VALUE"""),"")</f>
        <v/>
      </c>
      <c r="G89" s="52" t="str">
        <f>IFERROR(__xludf.DUMMYFUNCTION("""COMPUTED_VALUE"""),"")</f>
        <v/>
      </c>
      <c r="H89" s="53" t="str">
        <f>IFERROR(__xludf.DUMMYFUNCTION("""COMPUTED_VALUE"""),"")</f>
        <v/>
      </c>
      <c r="I89" s="53" t="str">
        <f>IFERROR(__xludf.DUMMYFUNCTION("""COMPUTED_VALUE"""),"")</f>
        <v/>
      </c>
      <c r="J89" s="53" t="str">
        <f>IFERROR(__xludf.DUMMYFUNCTION("""COMPUTED_VALUE"""),"")</f>
        <v/>
      </c>
      <c r="K89" s="54" t="str">
        <f>IFERROR(__xludf.DUMMYFUNCTION("""COMPUTED_VALUE"""),"")</f>
        <v/>
      </c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6"/>
      <c r="W89" s="56"/>
      <c r="X89" s="56"/>
      <c r="Y89" s="56"/>
      <c r="Z89" s="57"/>
      <c r="AA89" s="58"/>
      <c r="AB89" s="59"/>
    </row>
    <row r="90" ht="13.5" customHeight="1">
      <c r="A90" s="60" t="str">
        <f>IFERROR(__xludf.DUMMYFUNCTION("""COMPUTED_VALUE"""),"")</f>
        <v/>
      </c>
      <c r="B90" s="64" t="str">
        <f>IFERROR(__xludf.DUMMYFUNCTION("""COMPUTED_VALUE"""),"")</f>
        <v/>
      </c>
      <c r="C90" s="63" t="str">
        <f>IFERROR(__xludf.DUMMYFUNCTION("""COMPUTED_VALUE"""),"")</f>
        <v/>
      </c>
      <c r="D90" s="63" t="str">
        <f>IFERROR(__xludf.DUMMYFUNCTION("""COMPUTED_VALUE"""),"")</f>
        <v/>
      </c>
      <c r="E90" s="51" t="str">
        <f>IFERROR(__xludf.DUMMYFUNCTION("""COMPUTED_VALUE"""),"")</f>
        <v/>
      </c>
      <c r="F90" s="82" t="str">
        <f>IFERROR(__xludf.DUMMYFUNCTION("""COMPUTED_VALUE"""),"")</f>
        <v/>
      </c>
      <c r="G90" s="52" t="str">
        <f>IFERROR(__xludf.DUMMYFUNCTION("""COMPUTED_VALUE"""),"")</f>
        <v/>
      </c>
      <c r="H90" s="53" t="str">
        <f>IFERROR(__xludf.DUMMYFUNCTION("""COMPUTED_VALUE"""),"")</f>
        <v/>
      </c>
      <c r="I90" s="53" t="str">
        <f>IFERROR(__xludf.DUMMYFUNCTION("""COMPUTED_VALUE"""),"")</f>
        <v/>
      </c>
      <c r="J90" s="53" t="str">
        <f>IFERROR(__xludf.DUMMYFUNCTION("""COMPUTED_VALUE"""),"")</f>
        <v/>
      </c>
      <c r="K90" s="54" t="str">
        <f>IFERROR(__xludf.DUMMYFUNCTION("""COMPUTED_VALUE"""),"")</f>
        <v/>
      </c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6"/>
      <c r="W90" s="56"/>
      <c r="X90" s="56"/>
      <c r="Y90" s="56"/>
      <c r="Z90" s="57"/>
      <c r="AA90" s="58"/>
      <c r="AB90" s="59"/>
    </row>
    <row r="91" ht="13.5" customHeight="1">
      <c r="A91" s="60" t="str">
        <f>IFERROR(__xludf.DUMMYFUNCTION("""COMPUTED_VALUE"""),"")</f>
        <v/>
      </c>
      <c r="B91" s="64" t="str">
        <f>IFERROR(__xludf.DUMMYFUNCTION("""COMPUTED_VALUE"""),"")</f>
        <v/>
      </c>
      <c r="C91" s="63" t="str">
        <f>IFERROR(__xludf.DUMMYFUNCTION("""COMPUTED_VALUE"""),"")</f>
        <v/>
      </c>
      <c r="D91" s="63" t="str">
        <f>IFERROR(__xludf.DUMMYFUNCTION("""COMPUTED_VALUE"""),"")</f>
        <v/>
      </c>
      <c r="E91" s="51" t="str">
        <f>IFERROR(__xludf.DUMMYFUNCTION("""COMPUTED_VALUE"""),"")</f>
        <v/>
      </c>
      <c r="F91" s="82" t="str">
        <f>IFERROR(__xludf.DUMMYFUNCTION("""COMPUTED_VALUE"""),"")</f>
        <v/>
      </c>
      <c r="G91" s="52" t="str">
        <f>IFERROR(__xludf.DUMMYFUNCTION("""COMPUTED_VALUE"""),"")</f>
        <v/>
      </c>
      <c r="H91" s="53" t="str">
        <f>IFERROR(__xludf.DUMMYFUNCTION("""COMPUTED_VALUE"""),"")</f>
        <v/>
      </c>
      <c r="I91" s="53" t="str">
        <f>IFERROR(__xludf.DUMMYFUNCTION("""COMPUTED_VALUE"""),"")</f>
        <v/>
      </c>
      <c r="J91" s="53" t="str">
        <f>IFERROR(__xludf.DUMMYFUNCTION("""COMPUTED_VALUE"""),"")</f>
        <v/>
      </c>
      <c r="K91" s="54" t="str">
        <f>IFERROR(__xludf.DUMMYFUNCTION("""COMPUTED_VALUE"""),"")</f>
        <v/>
      </c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6"/>
      <c r="W91" s="56"/>
      <c r="X91" s="56"/>
      <c r="Y91" s="56"/>
      <c r="Z91" s="57"/>
      <c r="AA91" s="58"/>
      <c r="AB91" s="59"/>
    </row>
    <row r="92" ht="13.5" customHeight="1">
      <c r="A92" s="60" t="str">
        <f>IFERROR(__xludf.DUMMYFUNCTION("""COMPUTED_VALUE"""),"")</f>
        <v/>
      </c>
      <c r="B92" s="64" t="str">
        <f>IFERROR(__xludf.DUMMYFUNCTION("""COMPUTED_VALUE"""),"")</f>
        <v/>
      </c>
      <c r="C92" s="63" t="str">
        <f>IFERROR(__xludf.DUMMYFUNCTION("""COMPUTED_VALUE"""),"")</f>
        <v/>
      </c>
      <c r="D92" s="63" t="str">
        <f>IFERROR(__xludf.DUMMYFUNCTION("""COMPUTED_VALUE"""),"")</f>
        <v/>
      </c>
      <c r="E92" s="51" t="str">
        <f>IFERROR(__xludf.DUMMYFUNCTION("""COMPUTED_VALUE"""),"")</f>
        <v/>
      </c>
      <c r="F92" s="82" t="str">
        <f>IFERROR(__xludf.DUMMYFUNCTION("""COMPUTED_VALUE"""),"")</f>
        <v/>
      </c>
      <c r="G92" s="52" t="str">
        <f>IFERROR(__xludf.DUMMYFUNCTION("""COMPUTED_VALUE"""),"")</f>
        <v/>
      </c>
      <c r="H92" s="53" t="str">
        <f>IFERROR(__xludf.DUMMYFUNCTION("""COMPUTED_VALUE"""),"")</f>
        <v/>
      </c>
      <c r="I92" s="53" t="str">
        <f>IFERROR(__xludf.DUMMYFUNCTION("""COMPUTED_VALUE"""),"")</f>
        <v/>
      </c>
      <c r="J92" s="53" t="str">
        <f>IFERROR(__xludf.DUMMYFUNCTION("""COMPUTED_VALUE"""),"")</f>
        <v/>
      </c>
      <c r="K92" s="54" t="str">
        <f>IFERROR(__xludf.DUMMYFUNCTION("""COMPUTED_VALUE"""),"")</f>
        <v/>
      </c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6"/>
      <c r="W92" s="56"/>
      <c r="X92" s="56"/>
      <c r="Y92" s="56"/>
      <c r="Z92" s="57"/>
      <c r="AA92" s="58"/>
      <c r="AB92" s="59"/>
    </row>
    <row r="93" ht="13.5" customHeight="1">
      <c r="A93" s="60" t="str">
        <f>IFERROR(__xludf.DUMMYFUNCTION("""COMPUTED_VALUE"""),"")</f>
        <v/>
      </c>
      <c r="B93" s="64" t="str">
        <f>IFERROR(__xludf.DUMMYFUNCTION("""COMPUTED_VALUE"""),"")</f>
        <v/>
      </c>
      <c r="C93" s="63" t="str">
        <f>IFERROR(__xludf.DUMMYFUNCTION("""COMPUTED_VALUE"""),"")</f>
        <v/>
      </c>
      <c r="D93" s="63" t="str">
        <f>IFERROR(__xludf.DUMMYFUNCTION("""COMPUTED_VALUE"""),"")</f>
        <v/>
      </c>
      <c r="E93" s="51" t="str">
        <f>IFERROR(__xludf.DUMMYFUNCTION("""COMPUTED_VALUE"""),"")</f>
        <v/>
      </c>
      <c r="F93" s="82" t="str">
        <f>IFERROR(__xludf.DUMMYFUNCTION("""COMPUTED_VALUE"""),"")</f>
        <v/>
      </c>
      <c r="G93" s="52" t="str">
        <f>IFERROR(__xludf.DUMMYFUNCTION("""COMPUTED_VALUE"""),"")</f>
        <v/>
      </c>
      <c r="H93" s="53" t="str">
        <f>IFERROR(__xludf.DUMMYFUNCTION("""COMPUTED_VALUE"""),"")</f>
        <v/>
      </c>
      <c r="I93" s="53" t="str">
        <f>IFERROR(__xludf.DUMMYFUNCTION("""COMPUTED_VALUE"""),"")</f>
        <v/>
      </c>
      <c r="J93" s="53" t="str">
        <f>IFERROR(__xludf.DUMMYFUNCTION("""COMPUTED_VALUE"""),"")</f>
        <v/>
      </c>
      <c r="K93" s="54" t="str">
        <f>IFERROR(__xludf.DUMMYFUNCTION("""COMPUTED_VALUE"""),"")</f>
        <v/>
      </c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6"/>
      <c r="W93" s="56"/>
      <c r="X93" s="56"/>
      <c r="Y93" s="56"/>
      <c r="Z93" s="57"/>
      <c r="AA93" s="58"/>
      <c r="AB93" s="59"/>
    </row>
    <row r="94" ht="13.5" customHeight="1">
      <c r="A94" s="60" t="str">
        <f>IFERROR(__xludf.DUMMYFUNCTION("""COMPUTED_VALUE"""),"")</f>
        <v/>
      </c>
      <c r="B94" s="64" t="str">
        <f>IFERROR(__xludf.DUMMYFUNCTION("""COMPUTED_VALUE"""),"")</f>
        <v/>
      </c>
      <c r="C94" s="63" t="str">
        <f>IFERROR(__xludf.DUMMYFUNCTION("""COMPUTED_VALUE"""),"")</f>
        <v/>
      </c>
      <c r="D94" s="63" t="str">
        <f>IFERROR(__xludf.DUMMYFUNCTION("""COMPUTED_VALUE"""),"")</f>
        <v/>
      </c>
      <c r="E94" s="51" t="str">
        <f>IFERROR(__xludf.DUMMYFUNCTION("""COMPUTED_VALUE"""),"")</f>
        <v/>
      </c>
      <c r="F94" s="82" t="str">
        <f>IFERROR(__xludf.DUMMYFUNCTION("""COMPUTED_VALUE"""),"")</f>
        <v/>
      </c>
      <c r="G94" s="52" t="str">
        <f>IFERROR(__xludf.DUMMYFUNCTION("""COMPUTED_VALUE"""),"")</f>
        <v/>
      </c>
      <c r="H94" s="53" t="str">
        <f>IFERROR(__xludf.DUMMYFUNCTION("""COMPUTED_VALUE"""),"")</f>
        <v/>
      </c>
      <c r="I94" s="53" t="str">
        <f>IFERROR(__xludf.DUMMYFUNCTION("""COMPUTED_VALUE"""),"")</f>
        <v/>
      </c>
      <c r="J94" s="53" t="str">
        <f>IFERROR(__xludf.DUMMYFUNCTION("""COMPUTED_VALUE"""),"")</f>
        <v/>
      </c>
      <c r="K94" s="54" t="str">
        <f>IFERROR(__xludf.DUMMYFUNCTION("""COMPUTED_VALUE"""),"")</f>
        <v/>
      </c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6"/>
      <c r="W94" s="56"/>
      <c r="X94" s="56"/>
      <c r="Y94" s="56"/>
      <c r="Z94" s="57"/>
      <c r="AA94" s="58"/>
      <c r="AB94" s="59"/>
    </row>
    <row r="95" ht="13.5" customHeight="1">
      <c r="A95" s="60" t="str">
        <f>IFERROR(__xludf.DUMMYFUNCTION("""COMPUTED_VALUE"""),"")</f>
        <v/>
      </c>
      <c r="B95" s="64" t="str">
        <f>IFERROR(__xludf.DUMMYFUNCTION("""COMPUTED_VALUE"""),"")</f>
        <v/>
      </c>
      <c r="C95" s="63" t="str">
        <f>IFERROR(__xludf.DUMMYFUNCTION("""COMPUTED_VALUE"""),"")</f>
        <v/>
      </c>
      <c r="D95" s="63" t="str">
        <f>IFERROR(__xludf.DUMMYFUNCTION("""COMPUTED_VALUE"""),"")</f>
        <v/>
      </c>
      <c r="E95" s="51" t="str">
        <f>IFERROR(__xludf.DUMMYFUNCTION("""COMPUTED_VALUE"""),"")</f>
        <v/>
      </c>
      <c r="F95" s="82" t="str">
        <f>IFERROR(__xludf.DUMMYFUNCTION("""COMPUTED_VALUE"""),"")</f>
        <v/>
      </c>
      <c r="G95" s="52" t="str">
        <f>IFERROR(__xludf.DUMMYFUNCTION("""COMPUTED_VALUE"""),"")</f>
        <v/>
      </c>
      <c r="H95" s="53" t="str">
        <f>IFERROR(__xludf.DUMMYFUNCTION("""COMPUTED_VALUE"""),"")</f>
        <v/>
      </c>
      <c r="I95" s="53" t="str">
        <f>IFERROR(__xludf.DUMMYFUNCTION("""COMPUTED_VALUE"""),"")</f>
        <v/>
      </c>
      <c r="J95" s="53" t="str">
        <f>IFERROR(__xludf.DUMMYFUNCTION("""COMPUTED_VALUE"""),"")</f>
        <v/>
      </c>
      <c r="K95" s="54" t="str">
        <f>IFERROR(__xludf.DUMMYFUNCTION("""COMPUTED_VALUE"""),"")</f>
        <v/>
      </c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6"/>
      <c r="W95" s="56"/>
      <c r="X95" s="56"/>
      <c r="Y95" s="56"/>
      <c r="Z95" s="57"/>
      <c r="AA95" s="58"/>
      <c r="AB95" s="59"/>
    </row>
    <row r="96" ht="13.5" customHeight="1">
      <c r="A96" s="60" t="str">
        <f>IFERROR(__xludf.DUMMYFUNCTION("""COMPUTED_VALUE"""),"")</f>
        <v/>
      </c>
      <c r="B96" s="64" t="str">
        <f>IFERROR(__xludf.DUMMYFUNCTION("""COMPUTED_VALUE"""),"")</f>
        <v/>
      </c>
      <c r="C96" s="63" t="str">
        <f>IFERROR(__xludf.DUMMYFUNCTION("""COMPUTED_VALUE"""),"")</f>
        <v/>
      </c>
      <c r="D96" s="63" t="str">
        <f>IFERROR(__xludf.DUMMYFUNCTION("""COMPUTED_VALUE"""),"")</f>
        <v/>
      </c>
      <c r="E96" s="51" t="str">
        <f>IFERROR(__xludf.DUMMYFUNCTION("""COMPUTED_VALUE"""),"")</f>
        <v/>
      </c>
      <c r="F96" s="82" t="str">
        <f>IFERROR(__xludf.DUMMYFUNCTION("""COMPUTED_VALUE"""),"")</f>
        <v/>
      </c>
      <c r="G96" s="52" t="str">
        <f>IFERROR(__xludf.DUMMYFUNCTION("""COMPUTED_VALUE"""),"")</f>
        <v/>
      </c>
      <c r="H96" s="53" t="str">
        <f>IFERROR(__xludf.DUMMYFUNCTION("""COMPUTED_VALUE"""),"")</f>
        <v/>
      </c>
      <c r="I96" s="53" t="str">
        <f>IFERROR(__xludf.DUMMYFUNCTION("""COMPUTED_VALUE"""),"")</f>
        <v/>
      </c>
      <c r="J96" s="53" t="str">
        <f>IFERROR(__xludf.DUMMYFUNCTION("""COMPUTED_VALUE"""),"")</f>
        <v/>
      </c>
      <c r="K96" s="54" t="str">
        <f>IFERROR(__xludf.DUMMYFUNCTION("""COMPUTED_VALUE"""),"")</f>
        <v/>
      </c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6"/>
      <c r="W96" s="56"/>
      <c r="X96" s="56"/>
      <c r="Y96" s="56"/>
      <c r="Z96" s="57"/>
      <c r="AA96" s="58"/>
      <c r="AB96" s="59"/>
    </row>
    <row r="97" ht="13.5" customHeight="1">
      <c r="A97" s="60" t="str">
        <f>IFERROR(__xludf.DUMMYFUNCTION("""COMPUTED_VALUE"""),"")</f>
        <v/>
      </c>
      <c r="B97" s="64" t="str">
        <f>IFERROR(__xludf.DUMMYFUNCTION("""COMPUTED_VALUE"""),"")</f>
        <v/>
      </c>
      <c r="C97" s="63" t="str">
        <f>IFERROR(__xludf.DUMMYFUNCTION("""COMPUTED_VALUE"""),"")</f>
        <v/>
      </c>
      <c r="D97" s="63" t="str">
        <f>IFERROR(__xludf.DUMMYFUNCTION("""COMPUTED_VALUE"""),"")</f>
        <v/>
      </c>
      <c r="E97" s="51" t="str">
        <f>IFERROR(__xludf.DUMMYFUNCTION("""COMPUTED_VALUE"""),"")</f>
        <v/>
      </c>
      <c r="F97" s="82" t="str">
        <f>IFERROR(__xludf.DUMMYFUNCTION("""COMPUTED_VALUE"""),"")</f>
        <v/>
      </c>
      <c r="G97" s="52" t="str">
        <f>IFERROR(__xludf.DUMMYFUNCTION("""COMPUTED_VALUE"""),"")</f>
        <v/>
      </c>
      <c r="H97" s="53" t="str">
        <f>IFERROR(__xludf.DUMMYFUNCTION("""COMPUTED_VALUE"""),"")</f>
        <v/>
      </c>
      <c r="I97" s="53" t="str">
        <f>IFERROR(__xludf.DUMMYFUNCTION("""COMPUTED_VALUE"""),"")</f>
        <v/>
      </c>
      <c r="J97" s="53" t="str">
        <f>IFERROR(__xludf.DUMMYFUNCTION("""COMPUTED_VALUE"""),"")</f>
        <v/>
      </c>
      <c r="K97" s="54" t="str">
        <f>IFERROR(__xludf.DUMMYFUNCTION("""COMPUTED_VALUE"""),"")</f>
        <v/>
      </c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6"/>
      <c r="W97" s="56"/>
      <c r="X97" s="56"/>
      <c r="Y97" s="56"/>
      <c r="Z97" s="57"/>
      <c r="AA97" s="58"/>
      <c r="AB97" s="59"/>
    </row>
    <row r="98" ht="13.5" customHeight="1">
      <c r="A98" s="60" t="str">
        <f>IFERROR(__xludf.DUMMYFUNCTION("""COMPUTED_VALUE"""),"")</f>
        <v/>
      </c>
      <c r="B98" s="64" t="str">
        <f>IFERROR(__xludf.DUMMYFUNCTION("""COMPUTED_VALUE"""),"")</f>
        <v/>
      </c>
      <c r="C98" s="63" t="str">
        <f>IFERROR(__xludf.DUMMYFUNCTION("""COMPUTED_VALUE"""),"")</f>
        <v/>
      </c>
      <c r="D98" s="63" t="str">
        <f>IFERROR(__xludf.DUMMYFUNCTION("""COMPUTED_VALUE"""),"")</f>
        <v/>
      </c>
      <c r="E98" s="51" t="str">
        <f>IFERROR(__xludf.DUMMYFUNCTION("""COMPUTED_VALUE"""),"")</f>
        <v/>
      </c>
      <c r="F98" s="82" t="str">
        <f>IFERROR(__xludf.DUMMYFUNCTION("""COMPUTED_VALUE"""),"")</f>
        <v/>
      </c>
      <c r="G98" s="52" t="str">
        <f>IFERROR(__xludf.DUMMYFUNCTION("""COMPUTED_VALUE"""),"")</f>
        <v/>
      </c>
      <c r="H98" s="53" t="str">
        <f>IFERROR(__xludf.DUMMYFUNCTION("""COMPUTED_VALUE"""),"")</f>
        <v/>
      </c>
      <c r="I98" s="53" t="str">
        <f>IFERROR(__xludf.DUMMYFUNCTION("""COMPUTED_VALUE"""),"")</f>
        <v/>
      </c>
      <c r="J98" s="53" t="str">
        <f>IFERROR(__xludf.DUMMYFUNCTION("""COMPUTED_VALUE"""),"")</f>
        <v/>
      </c>
      <c r="K98" s="54" t="str">
        <f>IFERROR(__xludf.DUMMYFUNCTION("""COMPUTED_VALUE"""),"")</f>
        <v/>
      </c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6"/>
      <c r="W98" s="56"/>
      <c r="X98" s="56"/>
      <c r="Y98" s="56"/>
      <c r="Z98" s="57"/>
      <c r="AA98" s="58"/>
      <c r="AB98" s="59"/>
    </row>
    <row r="99" ht="13.5" customHeight="1">
      <c r="A99" s="60" t="str">
        <f>IFERROR(__xludf.DUMMYFUNCTION("""COMPUTED_VALUE"""),"")</f>
        <v/>
      </c>
      <c r="B99" s="64" t="str">
        <f>IFERROR(__xludf.DUMMYFUNCTION("""COMPUTED_VALUE"""),"")</f>
        <v/>
      </c>
      <c r="C99" s="63" t="str">
        <f>IFERROR(__xludf.DUMMYFUNCTION("""COMPUTED_VALUE"""),"")</f>
        <v/>
      </c>
      <c r="D99" s="63" t="str">
        <f>IFERROR(__xludf.DUMMYFUNCTION("""COMPUTED_VALUE"""),"")</f>
        <v/>
      </c>
      <c r="E99" s="51" t="str">
        <f>IFERROR(__xludf.DUMMYFUNCTION("""COMPUTED_VALUE"""),"")</f>
        <v/>
      </c>
      <c r="F99" s="82" t="str">
        <f>IFERROR(__xludf.DUMMYFUNCTION("""COMPUTED_VALUE"""),"")</f>
        <v/>
      </c>
      <c r="G99" s="52" t="str">
        <f>IFERROR(__xludf.DUMMYFUNCTION("""COMPUTED_VALUE"""),"")</f>
        <v/>
      </c>
      <c r="H99" s="53" t="str">
        <f>IFERROR(__xludf.DUMMYFUNCTION("""COMPUTED_VALUE"""),"")</f>
        <v/>
      </c>
      <c r="I99" s="53" t="str">
        <f>IFERROR(__xludf.DUMMYFUNCTION("""COMPUTED_VALUE"""),"")</f>
        <v/>
      </c>
      <c r="J99" s="53" t="str">
        <f>IFERROR(__xludf.DUMMYFUNCTION("""COMPUTED_VALUE"""),"")</f>
        <v/>
      </c>
      <c r="K99" s="54" t="str">
        <f>IFERROR(__xludf.DUMMYFUNCTION("""COMPUTED_VALUE"""),"")</f>
        <v/>
      </c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6"/>
      <c r="W99" s="56"/>
      <c r="X99" s="56"/>
      <c r="Y99" s="56"/>
      <c r="Z99" s="57"/>
      <c r="AA99" s="58"/>
      <c r="AB99" s="59"/>
    </row>
    <row r="100" ht="13.5" customHeight="1">
      <c r="A100" s="60" t="str">
        <f>IFERROR(__xludf.DUMMYFUNCTION("""COMPUTED_VALUE"""),"")</f>
        <v/>
      </c>
      <c r="B100" s="64" t="str">
        <f>IFERROR(__xludf.DUMMYFUNCTION("""COMPUTED_VALUE"""),"")</f>
        <v/>
      </c>
      <c r="C100" s="63" t="str">
        <f>IFERROR(__xludf.DUMMYFUNCTION("""COMPUTED_VALUE"""),"")</f>
        <v/>
      </c>
      <c r="D100" s="63" t="str">
        <f>IFERROR(__xludf.DUMMYFUNCTION("""COMPUTED_VALUE"""),"")</f>
        <v/>
      </c>
      <c r="E100" s="51" t="str">
        <f>IFERROR(__xludf.DUMMYFUNCTION("""COMPUTED_VALUE"""),"")</f>
        <v/>
      </c>
      <c r="F100" s="82" t="str">
        <f>IFERROR(__xludf.DUMMYFUNCTION("""COMPUTED_VALUE"""),"")</f>
        <v/>
      </c>
      <c r="G100" s="52" t="str">
        <f>IFERROR(__xludf.DUMMYFUNCTION("""COMPUTED_VALUE"""),"")</f>
        <v/>
      </c>
      <c r="H100" s="53" t="str">
        <f>IFERROR(__xludf.DUMMYFUNCTION("""COMPUTED_VALUE"""),"")</f>
        <v/>
      </c>
      <c r="I100" s="53" t="str">
        <f>IFERROR(__xludf.DUMMYFUNCTION("""COMPUTED_VALUE"""),"")</f>
        <v/>
      </c>
      <c r="J100" s="53" t="str">
        <f>IFERROR(__xludf.DUMMYFUNCTION("""COMPUTED_VALUE"""),"")</f>
        <v/>
      </c>
      <c r="K100" s="54" t="str">
        <f>IFERROR(__xludf.DUMMYFUNCTION("""COMPUTED_VALUE"""),"")</f>
        <v/>
      </c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6"/>
      <c r="W100" s="56"/>
      <c r="X100" s="56"/>
      <c r="Y100" s="56"/>
      <c r="Z100" s="57"/>
      <c r="AA100" s="58"/>
      <c r="AB100" s="59"/>
    </row>
    <row r="101" ht="13.5" customHeight="1">
      <c r="A101" s="60" t="str">
        <f>IFERROR(__xludf.DUMMYFUNCTION("""COMPUTED_VALUE"""),"")</f>
        <v/>
      </c>
      <c r="B101" s="64" t="str">
        <f>IFERROR(__xludf.DUMMYFUNCTION("""COMPUTED_VALUE"""),"")</f>
        <v/>
      </c>
      <c r="C101" s="63" t="str">
        <f>IFERROR(__xludf.DUMMYFUNCTION("""COMPUTED_VALUE"""),"")</f>
        <v/>
      </c>
      <c r="D101" s="63" t="str">
        <f>IFERROR(__xludf.DUMMYFUNCTION("""COMPUTED_VALUE"""),"")</f>
        <v/>
      </c>
      <c r="E101" s="51" t="str">
        <f>IFERROR(__xludf.DUMMYFUNCTION("""COMPUTED_VALUE"""),"")</f>
        <v/>
      </c>
      <c r="F101" s="82" t="str">
        <f>IFERROR(__xludf.DUMMYFUNCTION("""COMPUTED_VALUE"""),"")</f>
        <v/>
      </c>
      <c r="G101" s="52" t="str">
        <f>IFERROR(__xludf.DUMMYFUNCTION("""COMPUTED_VALUE"""),"")</f>
        <v/>
      </c>
      <c r="H101" s="53" t="str">
        <f>IFERROR(__xludf.DUMMYFUNCTION("""COMPUTED_VALUE"""),"")</f>
        <v/>
      </c>
      <c r="I101" s="53" t="str">
        <f>IFERROR(__xludf.DUMMYFUNCTION("""COMPUTED_VALUE"""),"")</f>
        <v/>
      </c>
      <c r="J101" s="53" t="str">
        <f>IFERROR(__xludf.DUMMYFUNCTION("""COMPUTED_VALUE"""),"")</f>
        <v/>
      </c>
      <c r="K101" s="54" t="str">
        <f>IFERROR(__xludf.DUMMYFUNCTION("""COMPUTED_VALUE"""),"")</f>
        <v/>
      </c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6"/>
      <c r="W101" s="56"/>
      <c r="X101" s="56"/>
      <c r="Y101" s="56"/>
      <c r="Z101" s="57"/>
      <c r="AA101" s="58"/>
      <c r="AB101" s="59"/>
    </row>
    <row r="102" ht="13.5" customHeight="1">
      <c r="A102" s="60" t="str">
        <f>IFERROR(__xludf.DUMMYFUNCTION("""COMPUTED_VALUE"""),"")</f>
        <v/>
      </c>
      <c r="B102" s="64" t="str">
        <f>IFERROR(__xludf.DUMMYFUNCTION("""COMPUTED_VALUE"""),"")</f>
        <v/>
      </c>
      <c r="C102" s="63" t="str">
        <f>IFERROR(__xludf.DUMMYFUNCTION("""COMPUTED_VALUE"""),"")</f>
        <v/>
      </c>
      <c r="D102" s="63" t="str">
        <f>IFERROR(__xludf.DUMMYFUNCTION("""COMPUTED_VALUE"""),"")</f>
        <v/>
      </c>
      <c r="E102" s="51" t="str">
        <f>IFERROR(__xludf.DUMMYFUNCTION("""COMPUTED_VALUE"""),"")</f>
        <v/>
      </c>
      <c r="F102" s="82" t="str">
        <f>IFERROR(__xludf.DUMMYFUNCTION("""COMPUTED_VALUE"""),"")</f>
        <v/>
      </c>
      <c r="G102" s="52" t="str">
        <f>IFERROR(__xludf.DUMMYFUNCTION("""COMPUTED_VALUE"""),"")</f>
        <v/>
      </c>
      <c r="H102" s="53" t="str">
        <f>IFERROR(__xludf.DUMMYFUNCTION("""COMPUTED_VALUE"""),"")</f>
        <v/>
      </c>
      <c r="I102" s="53" t="str">
        <f>IFERROR(__xludf.DUMMYFUNCTION("""COMPUTED_VALUE"""),"")</f>
        <v/>
      </c>
      <c r="J102" s="53" t="str">
        <f>IFERROR(__xludf.DUMMYFUNCTION("""COMPUTED_VALUE"""),"")</f>
        <v/>
      </c>
      <c r="K102" s="54" t="str">
        <f>IFERROR(__xludf.DUMMYFUNCTION("""COMPUTED_VALUE"""),"")</f>
        <v/>
      </c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6"/>
      <c r="W102" s="56"/>
      <c r="X102" s="56"/>
      <c r="Y102" s="56"/>
      <c r="Z102" s="57"/>
      <c r="AA102" s="58"/>
      <c r="AB102" s="59"/>
    </row>
    <row r="103" ht="13.5" customHeight="1">
      <c r="A103" s="60" t="str">
        <f>IFERROR(__xludf.DUMMYFUNCTION("""COMPUTED_VALUE"""),"")</f>
        <v/>
      </c>
      <c r="B103" s="64" t="str">
        <f>IFERROR(__xludf.DUMMYFUNCTION("""COMPUTED_VALUE"""),"")</f>
        <v/>
      </c>
      <c r="C103" s="63" t="str">
        <f>IFERROR(__xludf.DUMMYFUNCTION("""COMPUTED_VALUE"""),"")</f>
        <v/>
      </c>
      <c r="D103" s="63" t="str">
        <f>IFERROR(__xludf.DUMMYFUNCTION("""COMPUTED_VALUE"""),"")</f>
        <v/>
      </c>
      <c r="E103" s="51" t="str">
        <f>IFERROR(__xludf.DUMMYFUNCTION("""COMPUTED_VALUE"""),"")</f>
        <v/>
      </c>
      <c r="F103" s="82" t="str">
        <f>IFERROR(__xludf.DUMMYFUNCTION("""COMPUTED_VALUE"""),"")</f>
        <v/>
      </c>
      <c r="G103" s="52" t="str">
        <f>IFERROR(__xludf.DUMMYFUNCTION("""COMPUTED_VALUE"""),"")</f>
        <v/>
      </c>
      <c r="H103" s="53" t="str">
        <f>IFERROR(__xludf.DUMMYFUNCTION("""COMPUTED_VALUE"""),"")</f>
        <v/>
      </c>
      <c r="I103" s="53" t="str">
        <f>IFERROR(__xludf.DUMMYFUNCTION("""COMPUTED_VALUE"""),"")</f>
        <v/>
      </c>
      <c r="J103" s="53" t="str">
        <f>IFERROR(__xludf.DUMMYFUNCTION("""COMPUTED_VALUE"""),"")</f>
        <v/>
      </c>
      <c r="K103" s="54" t="str">
        <f>IFERROR(__xludf.DUMMYFUNCTION("""COMPUTED_VALUE"""),"")</f>
        <v/>
      </c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6"/>
      <c r="W103" s="56"/>
      <c r="X103" s="56"/>
      <c r="Y103" s="56"/>
      <c r="Z103" s="57"/>
      <c r="AA103" s="58"/>
      <c r="AB103" s="59"/>
    </row>
    <row r="104" ht="13.5" customHeight="1">
      <c r="A104" s="60" t="str">
        <f>IFERROR(__xludf.DUMMYFUNCTION("""COMPUTED_VALUE"""),"")</f>
        <v/>
      </c>
      <c r="B104" s="64" t="str">
        <f>IFERROR(__xludf.DUMMYFUNCTION("""COMPUTED_VALUE"""),"")</f>
        <v/>
      </c>
      <c r="C104" s="63" t="str">
        <f>IFERROR(__xludf.DUMMYFUNCTION("""COMPUTED_VALUE"""),"")</f>
        <v/>
      </c>
      <c r="D104" s="63" t="str">
        <f>IFERROR(__xludf.DUMMYFUNCTION("""COMPUTED_VALUE"""),"")</f>
        <v/>
      </c>
      <c r="E104" s="51" t="str">
        <f>IFERROR(__xludf.DUMMYFUNCTION("""COMPUTED_VALUE"""),"")</f>
        <v/>
      </c>
      <c r="F104" s="82" t="str">
        <f>IFERROR(__xludf.DUMMYFUNCTION("""COMPUTED_VALUE"""),"")</f>
        <v/>
      </c>
      <c r="G104" s="52" t="str">
        <f>IFERROR(__xludf.DUMMYFUNCTION("""COMPUTED_VALUE"""),"")</f>
        <v/>
      </c>
      <c r="H104" s="53" t="str">
        <f>IFERROR(__xludf.DUMMYFUNCTION("""COMPUTED_VALUE"""),"")</f>
        <v/>
      </c>
      <c r="I104" s="53" t="str">
        <f>IFERROR(__xludf.DUMMYFUNCTION("""COMPUTED_VALUE"""),"")</f>
        <v/>
      </c>
      <c r="J104" s="53" t="str">
        <f>IFERROR(__xludf.DUMMYFUNCTION("""COMPUTED_VALUE"""),"")</f>
        <v/>
      </c>
      <c r="K104" s="54" t="str">
        <f>IFERROR(__xludf.DUMMYFUNCTION("""COMPUTED_VALUE"""),"")</f>
        <v/>
      </c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6"/>
      <c r="W104" s="56"/>
      <c r="X104" s="56"/>
      <c r="Y104" s="56"/>
      <c r="Z104" s="57"/>
      <c r="AA104" s="58"/>
      <c r="AB104" s="59"/>
    </row>
    <row r="105" ht="13.5" customHeight="1">
      <c r="A105" s="60" t="str">
        <f>IFERROR(__xludf.DUMMYFUNCTION("""COMPUTED_VALUE"""),"")</f>
        <v/>
      </c>
      <c r="B105" s="64" t="str">
        <f>IFERROR(__xludf.DUMMYFUNCTION("""COMPUTED_VALUE"""),"")</f>
        <v/>
      </c>
      <c r="C105" s="63" t="str">
        <f>IFERROR(__xludf.DUMMYFUNCTION("""COMPUTED_VALUE"""),"")</f>
        <v/>
      </c>
      <c r="D105" s="63" t="str">
        <f>IFERROR(__xludf.DUMMYFUNCTION("""COMPUTED_VALUE"""),"")</f>
        <v/>
      </c>
      <c r="E105" s="51" t="str">
        <f>IFERROR(__xludf.DUMMYFUNCTION("""COMPUTED_VALUE"""),"")</f>
        <v/>
      </c>
      <c r="F105" s="82" t="str">
        <f>IFERROR(__xludf.DUMMYFUNCTION("""COMPUTED_VALUE"""),"")</f>
        <v/>
      </c>
      <c r="G105" s="52" t="str">
        <f>IFERROR(__xludf.DUMMYFUNCTION("""COMPUTED_VALUE"""),"")</f>
        <v/>
      </c>
      <c r="H105" s="53" t="str">
        <f>IFERROR(__xludf.DUMMYFUNCTION("""COMPUTED_VALUE"""),"")</f>
        <v/>
      </c>
      <c r="I105" s="53" t="str">
        <f>IFERROR(__xludf.DUMMYFUNCTION("""COMPUTED_VALUE"""),"")</f>
        <v/>
      </c>
      <c r="J105" s="53" t="str">
        <f>IFERROR(__xludf.DUMMYFUNCTION("""COMPUTED_VALUE"""),"")</f>
        <v/>
      </c>
      <c r="K105" s="54" t="str">
        <f>IFERROR(__xludf.DUMMYFUNCTION("""COMPUTED_VALUE"""),"")</f>
        <v/>
      </c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6"/>
      <c r="W105" s="56"/>
      <c r="X105" s="56"/>
      <c r="Y105" s="56"/>
      <c r="Z105" s="57"/>
      <c r="AA105" s="58"/>
      <c r="AB105" s="59"/>
    </row>
    <row r="106" ht="13.5" customHeight="1">
      <c r="A106" s="60" t="str">
        <f>IFERROR(__xludf.DUMMYFUNCTION("""COMPUTED_VALUE"""),"")</f>
        <v/>
      </c>
      <c r="B106" s="64" t="str">
        <f>IFERROR(__xludf.DUMMYFUNCTION("""COMPUTED_VALUE"""),"")</f>
        <v/>
      </c>
      <c r="C106" s="63" t="str">
        <f>IFERROR(__xludf.DUMMYFUNCTION("""COMPUTED_VALUE"""),"")</f>
        <v/>
      </c>
      <c r="D106" s="63" t="str">
        <f>IFERROR(__xludf.DUMMYFUNCTION("""COMPUTED_VALUE"""),"")</f>
        <v/>
      </c>
      <c r="E106" s="51" t="str">
        <f>IFERROR(__xludf.DUMMYFUNCTION("""COMPUTED_VALUE"""),"")</f>
        <v/>
      </c>
      <c r="F106" s="82" t="str">
        <f>IFERROR(__xludf.DUMMYFUNCTION("""COMPUTED_VALUE"""),"")</f>
        <v/>
      </c>
      <c r="G106" s="52" t="str">
        <f>IFERROR(__xludf.DUMMYFUNCTION("""COMPUTED_VALUE"""),"")</f>
        <v/>
      </c>
      <c r="H106" s="53" t="str">
        <f>IFERROR(__xludf.DUMMYFUNCTION("""COMPUTED_VALUE"""),"")</f>
        <v/>
      </c>
      <c r="I106" s="53" t="str">
        <f>IFERROR(__xludf.DUMMYFUNCTION("""COMPUTED_VALUE"""),"")</f>
        <v/>
      </c>
      <c r="J106" s="53" t="str">
        <f>IFERROR(__xludf.DUMMYFUNCTION("""COMPUTED_VALUE"""),"")</f>
        <v/>
      </c>
      <c r="K106" s="54" t="str">
        <f>IFERROR(__xludf.DUMMYFUNCTION("""COMPUTED_VALUE"""),"")</f>
        <v/>
      </c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6"/>
      <c r="W106" s="56"/>
      <c r="X106" s="56"/>
      <c r="Y106" s="56"/>
      <c r="Z106" s="57"/>
      <c r="AA106" s="58"/>
      <c r="AB106" s="59"/>
    </row>
    <row r="107" ht="13.5" customHeight="1">
      <c r="A107" s="60" t="str">
        <f>IFERROR(__xludf.DUMMYFUNCTION("""COMPUTED_VALUE"""),"")</f>
        <v/>
      </c>
      <c r="B107" s="64" t="str">
        <f>IFERROR(__xludf.DUMMYFUNCTION("""COMPUTED_VALUE"""),"")</f>
        <v/>
      </c>
      <c r="C107" s="63" t="str">
        <f>IFERROR(__xludf.DUMMYFUNCTION("""COMPUTED_VALUE"""),"")</f>
        <v/>
      </c>
      <c r="D107" s="63" t="str">
        <f>IFERROR(__xludf.DUMMYFUNCTION("""COMPUTED_VALUE"""),"")</f>
        <v/>
      </c>
      <c r="E107" s="51" t="str">
        <f>IFERROR(__xludf.DUMMYFUNCTION("""COMPUTED_VALUE"""),"")</f>
        <v/>
      </c>
      <c r="F107" s="82" t="str">
        <f>IFERROR(__xludf.DUMMYFUNCTION("""COMPUTED_VALUE"""),"")</f>
        <v/>
      </c>
      <c r="G107" s="52" t="str">
        <f>IFERROR(__xludf.DUMMYFUNCTION("""COMPUTED_VALUE"""),"")</f>
        <v/>
      </c>
      <c r="H107" s="53" t="str">
        <f>IFERROR(__xludf.DUMMYFUNCTION("""COMPUTED_VALUE"""),"")</f>
        <v/>
      </c>
      <c r="I107" s="53" t="str">
        <f>IFERROR(__xludf.DUMMYFUNCTION("""COMPUTED_VALUE"""),"")</f>
        <v/>
      </c>
      <c r="J107" s="53" t="str">
        <f>IFERROR(__xludf.DUMMYFUNCTION("""COMPUTED_VALUE"""),"")</f>
        <v/>
      </c>
      <c r="K107" s="54" t="str">
        <f>IFERROR(__xludf.DUMMYFUNCTION("""COMPUTED_VALUE"""),"")</f>
        <v/>
      </c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6"/>
      <c r="W107" s="56"/>
      <c r="X107" s="56"/>
      <c r="Y107" s="56"/>
      <c r="Z107" s="57"/>
      <c r="AA107" s="58"/>
      <c r="AB107" s="59"/>
    </row>
    <row r="108" ht="13.5" customHeight="1">
      <c r="A108" s="60" t="str">
        <f>IFERROR(__xludf.DUMMYFUNCTION("""COMPUTED_VALUE"""),"")</f>
        <v/>
      </c>
      <c r="B108" s="64" t="str">
        <f>IFERROR(__xludf.DUMMYFUNCTION("""COMPUTED_VALUE"""),"")</f>
        <v/>
      </c>
      <c r="C108" s="63" t="str">
        <f>IFERROR(__xludf.DUMMYFUNCTION("""COMPUTED_VALUE"""),"")</f>
        <v/>
      </c>
      <c r="D108" s="63" t="str">
        <f>IFERROR(__xludf.DUMMYFUNCTION("""COMPUTED_VALUE"""),"")</f>
        <v/>
      </c>
      <c r="E108" s="51" t="str">
        <f>IFERROR(__xludf.DUMMYFUNCTION("""COMPUTED_VALUE"""),"")</f>
        <v/>
      </c>
      <c r="F108" s="82" t="str">
        <f>IFERROR(__xludf.DUMMYFUNCTION("""COMPUTED_VALUE"""),"")</f>
        <v/>
      </c>
      <c r="G108" s="52" t="str">
        <f>IFERROR(__xludf.DUMMYFUNCTION("""COMPUTED_VALUE"""),"")</f>
        <v/>
      </c>
      <c r="H108" s="53" t="str">
        <f>IFERROR(__xludf.DUMMYFUNCTION("""COMPUTED_VALUE"""),"")</f>
        <v/>
      </c>
      <c r="I108" s="53" t="str">
        <f>IFERROR(__xludf.DUMMYFUNCTION("""COMPUTED_VALUE"""),"")</f>
        <v/>
      </c>
      <c r="J108" s="53" t="str">
        <f>IFERROR(__xludf.DUMMYFUNCTION("""COMPUTED_VALUE"""),"")</f>
        <v/>
      </c>
      <c r="K108" s="54" t="str">
        <f>IFERROR(__xludf.DUMMYFUNCTION("""COMPUTED_VALUE"""),"")</f>
        <v/>
      </c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6"/>
      <c r="W108" s="56"/>
      <c r="X108" s="56"/>
      <c r="Y108" s="56"/>
      <c r="Z108" s="57"/>
      <c r="AA108" s="58"/>
      <c r="AB108" s="59"/>
    </row>
    <row r="109" ht="13.5" customHeight="1">
      <c r="A109" s="60" t="str">
        <f>IFERROR(__xludf.DUMMYFUNCTION("""COMPUTED_VALUE"""),"")</f>
        <v/>
      </c>
      <c r="B109" s="64" t="str">
        <f>IFERROR(__xludf.DUMMYFUNCTION("""COMPUTED_VALUE"""),"")</f>
        <v/>
      </c>
      <c r="C109" s="63" t="str">
        <f>IFERROR(__xludf.DUMMYFUNCTION("""COMPUTED_VALUE"""),"")</f>
        <v/>
      </c>
      <c r="D109" s="63" t="str">
        <f>IFERROR(__xludf.DUMMYFUNCTION("""COMPUTED_VALUE"""),"")</f>
        <v/>
      </c>
      <c r="E109" s="51" t="str">
        <f>IFERROR(__xludf.DUMMYFUNCTION("""COMPUTED_VALUE"""),"")</f>
        <v/>
      </c>
      <c r="F109" s="82" t="str">
        <f>IFERROR(__xludf.DUMMYFUNCTION("""COMPUTED_VALUE"""),"")</f>
        <v/>
      </c>
      <c r="G109" s="52" t="str">
        <f>IFERROR(__xludf.DUMMYFUNCTION("""COMPUTED_VALUE"""),"")</f>
        <v/>
      </c>
      <c r="H109" s="53" t="str">
        <f>IFERROR(__xludf.DUMMYFUNCTION("""COMPUTED_VALUE"""),"")</f>
        <v/>
      </c>
      <c r="I109" s="53" t="str">
        <f>IFERROR(__xludf.DUMMYFUNCTION("""COMPUTED_VALUE"""),"")</f>
        <v/>
      </c>
      <c r="J109" s="53" t="str">
        <f>IFERROR(__xludf.DUMMYFUNCTION("""COMPUTED_VALUE"""),"")</f>
        <v/>
      </c>
      <c r="K109" s="54" t="str">
        <f>IFERROR(__xludf.DUMMYFUNCTION("""COMPUTED_VALUE"""),"")</f>
        <v/>
      </c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6"/>
      <c r="W109" s="56"/>
      <c r="X109" s="56"/>
      <c r="Y109" s="56"/>
      <c r="Z109" s="57"/>
      <c r="AA109" s="58"/>
      <c r="AB109" s="59"/>
    </row>
    <row r="110" ht="13.5" customHeight="1">
      <c r="A110" s="60" t="str">
        <f>IFERROR(__xludf.DUMMYFUNCTION("""COMPUTED_VALUE"""),"")</f>
        <v/>
      </c>
      <c r="B110" s="64" t="str">
        <f>IFERROR(__xludf.DUMMYFUNCTION("""COMPUTED_VALUE"""),"")</f>
        <v/>
      </c>
      <c r="C110" s="63" t="str">
        <f>IFERROR(__xludf.DUMMYFUNCTION("""COMPUTED_VALUE"""),"")</f>
        <v/>
      </c>
      <c r="D110" s="63" t="str">
        <f>IFERROR(__xludf.DUMMYFUNCTION("""COMPUTED_VALUE"""),"")</f>
        <v/>
      </c>
      <c r="E110" s="51" t="str">
        <f>IFERROR(__xludf.DUMMYFUNCTION("""COMPUTED_VALUE"""),"")</f>
        <v/>
      </c>
      <c r="F110" s="82" t="str">
        <f>IFERROR(__xludf.DUMMYFUNCTION("""COMPUTED_VALUE"""),"")</f>
        <v/>
      </c>
      <c r="G110" s="52" t="str">
        <f>IFERROR(__xludf.DUMMYFUNCTION("""COMPUTED_VALUE"""),"")</f>
        <v/>
      </c>
      <c r="H110" s="53" t="str">
        <f>IFERROR(__xludf.DUMMYFUNCTION("""COMPUTED_VALUE"""),"")</f>
        <v/>
      </c>
      <c r="I110" s="53" t="str">
        <f>IFERROR(__xludf.DUMMYFUNCTION("""COMPUTED_VALUE"""),"")</f>
        <v/>
      </c>
      <c r="J110" s="53" t="str">
        <f>IFERROR(__xludf.DUMMYFUNCTION("""COMPUTED_VALUE"""),"")</f>
        <v/>
      </c>
      <c r="K110" s="54" t="str">
        <f>IFERROR(__xludf.DUMMYFUNCTION("""COMPUTED_VALUE"""),"")</f>
        <v/>
      </c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6"/>
      <c r="W110" s="56"/>
      <c r="X110" s="56"/>
      <c r="Y110" s="56"/>
      <c r="Z110" s="57"/>
      <c r="AA110" s="58"/>
      <c r="AB110" s="59"/>
    </row>
    <row r="111" ht="13.5" customHeight="1">
      <c r="A111" s="60" t="str">
        <f>IFERROR(__xludf.DUMMYFUNCTION("""COMPUTED_VALUE"""),"")</f>
        <v/>
      </c>
      <c r="B111" s="64" t="str">
        <f>IFERROR(__xludf.DUMMYFUNCTION("""COMPUTED_VALUE"""),"")</f>
        <v/>
      </c>
      <c r="C111" s="63" t="str">
        <f>IFERROR(__xludf.DUMMYFUNCTION("""COMPUTED_VALUE"""),"")</f>
        <v/>
      </c>
      <c r="D111" s="63" t="str">
        <f>IFERROR(__xludf.DUMMYFUNCTION("""COMPUTED_VALUE"""),"")</f>
        <v/>
      </c>
      <c r="E111" s="51" t="str">
        <f>IFERROR(__xludf.DUMMYFUNCTION("""COMPUTED_VALUE"""),"")</f>
        <v/>
      </c>
      <c r="F111" s="82" t="str">
        <f>IFERROR(__xludf.DUMMYFUNCTION("""COMPUTED_VALUE"""),"")</f>
        <v/>
      </c>
      <c r="G111" s="52" t="str">
        <f>IFERROR(__xludf.DUMMYFUNCTION("""COMPUTED_VALUE"""),"")</f>
        <v/>
      </c>
      <c r="H111" s="53" t="str">
        <f>IFERROR(__xludf.DUMMYFUNCTION("""COMPUTED_VALUE"""),"")</f>
        <v/>
      </c>
      <c r="I111" s="53" t="str">
        <f>IFERROR(__xludf.DUMMYFUNCTION("""COMPUTED_VALUE"""),"")</f>
        <v/>
      </c>
      <c r="J111" s="53" t="str">
        <f>IFERROR(__xludf.DUMMYFUNCTION("""COMPUTED_VALUE"""),"")</f>
        <v/>
      </c>
      <c r="K111" s="54" t="str">
        <f>IFERROR(__xludf.DUMMYFUNCTION("""COMPUTED_VALUE"""),"")</f>
        <v/>
      </c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6"/>
      <c r="W111" s="56"/>
      <c r="X111" s="56"/>
      <c r="Y111" s="56"/>
      <c r="Z111" s="57"/>
      <c r="AA111" s="58"/>
      <c r="AB111" s="59"/>
    </row>
    <row r="112" ht="13.5" customHeight="1">
      <c r="A112" s="60" t="str">
        <f>IFERROR(__xludf.DUMMYFUNCTION("""COMPUTED_VALUE"""),"")</f>
        <v/>
      </c>
      <c r="B112" s="64" t="str">
        <f>IFERROR(__xludf.DUMMYFUNCTION("""COMPUTED_VALUE"""),"")</f>
        <v/>
      </c>
      <c r="C112" s="63" t="str">
        <f>IFERROR(__xludf.DUMMYFUNCTION("""COMPUTED_VALUE"""),"")</f>
        <v/>
      </c>
      <c r="D112" s="63" t="str">
        <f>IFERROR(__xludf.DUMMYFUNCTION("""COMPUTED_VALUE"""),"")</f>
        <v/>
      </c>
      <c r="E112" s="51" t="str">
        <f>IFERROR(__xludf.DUMMYFUNCTION("""COMPUTED_VALUE"""),"")</f>
        <v/>
      </c>
      <c r="F112" s="82" t="str">
        <f>IFERROR(__xludf.DUMMYFUNCTION("""COMPUTED_VALUE"""),"")</f>
        <v/>
      </c>
      <c r="G112" s="52" t="str">
        <f>IFERROR(__xludf.DUMMYFUNCTION("""COMPUTED_VALUE"""),"")</f>
        <v/>
      </c>
      <c r="H112" s="53" t="str">
        <f>IFERROR(__xludf.DUMMYFUNCTION("""COMPUTED_VALUE"""),"")</f>
        <v/>
      </c>
      <c r="I112" s="53" t="str">
        <f>IFERROR(__xludf.DUMMYFUNCTION("""COMPUTED_VALUE"""),"")</f>
        <v/>
      </c>
      <c r="J112" s="53" t="str">
        <f>IFERROR(__xludf.DUMMYFUNCTION("""COMPUTED_VALUE"""),"")</f>
        <v/>
      </c>
      <c r="K112" s="54" t="str">
        <f>IFERROR(__xludf.DUMMYFUNCTION("""COMPUTED_VALUE"""),"")</f>
        <v/>
      </c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6"/>
      <c r="W112" s="56"/>
      <c r="X112" s="56"/>
      <c r="Y112" s="56"/>
      <c r="Z112" s="57"/>
      <c r="AA112" s="58"/>
      <c r="AB112" s="59"/>
    </row>
    <row r="113" ht="13.5" customHeight="1">
      <c r="A113" s="60" t="str">
        <f>IFERROR(__xludf.DUMMYFUNCTION("""COMPUTED_VALUE"""),"")</f>
        <v/>
      </c>
      <c r="B113" s="64" t="str">
        <f>IFERROR(__xludf.DUMMYFUNCTION("""COMPUTED_VALUE"""),"")</f>
        <v/>
      </c>
      <c r="C113" s="63" t="str">
        <f>IFERROR(__xludf.DUMMYFUNCTION("""COMPUTED_VALUE"""),"")</f>
        <v/>
      </c>
      <c r="D113" s="63" t="str">
        <f>IFERROR(__xludf.DUMMYFUNCTION("""COMPUTED_VALUE"""),"")</f>
        <v/>
      </c>
      <c r="E113" s="51" t="str">
        <f>IFERROR(__xludf.DUMMYFUNCTION("""COMPUTED_VALUE"""),"")</f>
        <v/>
      </c>
      <c r="F113" s="82" t="str">
        <f>IFERROR(__xludf.DUMMYFUNCTION("""COMPUTED_VALUE"""),"")</f>
        <v/>
      </c>
      <c r="G113" s="52" t="str">
        <f>IFERROR(__xludf.DUMMYFUNCTION("""COMPUTED_VALUE"""),"")</f>
        <v/>
      </c>
      <c r="H113" s="53" t="str">
        <f>IFERROR(__xludf.DUMMYFUNCTION("""COMPUTED_VALUE"""),"")</f>
        <v/>
      </c>
      <c r="I113" s="53" t="str">
        <f>IFERROR(__xludf.DUMMYFUNCTION("""COMPUTED_VALUE"""),"")</f>
        <v/>
      </c>
      <c r="J113" s="53" t="str">
        <f>IFERROR(__xludf.DUMMYFUNCTION("""COMPUTED_VALUE"""),"")</f>
        <v/>
      </c>
      <c r="K113" s="54" t="str">
        <f>IFERROR(__xludf.DUMMYFUNCTION("""COMPUTED_VALUE"""),"")</f>
        <v/>
      </c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6"/>
      <c r="W113" s="56"/>
      <c r="X113" s="56"/>
      <c r="Y113" s="56"/>
      <c r="Z113" s="57"/>
      <c r="AA113" s="58"/>
      <c r="AB113" s="59"/>
    </row>
    <row r="114" ht="13.5" customHeight="1">
      <c r="A114" s="60" t="str">
        <f>IFERROR(__xludf.DUMMYFUNCTION("""COMPUTED_VALUE"""),"")</f>
        <v/>
      </c>
      <c r="B114" s="64" t="str">
        <f>IFERROR(__xludf.DUMMYFUNCTION("""COMPUTED_VALUE"""),"")</f>
        <v/>
      </c>
      <c r="C114" s="63" t="str">
        <f>IFERROR(__xludf.DUMMYFUNCTION("""COMPUTED_VALUE"""),"")</f>
        <v/>
      </c>
      <c r="D114" s="63" t="str">
        <f>IFERROR(__xludf.DUMMYFUNCTION("""COMPUTED_VALUE"""),"")</f>
        <v/>
      </c>
      <c r="E114" s="51" t="str">
        <f>IFERROR(__xludf.DUMMYFUNCTION("""COMPUTED_VALUE"""),"")</f>
        <v/>
      </c>
      <c r="F114" s="82" t="str">
        <f>IFERROR(__xludf.DUMMYFUNCTION("""COMPUTED_VALUE"""),"")</f>
        <v/>
      </c>
      <c r="G114" s="52" t="str">
        <f>IFERROR(__xludf.DUMMYFUNCTION("""COMPUTED_VALUE"""),"")</f>
        <v/>
      </c>
      <c r="H114" s="53" t="str">
        <f>IFERROR(__xludf.DUMMYFUNCTION("""COMPUTED_VALUE"""),"")</f>
        <v/>
      </c>
      <c r="I114" s="53" t="str">
        <f>IFERROR(__xludf.DUMMYFUNCTION("""COMPUTED_VALUE"""),"")</f>
        <v/>
      </c>
      <c r="J114" s="53" t="str">
        <f>IFERROR(__xludf.DUMMYFUNCTION("""COMPUTED_VALUE"""),"")</f>
        <v/>
      </c>
      <c r="K114" s="54" t="str">
        <f>IFERROR(__xludf.DUMMYFUNCTION("""COMPUTED_VALUE"""),"")</f>
        <v/>
      </c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6"/>
      <c r="W114" s="56"/>
      <c r="X114" s="56"/>
      <c r="Y114" s="56"/>
      <c r="Z114" s="57"/>
      <c r="AA114" s="58"/>
      <c r="AB114" s="59"/>
    </row>
    <row r="115" ht="13.5" customHeight="1">
      <c r="A115" s="60" t="str">
        <f>IFERROR(__xludf.DUMMYFUNCTION("""COMPUTED_VALUE"""),"")</f>
        <v/>
      </c>
      <c r="B115" s="64" t="str">
        <f>IFERROR(__xludf.DUMMYFUNCTION("""COMPUTED_VALUE"""),"")</f>
        <v/>
      </c>
      <c r="C115" s="63" t="str">
        <f>IFERROR(__xludf.DUMMYFUNCTION("""COMPUTED_VALUE"""),"")</f>
        <v/>
      </c>
      <c r="D115" s="63" t="str">
        <f>IFERROR(__xludf.DUMMYFUNCTION("""COMPUTED_VALUE"""),"")</f>
        <v/>
      </c>
      <c r="E115" s="51" t="str">
        <f>IFERROR(__xludf.DUMMYFUNCTION("""COMPUTED_VALUE"""),"")</f>
        <v/>
      </c>
      <c r="F115" s="82" t="str">
        <f>IFERROR(__xludf.DUMMYFUNCTION("""COMPUTED_VALUE"""),"")</f>
        <v/>
      </c>
      <c r="G115" s="52" t="str">
        <f>IFERROR(__xludf.DUMMYFUNCTION("""COMPUTED_VALUE"""),"")</f>
        <v/>
      </c>
      <c r="H115" s="53" t="str">
        <f>IFERROR(__xludf.DUMMYFUNCTION("""COMPUTED_VALUE"""),"")</f>
        <v/>
      </c>
      <c r="I115" s="53" t="str">
        <f>IFERROR(__xludf.DUMMYFUNCTION("""COMPUTED_VALUE"""),"")</f>
        <v/>
      </c>
      <c r="J115" s="53" t="str">
        <f>IFERROR(__xludf.DUMMYFUNCTION("""COMPUTED_VALUE"""),"")</f>
        <v/>
      </c>
      <c r="K115" s="54" t="str">
        <f>IFERROR(__xludf.DUMMYFUNCTION("""COMPUTED_VALUE"""),"")</f>
        <v/>
      </c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6"/>
      <c r="W115" s="56"/>
      <c r="X115" s="56"/>
      <c r="Y115" s="56"/>
      <c r="Z115" s="57"/>
      <c r="AA115" s="58"/>
      <c r="AB115" s="59"/>
    </row>
    <row r="116" ht="13.5" customHeight="1">
      <c r="A116" s="60" t="str">
        <f>IFERROR(__xludf.DUMMYFUNCTION("""COMPUTED_VALUE"""),"")</f>
        <v/>
      </c>
      <c r="B116" s="64" t="str">
        <f>IFERROR(__xludf.DUMMYFUNCTION("""COMPUTED_VALUE"""),"")</f>
        <v/>
      </c>
      <c r="C116" s="63" t="str">
        <f>IFERROR(__xludf.DUMMYFUNCTION("""COMPUTED_VALUE"""),"")</f>
        <v/>
      </c>
      <c r="D116" s="63" t="str">
        <f>IFERROR(__xludf.DUMMYFUNCTION("""COMPUTED_VALUE"""),"")</f>
        <v/>
      </c>
      <c r="E116" s="51" t="str">
        <f>IFERROR(__xludf.DUMMYFUNCTION("""COMPUTED_VALUE"""),"")</f>
        <v/>
      </c>
      <c r="F116" s="82" t="str">
        <f>IFERROR(__xludf.DUMMYFUNCTION("""COMPUTED_VALUE"""),"")</f>
        <v/>
      </c>
      <c r="G116" s="52" t="str">
        <f>IFERROR(__xludf.DUMMYFUNCTION("""COMPUTED_VALUE"""),"")</f>
        <v/>
      </c>
      <c r="H116" s="53" t="str">
        <f>IFERROR(__xludf.DUMMYFUNCTION("""COMPUTED_VALUE"""),"")</f>
        <v/>
      </c>
      <c r="I116" s="53" t="str">
        <f>IFERROR(__xludf.DUMMYFUNCTION("""COMPUTED_VALUE"""),"")</f>
        <v/>
      </c>
      <c r="J116" s="53" t="str">
        <f>IFERROR(__xludf.DUMMYFUNCTION("""COMPUTED_VALUE"""),"")</f>
        <v/>
      </c>
      <c r="K116" s="54" t="str">
        <f>IFERROR(__xludf.DUMMYFUNCTION("""COMPUTED_VALUE"""),"")</f>
        <v/>
      </c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6"/>
      <c r="W116" s="56"/>
      <c r="X116" s="56"/>
      <c r="Y116" s="56"/>
      <c r="Z116" s="57"/>
      <c r="AA116" s="58"/>
      <c r="AB116" s="59"/>
    </row>
    <row r="117" ht="13.5" customHeight="1">
      <c r="A117" s="60" t="str">
        <f>IFERROR(__xludf.DUMMYFUNCTION("""COMPUTED_VALUE"""),"")</f>
        <v/>
      </c>
      <c r="B117" s="64" t="str">
        <f>IFERROR(__xludf.DUMMYFUNCTION("""COMPUTED_VALUE"""),"")</f>
        <v/>
      </c>
      <c r="C117" s="63" t="str">
        <f>IFERROR(__xludf.DUMMYFUNCTION("""COMPUTED_VALUE"""),"")</f>
        <v/>
      </c>
      <c r="D117" s="63" t="str">
        <f>IFERROR(__xludf.DUMMYFUNCTION("""COMPUTED_VALUE"""),"")</f>
        <v/>
      </c>
      <c r="E117" s="51" t="str">
        <f>IFERROR(__xludf.DUMMYFUNCTION("""COMPUTED_VALUE"""),"")</f>
        <v/>
      </c>
      <c r="F117" s="82" t="str">
        <f>IFERROR(__xludf.DUMMYFUNCTION("""COMPUTED_VALUE"""),"")</f>
        <v/>
      </c>
      <c r="G117" s="52" t="str">
        <f>IFERROR(__xludf.DUMMYFUNCTION("""COMPUTED_VALUE"""),"")</f>
        <v/>
      </c>
      <c r="H117" s="53" t="str">
        <f>IFERROR(__xludf.DUMMYFUNCTION("""COMPUTED_VALUE"""),"")</f>
        <v/>
      </c>
      <c r="I117" s="53" t="str">
        <f>IFERROR(__xludf.DUMMYFUNCTION("""COMPUTED_VALUE"""),"")</f>
        <v/>
      </c>
      <c r="J117" s="53" t="str">
        <f>IFERROR(__xludf.DUMMYFUNCTION("""COMPUTED_VALUE"""),"")</f>
        <v/>
      </c>
      <c r="K117" s="54" t="str">
        <f>IFERROR(__xludf.DUMMYFUNCTION("""COMPUTED_VALUE"""),"")</f>
        <v/>
      </c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6"/>
      <c r="W117" s="56"/>
      <c r="X117" s="56"/>
      <c r="Y117" s="56"/>
      <c r="Z117" s="57"/>
      <c r="AA117" s="58"/>
      <c r="AB117" s="59"/>
    </row>
    <row r="118" ht="13.5" customHeight="1">
      <c r="A118" s="60" t="str">
        <f>IFERROR(__xludf.DUMMYFUNCTION("""COMPUTED_VALUE"""),"")</f>
        <v/>
      </c>
      <c r="B118" s="64" t="str">
        <f>IFERROR(__xludf.DUMMYFUNCTION("""COMPUTED_VALUE"""),"")</f>
        <v/>
      </c>
      <c r="C118" s="63" t="str">
        <f>IFERROR(__xludf.DUMMYFUNCTION("""COMPUTED_VALUE"""),"")</f>
        <v/>
      </c>
      <c r="D118" s="63" t="str">
        <f>IFERROR(__xludf.DUMMYFUNCTION("""COMPUTED_VALUE"""),"")</f>
        <v/>
      </c>
      <c r="E118" s="51" t="str">
        <f>IFERROR(__xludf.DUMMYFUNCTION("""COMPUTED_VALUE"""),"")</f>
        <v/>
      </c>
      <c r="F118" s="82" t="str">
        <f>IFERROR(__xludf.DUMMYFUNCTION("""COMPUTED_VALUE"""),"")</f>
        <v/>
      </c>
      <c r="G118" s="52" t="str">
        <f>IFERROR(__xludf.DUMMYFUNCTION("""COMPUTED_VALUE"""),"")</f>
        <v/>
      </c>
      <c r="H118" s="53" t="str">
        <f>IFERROR(__xludf.DUMMYFUNCTION("""COMPUTED_VALUE"""),"")</f>
        <v/>
      </c>
      <c r="I118" s="53" t="str">
        <f>IFERROR(__xludf.DUMMYFUNCTION("""COMPUTED_VALUE"""),"")</f>
        <v/>
      </c>
      <c r="J118" s="53" t="str">
        <f>IFERROR(__xludf.DUMMYFUNCTION("""COMPUTED_VALUE"""),"")</f>
        <v/>
      </c>
      <c r="K118" s="54" t="str">
        <f>IFERROR(__xludf.DUMMYFUNCTION("""COMPUTED_VALUE"""),"")</f>
        <v/>
      </c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6"/>
      <c r="W118" s="56"/>
      <c r="X118" s="56"/>
      <c r="Y118" s="56"/>
      <c r="Z118" s="57"/>
      <c r="AA118" s="58"/>
      <c r="AB118" s="59"/>
    </row>
    <row r="119" ht="13.5" customHeight="1">
      <c r="A119" s="60" t="str">
        <f>IFERROR(__xludf.DUMMYFUNCTION("""COMPUTED_VALUE"""),"")</f>
        <v/>
      </c>
      <c r="B119" s="64" t="str">
        <f>IFERROR(__xludf.DUMMYFUNCTION("""COMPUTED_VALUE"""),"")</f>
        <v/>
      </c>
      <c r="C119" s="63" t="str">
        <f>IFERROR(__xludf.DUMMYFUNCTION("""COMPUTED_VALUE"""),"")</f>
        <v/>
      </c>
      <c r="D119" s="63" t="str">
        <f>IFERROR(__xludf.DUMMYFUNCTION("""COMPUTED_VALUE"""),"")</f>
        <v/>
      </c>
      <c r="E119" s="51" t="str">
        <f>IFERROR(__xludf.DUMMYFUNCTION("""COMPUTED_VALUE"""),"")</f>
        <v/>
      </c>
      <c r="F119" s="82" t="str">
        <f>IFERROR(__xludf.DUMMYFUNCTION("""COMPUTED_VALUE"""),"")</f>
        <v/>
      </c>
      <c r="G119" s="52" t="str">
        <f>IFERROR(__xludf.DUMMYFUNCTION("""COMPUTED_VALUE"""),"")</f>
        <v/>
      </c>
      <c r="H119" s="53" t="str">
        <f>IFERROR(__xludf.DUMMYFUNCTION("""COMPUTED_VALUE"""),"")</f>
        <v/>
      </c>
      <c r="I119" s="53" t="str">
        <f>IFERROR(__xludf.DUMMYFUNCTION("""COMPUTED_VALUE"""),"")</f>
        <v/>
      </c>
      <c r="J119" s="53" t="str">
        <f>IFERROR(__xludf.DUMMYFUNCTION("""COMPUTED_VALUE"""),"")</f>
        <v/>
      </c>
      <c r="K119" s="54" t="str">
        <f>IFERROR(__xludf.DUMMYFUNCTION("""COMPUTED_VALUE"""),"")</f>
        <v/>
      </c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6"/>
      <c r="W119" s="56"/>
      <c r="X119" s="56"/>
      <c r="Y119" s="56"/>
      <c r="Z119" s="57"/>
      <c r="AA119" s="58"/>
      <c r="AB119" s="59"/>
    </row>
    <row r="120" ht="13.5" customHeight="1">
      <c r="A120" s="60" t="str">
        <f>IFERROR(__xludf.DUMMYFUNCTION("""COMPUTED_VALUE"""),"")</f>
        <v/>
      </c>
      <c r="B120" s="64" t="str">
        <f>IFERROR(__xludf.DUMMYFUNCTION("""COMPUTED_VALUE"""),"")</f>
        <v/>
      </c>
      <c r="C120" s="63" t="str">
        <f>IFERROR(__xludf.DUMMYFUNCTION("""COMPUTED_VALUE"""),"")</f>
        <v/>
      </c>
      <c r="D120" s="63" t="str">
        <f>IFERROR(__xludf.DUMMYFUNCTION("""COMPUTED_VALUE"""),"")</f>
        <v/>
      </c>
      <c r="E120" s="51" t="str">
        <f>IFERROR(__xludf.DUMMYFUNCTION("""COMPUTED_VALUE"""),"")</f>
        <v/>
      </c>
      <c r="F120" s="82" t="str">
        <f>IFERROR(__xludf.DUMMYFUNCTION("""COMPUTED_VALUE"""),"")</f>
        <v/>
      </c>
      <c r="G120" s="52" t="str">
        <f>IFERROR(__xludf.DUMMYFUNCTION("""COMPUTED_VALUE"""),"")</f>
        <v/>
      </c>
      <c r="H120" s="53" t="str">
        <f>IFERROR(__xludf.DUMMYFUNCTION("""COMPUTED_VALUE"""),"")</f>
        <v/>
      </c>
      <c r="I120" s="53" t="str">
        <f>IFERROR(__xludf.DUMMYFUNCTION("""COMPUTED_VALUE"""),"")</f>
        <v/>
      </c>
      <c r="J120" s="53" t="str">
        <f>IFERROR(__xludf.DUMMYFUNCTION("""COMPUTED_VALUE"""),"")</f>
        <v/>
      </c>
      <c r="K120" s="54" t="str">
        <f>IFERROR(__xludf.DUMMYFUNCTION("""COMPUTED_VALUE"""),"")</f>
        <v/>
      </c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6"/>
      <c r="W120" s="56"/>
      <c r="X120" s="56"/>
      <c r="Y120" s="56"/>
      <c r="Z120" s="57"/>
      <c r="AA120" s="58"/>
      <c r="AB120" s="59"/>
    </row>
    <row r="121" ht="13.5" customHeight="1">
      <c r="A121" s="60" t="str">
        <f>IFERROR(__xludf.DUMMYFUNCTION("""COMPUTED_VALUE"""),"")</f>
        <v/>
      </c>
      <c r="B121" s="64" t="str">
        <f>IFERROR(__xludf.DUMMYFUNCTION("""COMPUTED_VALUE"""),"")</f>
        <v/>
      </c>
      <c r="C121" s="63" t="str">
        <f>IFERROR(__xludf.DUMMYFUNCTION("""COMPUTED_VALUE"""),"")</f>
        <v/>
      </c>
      <c r="D121" s="63" t="str">
        <f>IFERROR(__xludf.DUMMYFUNCTION("""COMPUTED_VALUE"""),"")</f>
        <v/>
      </c>
      <c r="E121" s="51" t="str">
        <f>IFERROR(__xludf.DUMMYFUNCTION("""COMPUTED_VALUE"""),"")</f>
        <v/>
      </c>
      <c r="F121" s="82" t="str">
        <f>IFERROR(__xludf.DUMMYFUNCTION("""COMPUTED_VALUE"""),"")</f>
        <v/>
      </c>
      <c r="G121" s="52" t="str">
        <f>IFERROR(__xludf.DUMMYFUNCTION("""COMPUTED_VALUE"""),"")</f>
        <v/>
      </c>
      <c r="H121" s="53" t="str">
        <f>IFERROR(__xludf.DUMMYFUNCTION("""COMPUTED_VALUE"""),"")</f>
        <v/>
      </c>
      <c r="I121" s="53" t="str">
        <f>IFERROR(__xludf.DUMMYFUNCTION("""COMPUTED_VALUE"""),"")</f>
        <v/>
      </c>
      <c r="J121" s="53" t="str">
        <f>IFERROR(__xludf.DUMMYFUNCTION("""COMPUTED_VALUE"""),"")</f>
        <v/>
      </c>
      <c r="K121" s="54" t="str">
        <f>IFERROR(__xludf.DUMMYFUNCTION("""COMPUTED_VALUE"""),"")</f>
        <v/>
      </c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6"/>
      <c r="W121" s="56"/>
      <c r="X121" s="56"/>
      <c r="Y121" s="56"/>
      <c r="Z121" s="57"/>
      <c r="AA121" s="58"/>
      <c r="AB121" s="59"/>
    </row>
    <row r="122" ht="13.5" customHeight="1">
      <c r="A122" s="60" t="str">
        <f>IFERROR(__xludf.DUMMYFUNCTION("""COMPUTED_VALUE"""),"")</f>
        <v/>
      </c>
      <c r="B122" s="64" t="str">
        <f>IFERROR(__xludf.DUMMYFUNCTION("""COMPUTED_VALUE"""),"")</f>
        <v/>
      </c>
      <c r="C122" s="63" t="str">
        <f>IFERROR(__xludf.DUMMYFUNCTION("""COMPUTED_VALUE"""),"")</f>
        <v/>
      </c>
      <c r="D122" s="63" t="str">
        <f>IFERROR(__xludf.DUMMYFUNCTION("""COMPUTED_VALUE"""),"")</f>
        <v/>
      </c>
      <c r="E122" s="51" t="str">
        <f>IFERROR(__xludf.DUMMYFUNCTION("""COMPUTED_VALUE"""),"")</f>
        <v/>
      </c>
      <c r="F122" s="82" t="str">
        <f>IFERROR(__xludf.DUMMYFUNCTION("""COMPUTED_VALUE"""),"")</f>
        <v/>
      </c>
      <c r="G122" s="52" t="str">
        <f>IFERROR(__xludf.DUMMYFUNCTION("""COMPUTED_VALUE"""),"")</f>
        <v/>
      </c>
      <c r="H122" s="53" t="str">
        <f>IFERROR(__xludf.DUMMYFUNCTION("""COMPUTED_VALUE"""),"")</f>
        <v/>
      </c>
      <c r="I122" s="53" t="str">
        <f>IFERROR(__xludf.DUMMYFUNCTION("""COMPUTED_VALUE"""),"")</f>
        <v/>
      </c>
      <c r="J122" s="53" t="str">
        <f>IFERROR(__xludf.DUMMYFUNCTION("""COMPUTED_VALUE"""),"")</f>
        <v/>
      </c>
      <c r="K122" s="54" t="str">
        <f>IFERROR(__xludf.DUMMYFUNCTION("""COMPUTED_VALUE"""),"")</f>
        <v/>
      </c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6"/>
      <c r="W122" s="56"/>
      <c r="X122" s="56"/>
      <c r="Y122" s="56"/>
      <c r="Z122" s="57"/>
      <c r="AA122" s="58"/>
      <c r="AB122" s="59"/>
    </row>
    <row r="123" ht="13.5" customHeight="1">
      <c r="A123" s="60" t="str">
        <f>IFERROR(__xludf.DUMMYFUNCTION("""COMPUTED_VALUE"""),"")</f>
        <v/>
      </c>
      <c r="B123" s="64" t="str">
        <f>IFERROR(__xludf.DUMMYFUNCTION("""COMPUTED_VALUE"""),"")</f>
        <v/>
      </c>
      <c r="C123" s="63" t="str">
        <f>IFERROR(__xludf.DUMMYFUNCTION("""COMPUTED_VALUE"""),"")</f>
        <v/>
      </c>
      <c r="D123" s="63" t="str">
        <f>IFERROR(__xludf.DUMMYFUNCTION("""COMPUTED_VALUE"""),"")</f>
        <v/>
      </c>
      <c r="E123" s="51" t="str">
        <f>IFERROR(__xludf.DUMMYFUNCTION("""COMPUTED_VALUE"""),"")</f>
        <v/>
      </c>
      <c r="F123" s="82" t="str">
        <f>IFERROR(__xludf.DUMMYFUNCTION("""COMPUTED_VALUE"""),"")</f>
        <v/>
      </c>
      <c r="G123" s="52" t="str">
        <f>IFERROR(__xludf.DUMMYFUNCTION("""COMPUTED_VALUE"""),"")</f>
        <v/>
      </c>
      <c r="H123" s="53" t="str">
        <f>IFERROR(__xludf.DUMMYFUNCTION("""COMPUTED_VALUE"""),"")</f>
        <v/>
      </c>
      <c r="I123" s="53" t="str">
        <f>IFERROR(__xludf.DUMMYFUNCTION("""COMPUTED_VALUE"""),"")</f>
        <v/>
      </c>
      <c r="J123" s="53" t="str">
        <f>IFERROR(__xludf.DUMMYFUNCTION("""COMPUTED_VALUE"""),"")</f>
        <v/>
      </c>
      <c r="K123" s="54" t="str">
        <f>IFERROR(__xludf.DUMMYFUNCTION("""COMPUTED_VALUE"""),"")</f>
        <v/>
      </c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6"/>
      <c r="W123" s="56"/>
      <c r="X123" s="56"/>
      <c r="Y123" s="56"/>
      <c r="Z123" s="57"/>
      <c r="AA123" s="58"/>
      <c r="AB123" s="59"/>
    </row>
    <row r="124" ht="13.5" customHeight="1">
      <c r="A124" s="60" t="str">
        <f>IFERROR(__xludf.DUMMYFUNCTION("""COMPUTED_VALUE"""),"")</f>
        <v/>
      </c>
      <c r="B124" s="64" t="str">
        <f>IFERROR(__xludf.DUMMYFUNCTION("""COMPUTED_VALUE"""),"")</f>
        <v/>
      </c>
      <c r="C124" s="63" t="str">
        <f>IFERROR(__xludf.DUMMYFUNCTION("""COMPUTED_VALUE"""),"")</f>
        <v/>
      </c>
      <c r="D124" s="63" t="str">
        <f>IFERROR(__xludf.DUMMYFUNCTION("""COMPUTED_VALUE"""),"")</f>
        <v/>
      </c>
      <c r="E124" s="51" t="str">
        <f>IFERROR(__xludf.DUMMYFUNCTION("""COMPUTED_VALUE"""),"")</f>
        <v/>
      </c>
      <c r="F124" s="82" t="str">
        <f>IFERROR(__xludf.DUMMYFUNCTION("""COMPUTED_VALUE"""),"")</f>
        <v/>
      </c>
      <c r="G124" s="52" t="str">
        <f>IFERROR(__xludf.DUMMYFUNCTION("""COMPUTED_VALUE"""),"")</f>
        <v/>
      </c>
      <c r="H124" s="53" t="str">
        <f>IFERROR(__xludf.DUMMYFUNCTION("""COMPUTED_VALUE"""),"")</f>
        <v/>
      </c>
      <c r="I124" s="53" t="str">
        <f>IFERROR(__xludf.DUMMYFUNCTION("""COMPUTED_VALUE"""),"")</f>
        <v/>
      </c>
      <c r="J124" s="53" t="str">
        <f>IFERROR(__xludf.DUMMYFUNCTION("""COMPUTED_VALUE"""),"")</f>
        <v/>
      </c>
      <c r="K124" s="54" t="str">
        <f>IFERROR(__xludf.DUMMYFUNCTION("""COMPUTED_VALUE"""),"")</f>
        <v/>
      </c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6"/>
      <c r="W124" s="56"/>
      <c r="X124" s="56"/>
      <c r="Y124" s="56"/>
      <c r="Z124" s="57"/>
      <c r="AA124" s="58"/>
      <c r="AB124" s="59"/>
    </row>
    <row r="125" ht="13.5" customHeight="1">
      <c r="A125" s="60" t="str">
        <f>IFERROR(__xludf.DUMMYFUNCTION("""COMPUTED_VALUE"""),"")</f>
        <v/>
      </c>
      <c r="B125" s="64" t="str">
        <f>IFERROR(__xludf.DUMMYFUNCTION("""COMPUTED_VALUE"""),"")</f>
        <v/>
      </c>
      <c r="C125" s="63" t="str">
        <f>IFERROR(__xludf.DUMMYFUNCTION("""COMPUTED_VALUE"""),"")</f>
        <v/>
      </c>
      <c r="D125" s="63" t="str">
        <f>IFERROR(__xludf.DUMMYFUNCTION("""COMPUTED_VALUE"""),"")</f>
        <v/>
      </c>
      <c r="E125" s="51" t="str">
        <f>IFERROR(__xludf.DUMMYFUNCTION("""COMPUTED_VALUE"""),"")</f>
        <v/>
      </c>
      <c r="F125" s="82" t="str">
        <f>IFERROR(__xludf.DUMMYFUNCTION("""COMPUTED_VALUE"""),"")</f>
        <v/>
      </c>
      <c r="G125" s="52" t="str">
        <f>IFERROR(__xludf.DUMMYFUNCTION("""COMPUTED_VALUE"""),"")</f>
        <v/>
      </c>
      <c r="H125" s="53" t="str">
        <f>IFERROR(__xludf.DUMMYFUNCTION("""COMPUTED_VALUE"""),"")</f>
        <v/>
      </c>
      <c r="I125" s="53" t="str">
        <f>IFERROR(__xludf.DUMMYFUNCTION("""COMPUTED_VALUE"""),"")</f>
        <v/>
      </c>
      <c r="J125" s="53" t="str">
        <f>IFERROR(__xludf.DUMMYFUNCTION("""COMPUTED_VALUE"""),"")</f>
        <v/>
      </c>
      <c r="K125" s="54" t="str">
        <f>IFERROR(__xludf.DUMMYFUNCTION("""COMPUTED_VALUE"""),"")</f>
        <v/>
      </c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6"/>
      <c r="W125" s="56"/>
      <c r="X125" s="56"/>
      <c r="Y125" s="56"/>
      <c r="Z125" s="57"/>
      <c r="AA125" s="58"/>
      <c r="AB125" s="59"/>
    </row>
    <row r="126" ht="13.5" customHeight="1">
      <c r="A126" s="60" t="str">
        <f>IFERROR(__xludf.DUMMYFUNCTION("""COMPUTED_VALUE"""),"")</f>
        <v/>
      </c>
      <c r="B126" s="64" t="str">
        <f>IFERROR(__xludf.DUMMYFUNCTION("""COMPUTED_VALUE"""),"")</f>
        <v/>
      </c>
      <c r="C126" s="63" t="str">
        <f>IFERROR(__xludf.DUMMYFUNCTION("""COMPUTED_VALUE"""),"")</f>
        <v/>
      </c>
      <c r="D126" s="63" t="str">
        <f>IFERROR(__xludf.DUMMYFUNCTION("""COMPUTED_VALUE"""),"")</f>
        <v/>
      </c>
      <c r="E126" s="51" t="str">
        <f>IFERROR(__xludf.DUMMYFUNCTION("""COMPUTED_VALUE"""),"")</f>
        <v/>
      </c>
      <c r="F126" s="82" t="str">
        <f>IFERROR(__xludf.DUMMYFUNCTION("""COMPUTED_VALUE"""),"")</f>
        <v/>
      </c>
      <c r="G126" s="52" t="str">
        <f>IFERROR(__xludf.DUMMYFUNCTION("""COMPUTED_VALUE"""),"")</f>
        <v/>
      </c>
      <c r="H126" s="53" t="str">
        <f>IFERROR(__xludf.DUMMYFUNCTION("""COMPUTED_VALUE"""),"")</f>
        <v/>
      </c>
      <c r="I126" s="53" t="str">
        <f>IFERROR(__xludf.DUMMYFUNCTION("""COMPUTED_VALUE"""),"")</f>
        <v/>
      </c>
      <c r="J126" s="53" t="str">
        <f>IFERROR(__xludf.DUMMYFUNCTION("""COMPUTED_VALUE"""),"")</f>
        <v/>
      </c>
      <c r="K126" s="54" t="str">
        <f>IFERROR(__xludf.DUMMYFUNCTION("""COMPUTED_VALUE"""),"")</f>
        <v/>
      </c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6"/>
      <c r="W126" s="56"/>
      <c r="X126" s="56"/>
      <c r="Y126" s="56"/>
      <c r="Z126" s="57"/>
      <c r="AA126" s="58"/>
      <c r="AB126" s="59"/>
    </row>
    <row r="127" ht="13.5" customHeight="1">
      <c r="A127" s="60" t="str">
        <f>IFERROR(__xludf.DUMMYFUNCTION("""COMPUTED_VALUE"""),"")</f>
        <v/>
      </c>
      <c r="B127" s="64" t="str">
        <f>IFERROR(__xludf.DUMMYFUNCTION("""COMPUTED_VALUE"""),"")</f>
        <v/>
      </c>
      <c r="C127" s="63" t="str">
        <f>IFERROR(__xludf.DUMMYFUNCTION("""COMPUTED_VALUE"""),"")</f>
        <v/>
      </c>
      <c r="D127" s="63" t="str">
        <f>IFERROR(__xludf.DUMMYFUNCTION("""COMPUTED_VALUE"""),"")</f>
        <v/>
      </c>
      <c r="E127" s="51" t="str">
        <f>IFERROR(__xludf.DUMMYFUNCTION("""COMPUTED_VALUE"""),"")</f>
        <v/>
      </c>
      <c r="F127" s="82" t="str">
        <f>IFERROR(__xludf.DUMMYFUNCTION("""COMPUTED_VALUE"""),"")</f>
        <v/>
      </c>
      <c r="G127" s="52" t="str">
        <f>IFERROR(__xludf.DUMMYFUNCTION("""COMPUTED_VALUE"""),"")</f>
        <v/>
      </c>
      <c r="H127" s="53" t="str">
        <f>IFERROR(__xludf.DUMMYFUNCTION("""COMPUTED_VALUE"""),"")</f>
        <v/>
      </c>
      <c r="I127" s="53" t="str">
        <f>IFERROR(__xludf.DUMMYFUNCTION("""COMPUTED_VALUE"""),"")</f>
        <v/>
      </c>
      <c r="J127" s="53" t="str">
        <f>IFERROR(__xludf.DUMMYFUNCTION("""COMPUTED_VALUE"""),"")</f>
        <v/>
      </c>
      <c r="K127" s="54" t="str">
        <f>IFERROR(__xludf.DUMMYFUNCTION("""COMPUTED_VALUE"""),"")</f>
        <v/>
      </c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6"/>
      <c r="W127" s="56"/>
      <c r="X127" s="56"/>
      <c r="Y127" s="56"/>
      <c r="Z127" s="57"/>
      <c r="AA127" s="58"/>
      <c r="AB127" s="59"/>
    </row>
    <row r="128" ht="13.5" customHeight="1">
      <c r="A128" s="60" t="str">
        <f>IFERROR(__xludf.DUMMYFUNCTION("""COMPUTED_VALUE"""),"")</f>
        <v/>
      </c>
      <c r="B128" s="64" t="str">
        <f>IFERROR(__xludf.DUMMYFUNCTION("""COMPUTED_VALUE"""),"")</f>
        <v/>
      </c>
      <c r="C128" s="63" t="str">
        <f>IFERROR(__xludf.DUMMYFUNCTION("""COMPUTED_VALUE"""),"")</f>
        <v/>
      </c>
      <c r="D128" s="63" t="str">
        <f>IFERROR(__xludf.DUMMYFUNCTION("""COMPUTED_VALUE"""),"")</f>
        <v/>
      </c>
      <c r="E128" s="51" t="str">
        <f>IFERROR(__xludf.DUMMYFUNCTION("""COMPUTED_VALUE"""),"")</f>
        <v/>
      </c>
      <c r="F128" s="82" t="str">
        <f>IFERROR(__xludf.DUMMYFUNCTION("""COMPUTED_VALUE"""),"")</f>
        <v/>
      </c>
      <c r="G128" s="52" t="str">
        <f>IFERROR(__xludf.DUMMYFUNCTION("""COMPUTED_VALUE"""),"")</f>
        <v/>
      </c>
      <c r="H128" s="53" t="str">
        <f>IFERROR(__xludf.DUMMYFUNCTION("""COMPUTED_VALUE"""),"")</f>
        <v/>
      </c>
      <c r="I128" s="53" t="str">
        <f>IFERROR(__xludf.DUMMYFUNCTION("""COMPUTED_VALUE"""),"")</f>
        <v/>
      </c>
      <c r="J128" s="53" t="str">
        <f>IFERROR(__xludf.DUMMYFUNCTION("""COMPUTED_VALUE"""),"")</f>
        <v/>
      </c>
      <c r="K128" s="54" t="str">
        <f>IFERROR(__xludf.DUMMYFUNCTION("""COMPUTED_VALUE"""),"")</f>
        <v/>
      </c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6"/>
      <c r="W128" s="56"/>
      <c r="X128" s="56"/>
      <c r="Y128" s="56"/>
      <c r="Z128" s="57"/>
      <c r="AA128" s="58"/>
      <c r="AB128" s="59"/>
    </row>
    <row r="129" ht="13.5" customHeight="1">
      <c r="A129" s="60" t="str">
        <f>IFERROR(__xludf.DUMMYFUNCTION("""COMPUTED_VALUE"""),"")</f>
        <v/>
      </c>
      <c r="B129" s="64" t="str">
        <f>IFERROR(__xludf.DUMMYFUNCTION("""COMPUTED_VALUE"""),"")</f>
        <v/>
      </c>
      <c r="C129" s="63" t="str">
        <f>IFERROR(__xludf.DUMMYFUNCTION("""COMPUTED_VALUE"""),"")</f>
        <v/>
      </c>
      <c r="D129" s="63" t="str">
        <f>IFERROR(__xludf.DUMMYFUNCTION("""COMPUTED_VALUE"""),"")</f>
        <v/>
      </c>
      <c r="E129" s="51" t="str">
        <f>IFERROR(__xludf.DUMMYFUNCTION("""COMPUTED_VALUE"""),"")</f>
        <v/>
      </c>
      <c r="F129" s="82" t="str">
        <f>IFERROR(__xludf.DUMMYFUNCTION("""COMPUTED_VALUE"""),"")</f>
        <v/>
      </c>
      <c r="G129" s="52" t="str">
        <f>IFERROR(__xludf.DUMMYFUNCTION("""COMPUTED_VALUE"""),"")</f>
        <v/>
      </c>
      <c r="H129" s="53" t="str">
        <f>IFERROR(__xludf.DUMMYFUNCTION("""COMPUTED_VALUE"""),"")</f>
        <v/>
      </c>
      <c r="I129" s="53" t="str">
        <f>IFERROR(__xludf.DUMMYFUNCTION("""COMPUTED_VALUE"""),"")</f>
        <v/>
      </c>
      <c r="J129" s="53" t="str">
        <f>IFERROR(__xludf.DUMMYFUNCTION("""COMPUTED_VALUE"""),"")</f>
        <v/>
      </c>
      <c r="K129" s="54" t="str">
        <f>IFERROR(__xludf.DUMMYFUNCTION("""COMPUTED_VALUE"""),"")</f>
        <v/>
      </c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6"/>
      <c r="W129" s="56"/>
      <c r="X129" s="56"/>
      <c r="Y129" s="56"/>
      <c r="Z129" s="57"/>
      <c r="AA129" s="58"/>
      <c r="AB129" s="59"/>
    </row>
    <row r="130" ht="13.5" customHeight="1">
      <c r="A130" s="60" t="str">
        <f>IFERROR(__xludf.DUMMYFUNCTION("""COMPUTED_VALUE"""),"")</f>
        <v/>
      </c>
      <c r="B130" s="64" t="str">
        <f>IFERROR(__xludf.DUMMYFUNCTION("""COMPUTED_VALUE"""),"")</f>
        <v/>
      </c>
      <c r="C130" s="63" t="str">
        <f>IFERROR(__xludf.DUMMYFUNCTION("""COMPUTED_VALUE"""),"")</f>
        <v/>
      </c>
      <c r="D130" s="63" t="str">
        <f>IFERROR(__xludf.DUMMYFUNCTION("""COMPUTED_VALUE"""),"")</f>
        <v/>
      </c>
      <c r="E130" s="51" t="str">
        <f>IFERROR(__xludf.DUMMYFUNCTION("""COMPUTED_VALUE"""),"")</f>
        <v/>
      </c>
      <c r="F130" s="82" t="str">
        <f>IFERROR(__xludf.DUMMYFUNCTION("""COMPUTED_VALUE"""),"")</f>
        <v/>
      </c>
      <c r="G130" s="52" t="str">
        <f>IFERROR(__xludf.DUMMYFUNCTION("""COMPUTED_VALUE"""),"")</f>
        <v/>
      </c>
      <c r="H130" s="53" t="str">
        <f>IFERROR(__xludf.DUMMYFUNCTION("""COMPUTED_VALUE"""),"")</f>
        <v/>
      </c>
      <c r="I130" s="53" t="str">
        <f>IFERROR(__xludf.DUMMYFUNCTION("""COMPUTED_VALUE"""),"")</f>
        <v/>
      </c>
      <c r="J130" s="53" t="str">
        <f>IFERROR(__xludf.DUMMYFUNCTION("""COMPUTED_VALUE"""),"")</f>
        <v/>
      </c>
      <c r="K130" s="54" t="str">
        <f>IFERROR(__xludf.DUMMYFUNCTION("""COMPUTED_VALUE"""),"")</f>
        <v/>
      </c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6"/>
      <c r="W130" s="56"/>
      <c r="X130" s="56"/>
      <c r="Y130" s="56"/>
      <c r="Z130" s="57"/>
      <c r="AA130" s="58"/>
      <c r="AB130" s="59"/>
    </row>
    <row r="131" ht="13.5" customHeight="1">
      <c r="A131" s="60" t="str">
        <f>IFERROR(__xludf.DUMMYFUNCTION("""COMPUTED_VALUE"""),"")</f>
        <v/>
      </c>
      <c r="B131" s="64" t="str">
        <f>IFERROR(__xludf.DUMMYFUNCTION("""COMPUTED_VALUE"""),"")</f>
        <v/>
      </c>
      <c r="C131" s="63" t="str">
        <f>IFERROR(__xludf.DUMMYFUNCTION("""COMPUTED_VALUE"""),"")</f>
        <v/>
      </c>
      <c r="D131" s="63" t="str">
        <f>IFERROR(__xludf.DUMMYFUNCTION("""COMPUTED_VALUE"""),"")</f>
        <v/>
      </c>
      <c r="E131" s="51" t="str">
        <f>IFERROR(__xludf.DUMMYFUNCTION("""COMPUTED_VALUE"""),"")</f>
        <v/>
      </c>
      <c r="F131" s="82" t="str">
        <f>IFERROR(__xludf.DUMMYFUNCTION("""COMPUTED_VALUE"""),"")</f>
        <v/>
      </c>
      <c r="G131" s="52" t="str">
        <f>IFERROR(__xludf.DUMMYFUNCTION("""COMPUTED_VALUE"""),"")</f>
        <v/>
      </c>
      <c r="H131" s="53" t="str">
        <f>IFERROR(__xludf.DUMMYFUNCTION("""COMPUTED_VALUE"""),"")</f>
        <v/>
      </c>
      <c r="I131" s="53" t="str">
        <f>IFERROR(__xludf.DUMMYFUNCTION("""COMPUTED_VALUE"""),"")</f>
        <v/>
      </c>
      <c r="J131" s="53" t="str">
        <f>IFERROR(__xludf.DUMMYFUNCTION("""COMPUTED_VALUE"""),"")</f>
        <v/>
      </c>
      <c r="K131" s="54" t="str">
        <f>IFERROR(__xludf.DUMMYFUNCTION("""COMPUTED_VALUE"""),"")</f>
        <v/>
      </c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6"/>
      <c r="W131" s="56"/>
      <c r="X131" s="56"/>
      <c r="Y131" s="56"/>
      <c r="Z131" s="57"/>
      <c r="AA131" s="58"/>
      <c r="AB131" s="59"/>
    </row>
    <row r="132" ht="13.5" customHeight="1">
      <c r="A132" s="60" t="str">
        <f>IFERROR(__xludf.DUMMYFUNCTION("""COMPUTED_VALUE"""),"")</f>
        <v/>
      </c>
      <c r="B132" s="64" t="str">
        <f>IFERROR(__xludf.DUMMYFUNCTION("""COMPUTED_VALUE"""),"")</f>
        <v/>
      </c>
      <c r="C132" s="63" t="str">
        <f>IFERROR(__xludf.DUMMYFUNCTION("""COMPUTED_VALUE"""),"")</f>
        <v/>
      </c>
      <c r="D132" s="63" t="str">
        <f>IFERROR(__xludf.DUMMYFUNCTION("""COMPUTED_VALUE"""),"")</f>
        <v/>
      </c>
      <c r="E132" s="51" t="str">
        <f>IFERROR(__xludf.DUMMYFUNCTION("""COMPUTED_VALUE"""),"")</f>
        <v/>
      </c>
      <c r="F132" s="82" t="str">
        <f>IFERROR(__xludf.DUMMYFUNCTION("""COMPUTED_VALUE"""),"")</f>
        <v/>
      </c>
      <c r="G132" s="52" t="str">
        <f>IFERROR(__xludf.DUMMYFUNCTION("""COMPUTED_VALUE"""),"")</f>
        <v/>
      </c>
      <c r="H132" s="53" t="str">
        <f>IFERROR(__xludf.DUMMYFUNCTION("""COMPUTED_VALUE"""),"")</f>
        <v/>
      </c>
      <c r="I132" s="53" t="str">
        <f>IFERROR(__xludf.DUMMYFUNCTION("""COMPUTED_VALUE"""),"")</f>
        <v/>
      </c>
      <c r="J132" s="53" t="str">
        <f>IFERROR(__xludf.DUMMYFUNCTION("""COMPUTED_VALUE"""),"")</f>
        <v/>
      </c>
      <c r="K132" s="54" t="str">
        <f>IFERROR(__xludf.DUMMYFUNCTION("""COMPUTED_VALUE"""),"")</f>
        <v/>
      </c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6"/>
      <c r="W132" s="56"/>
      <c r="X132" s="56"/>
      <c r="Y132" s="56"/>
      <c r="Z132" s="57"/>
      <c r="AA132" s="58"/>
      <c r="AB132" s="59"/>
    </row>
    <row r="133" ht="13.5" customHeight="1">
      <c r="A133" s="60" t="str">
        <f>IFERROR(__xludf.DUMMYFUNCTION("""COMPUTED_VALUE"""),"")</f>
        <v/>
      </c>
      <c r="B133" s="64" t="str">
        <f>IFERROR(__xludf.DUMMYFUNCTION("""COMPUTED_VALUE"""),"")</f>
        <v/>
      </c>
      <c r="C133" s="63" t="str">
        <f>IFERROR(__xludf.DUMMYFUNCTION("""COMPUTED_VALUE"""),"")</f>
        <v/>
      </c>
      <c r="D133" s="63" t="str">
        <f>IFERROR(__xludf.DUMMYFUNCTION("""COMPUTED_VALUE"""),"")</f>
        <v/>
      </c>
      <c r="E133" s="51" t="str">
        <f>IFERROR(__xludf.DUMMYFUNCTION("""COMPUTED_VALUE"""),"")</f>
        <v/>
      </c>
      <c r="F133" s="82" t="str">
        <f>IFERROR(__xludf.DUMMYFUNCTION("""COMPUTED_VALUE"""),"")</f>
        <v/>
      </c>
      <c r="G133" s="52" t="str">
        <f>IFERROR(__xludf.DUMMYFUNCTION("""COMPUTED_VALUE"""),"")</f>
        <v/>
      </c>
      <c r="H133" s="53" t="str">
        <f>IFERROR(__xludf.DUMMYFUNCTION("""COMPUTED_VALUE"""),"")</f>
        <v/>
      </c>
      <c r="I133" s="53" t="str">
        <f>IFERROR(__xludf.DUMMYFUNCTION("""COMPUTED_VALUE"""),"")</f>
        <v/>
      </c>
      <c r="J133" s="53" t="str">
        <f>IFERROR(__xludf.DUMMYFUNCTION("""COMPUTED_VALUE"""),"")</f>
        <v/>
      </c>
      <c r="K133" s="54" t="str">
        <f>IFERROR(__xludf.DUMMYFUNCTION("""COMPUTED_VALUE"""),"")</f>
        <v/>
      </c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6"/>
      <c r="W133" s="56"/>
      <c r="X133" s="56"/>
      <c r="Y133" s="56"/>
      <c r="Z133" s="57"/>
      <c r="AA133" s="58"/>
      <c r="AB133" s="59"/>
    </row>
    <row r="134" ht="13.5" customHeight="1">
      <c r="A134" s="60" t="str">
        <f>IFERROR(__xludf.DUMMYFUNCTION("""COMPUTED_VALUE"""),"")</f>
        <v/>
      </c>
      <c r="B134" s="64" t="str">
        <f>IFERROR(__xludf.DUMMYFUNCTION("""COMPUTED_VALUE"""),"")</f>
        <v/>
      </c>
      <c r="C134" s="63" t="str">
        <f>IFERROR(__xludf.DUMMYFUNCTION("""COMPUTED_VALUE"""),"")</f>
        <v/>
      </c>
      <c r="D134" s="63" t="str">
        <f>IFERROR(__xludf.DUMMYFUNCTION("""COMPUTED_VALUE"""),"")</f>
        <v/>
      </c>
      <c r="E134" s="51" t="str">
        <f>IFERROR(__xludf.DUMMYFUNCTION("""COMPUTED_VALUE"""),"")</f>
        <v/>
      </c>
      <c r="F134" s="82" t="str">
        <f>IFERROR(__xludf.DUMMYFUNCTION("""COMPUTED_VALUE"""),"")</f>
        <v/>
      </c>
      <c r="G134" s="52" t="str">
        <f>IFERROR(__xludf.DUMMYFUNCTION("""COMPUTED_VALUE"""),"")</f>
        <v/>
      </c>
      <c r="H134" s="53" t="str">
        <f>IFERROR(__xludf.DUMMYFUNCTION("""COMPUTED_VALUE"""),"")</f>
        <v/>
      </c>
      <c r="I134" s="53" t="str">
        <f>IFERROR(__xludf.DUMMYFUNCTION("""COMPUTED_VALUE"""),"")</f>
        <v/>
      </c>
      <c r="J134" s="53" t="str">
        <f>IFERROR(__xludf.DUMMYFUNCTION("""COMPUTED_VALUE"""),"")</f>
        <v/>
      </c>
      <c r="K134" s="54" t="str">
        <f>IFERROR(__xludf.DUMMYFUNCTION("""COMPUTED_VALUE"""),"")</f>
        <v/>
      </c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6"/>
      <c r="W134" s="56"/>
      <c r="X134" s="56"/>
      <c r="Y134" s="56"/>
      <c r="Z134" s="57"/>
      <c r="AA134" s="58"/>
      <c r="AB134" s="59"/>
    </row>
    <row r="135" ht="13.5" customHeight="1">
      <c r="A135" s="60" t="str">
        <f>IFERROR(__xludf.DUMMYFUNCTION("""COMPUTED_VALUE"""),"")</f>
        <v/>
      </c>
      <c r="B135" s="64" t="str">
        <f>IFERROR(__xludf.DUMMYFUNCTION("""COMPUTED_VALUE"""),"")</f>
        <v/>
      </c>
      <c r="C135" s="63" t="str">
        <f>IFERROR(__xludf.DUMMYFUNCTION("""COMPUTED_VALUE"""),"")</f>
        <v/>
      </c>
      <c r="D135" s="63" t="str">
        <f>IFERROR(__xludf.DUMMYFUNCTION("""COMPUTED_VALUE"""),"")</f>
        <v/>
      </c>
      <c r="E135" s="51" t="str">
        <f>IFERROR(__xludf.DUMMYFUNCTION("""COMPUTED_VALUE"""),"")</f>
        <v/>
      </c>
      <c r="F135" s="82" t="str">
        <f>IFERROR(__xludf.DUMMYFUNCTION("""COMPUTED_VALUE"""),"")</f>
        <v/>
      </c>
      <c r="G135" s="52" t="str">
        <f>IFERROR(__xludf.DUMMYFUNCTION("""COMPUTED_VALUE"""),"")</f>
        <v/>
      </c>
      <c r="H135" s="53" t="str">
        <f>IFERROR(__xludf.DUMMYFUNCTION("""COMPUTED_VALUE"""),"")</f>
        <v/>
      </c>
      <c r="I135" s="53" t="str">
        <f>IFERROR(__xludf.DUMMYFUNCTION("""COMPUTED_VALUE"""),"")</f>
        <v/>
      </c>
      <c r="J135" s="53" t="str">
        <f>IFERROR(__xludf.DUMMYFUNCTION("""COMPUTED_VALUE"""),"")</f>
        <v/>
      </c>
      <c r="K135" s="54" t="str">
        <f>IFERROR(__xludf.DUMMYFUNCTION("""COMPUTED_VALUE"""),"")</f>
        <v/>
      </c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6"/>
      <c r="W135" s="56"/>
      <c r="X135" s="56"/>
      <c r="Y135" s="56"/>
      <c r="Z135" s="57"/>
      <c r="AA135" s="58"/>
      <c r="AB135" s="59"/>
    </row>
    <row r="136" ht="13.5" customHeight="1">
      <c r="A136" s="60" t="str">
        <f>IFERROR(__xludf.DUMMYFUNCTION("""COMPUTED_VALUE"""),"")</f>
        <v/>
      </c>
      <c r="B136" s="64" t="str">
        <f>IFERROR(__xludf.DUMMYFUNCTION("""COMPUTED_VALUE"""),"")</f>
        <v/>
      </c>
      <c r="C136" s="63" t="str">
        <f>IFERROR(__xludf.DUMMYFUNCTION("""COMPUTED_VALUE"""),"")</f>
        <v/>
      </c>
      <c r="D136" s="63" t="str">
        <f>IFERROR(__xludf.DUMMYFUNCTION("""COMPUTED_VALUE"""),"")</f>
        <v/>
      </c>
      <c r="E136" s="51" t="str">
        <f>IFERROR(__xludf.DUMMYFUNCTION("""COMPUTED_VALUE"""),"")</f>
        <v/>
      </c>
      <c r="F136" s="82" t="str">
        <f>IFERROR(__xludf.DUMMYFUNCTION("""COMPUTED_VALUE"""),"")</f>
        <v/>
      </c>
      <c r="G136" s="52" t="str">
        <f>IFERROR(__xludf.DUMMYFUNCTION("""COMPUTED_VALUE"""),"")</f>
        <v/>
      </c>
      <c r="H136" s="53" t="str">
        <f>IFERROR(__xludf.DUMMYFUNCTION("""COMPUTED_VALUE"""),"")</f>
        <v/>
      </c>
      <c r="I136" s="53" t="str">
        <f>IFERROR(__xludf.DUMMYFUNCTION("""COMPUTED_VALUE"""),"")</f>
        <v/>
      </c>
      <c r="J136" s="53" t="str">
        <f>IFERROR(__xludf.DUMMYFUNCTION("""COMPUTED_VALUE"""),"")</f>
        <v/>
      </c>
      <c r="K136" s="54" t="str">
        <f>IFERROR(__xludf.DUMMYFUNCTION("""COMPUTED_VALUE"""),"")</f>
        <v/>
      </c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6"/>
      <c r="W136" s="56"/>
      <c r="X136" s="56"/>
      <c r="Y136" s="56"/>
      <c r="Z136" s="57"/>
      <c r="AA136" s="58"/>
      <c r="AB136" s="59"/>
    </row>
    <row r="137" ht="13.5" customHeight="1">
      <c r="A137" s="60" t="str">
        <f>IFERROR(__xludf.DUMMYFUNCTION("""COMPUTED_VALUE"""),"")</f>
        <v/>
      </c>
      <c r="B137" s="64" t="str">
        <f>IFERROR(__xludf.DUMMYFUNCTION("""COMPUTED_VALUE"""),"")</f>
        <v/>
      </c>
      <c r="C137" s="63" t="str">
        <f>IFERROR(__xludf.DUMMYFUNCTION("""COMPUTED_VALUE"""),"")</f>
        <v/>
      </c>
      <c r="D137" s="63" t="str">
        <f>IFERROR(__xludf.DUMMYFUNCTION("""COMPUTED_VALUE"""),"")</f>
        <v/>
      </c>
      <c r="E137" s="51" t="str">
        <f>IFERROR(__xludf.DUMMYFUNCTION("""COMPUTED_VALUE"""),"")</f>
        <v/>
      </c>
      <c r="F137" s="82" t="str">
        <f>IFERROR(__xludf.DUMMYFUNCTION("""COMPUTED_VALUE"""),"")</f>
        <v/>
      </c>
      <c r="G137" s="52" t="str">
        <f>IFERROR(__xludf.DUMMYFUNCTION("""COMPUTED_VALUE"""),"")</f>
        <v/>
      </c>
      <c r="H137" s="53" t="str">
        <f>IFERROR(__xludf.DUMMYFUNCTION("""COMPUTED_VALUE"""),"")</f>
        <v/>
      </c>
      <c r="I137" s="53" t="str">
        <f>IFERROR(__xludf.DUMMYFUNCTION("""COMPUTED_VALUE"""),"")</f>
        <v/>
      </c>
      <c r="J137" s="53" t="str">
        <f>IFERROR(__xludf.DUMMYFUNCTION("""COMPUTED_VALUE"""),"")</f>
        <v/>
      </c>
      <c r="K137" s="54" t="str">
        <f>IFERROR(__xludf.DUMMYFUNCTION("""COMPUTED_VALUE"""),"")</f>
        <v/>
      </c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6"/>
      <c r="W137" s="56"/>
      <c r="X137" s="56"/>
      <c r="Y137" s="56"/>
      <c r="Z137" s="57"/>
      <c r="AA137" s="58"/>
      <c r="AB137" s="59"/>
    </row>
    <row r="138" ht="13.5" customHeight="1">
      <c r="A138" s="60" t="str">
        <f>IFERROR(__xludf.DUMMYFUNCTION("""COMPUTED_VALUE"""),"")</f>
        <v/>
      </c>
      <c r="B138" s="64" t="str">
        <f>IFERROR(__xludf.DUMMYFUNCTION("""COMPUTED_VALUE"""),"")</f>
        <v/>
      </c>
      <c r="C138" s="63" t="str">
        <f>IFERROR(__xludf.DUMMYFUNCTION("""COMPUTED_VALUE"""),"")</f>
        <v/>
      </c>
      <c r="D138" s="63" t="str">
        <f>IFERROR(__xludf.DUMMYFUNCTION("""COMPUTED_VALUE"""),"")</f>
        <v/>
      </c>
      <c r="E138" s="51" t="str">
        <f>IFERROR(__xludf.DUMMYFUNCTION("""COMPUTED_VALUE"""),"")</f>
        <v/>
      </c>
      <c r="F138" s="82" t="str">
        <f>IFERROR(__xludf.DUMMYFUNCTION("""COMPUTED_VALUE"""),"")</f>
        <v/>
      </c>
      <c r="G138" s="52" t="str">
        <f>IFERROR(__xludf.DUMMYFUNCTION("""COMPUTED_VALUE"""),"")</f>
        <v/>
      </c>
      <c r="H138" s="53" t="str">
        <f>IFERROR(__xludf.DUMMYFUNCTION("""COMPUTED_VALUE"""),"")</f>
        <v/>
      </c>
      <c r="I138" s="53" t="str">
        <f>IFERROR(__xludf.DUMMYFUNCTION("""COMPUTED_VALUE"""),"")</f>
        <v/>
      </c>
      <c r="J138" s="53" t="str">
        <f>IFERROR(__xludf.DUMMYFUNCTION("""COMPUTED_VALUE"""),"")</f>
        <v/>
      </c>
      <c r="K138" s="54" t="str">
        <f>IFERROR(__xludf.DUMMYFUNCTION("""COMPUTED_VALUE"""),"")</f>
        <v/>
      </c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6"/>
      <c r="W138" s="56"/>
      <c r="X138" s="56"/>
      <c r="Y138" s="56"/>
      <c r="Z138" s="57"/>
      <c r="AA138" s="58"/>
      <c r="AB138" s="59"/>
    </row>
    <row r="139" ht="13.5" customHeight="1">
      <c r="A139" s="60" t="str">
        <f>IFERROR(__xludf.DUMMYFUNCTION("""COMPUTED_VALUE"""),"")</f>
        <v/>
      </c>
      <c r="B139" s="64" t="str">
        <f>IFERROR(__xludf.DUMMYFUNCTION("""COMPUTED_VALUE"""),"")</f>
        <v/>
      </c>
      <c r="C139" s="63" t="str">
        <f>IFERROR(__xludf.DUMMYFUNCTION("""COMPUTED_VALUE"""),"")</f>
        <v/>
      </c>
      <c r="D139" s="63" t="str">
        <f>IFERROR(__xludf.DUMMYFUNCTION("""COMPUTED_VALUE"""),"")</f>
        <v/>
      </c>
      <c r="E139" s="51" t="str">
        <f>IFERROR(__xludf.DUMMYFUNCTION("""COMPUTED_VALUE"""),"")</f>
        <v/>
      </c>
      <c r="F139" s="82" t="str">
        <f>IFERROR(__xludf.DUMMYFUNCTION("""COMPUTED_VALUE"""),"")</f>
        <v/>
      </c>
      <c r="G139" s="52" t="str">
        <f>IFERROR(__xludf.DUMMYFUNCTION("""COMPUTED_VALUE"""),"")</f>
        <v/>
      </c>
      <c r="H139" s="53" t="str">
        <f>IFERROR(__xludf.DUMMYFUNCTION("""COMPUTED_VALUE"""),"")</f>
        <v/>
      </c>
      <c r="I139" s="53" t="str">
        <f>IFERROR(__xludf.DUMMYFUNCTION("""COMPUTED_VALUE"""),"")</f>
        <v/>
      </c>
      <c r="J139" s="53" t="str">
        <f>IFERROR(__xludf.DUMMYFUNCTION("""COMPUTED_VALUE"""),"")</f>
        <v/>
      </c>
      <c r="K139" s="54" t="str">
        <f>IFERROR(__xludf.DUMMYFUNCTION("""COMPUTED_VALUE"""),"")</f>
        <v/>
      </c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6"/>
      <c r="W139" s="56"/>
      <c r="X139" s="56"/>
      <c r="Y139" s="56"/>
      <c r="Z139" s="57"/>
      <c r="AA139" s="58"/>
      <c r="AB139" s="59"/>
    </row>
    <row r="140" ht="13.5" customHeight="1">
      <c r="A140" s="60" t="str">
        <f>IFERROR(__xludf.DUMMYFUNCTION("""COMPUTED_VALUE"""),"")</f>
        <v/>
      </c>
      <c r="B140" s="64" t="str">
        <f>IFERROR(__xludf.DUMMYFUNCTION("""COMPUTED_VALUE"""),"")</f>
        <v/>
      </c>
      <c r="C140" s="63" t="str">
        <f>IFERROR(__xludf.DUMMYFUNCTION("""COMPUTED_VALUE"""),"")</f>
        <v/>
      </c>
      <c r="D140" s="63" t="str">
        <f>IFERROR(__xludf.DUMMYFUNCTION("""COMPUTED_VALUE"""),"")</f>
        <v/>
      </c>
      <c r="E140" s="51" t="str">
        <f>IFERROR(__xludf.DUMMYFUNCTION("""COMPUTED_VALUE"""),"")</f>
        <v/>
      </c>
      <c r="F140" s="82" t="str">
        <f>IFERROR(__xludf.DUMMYFUNCTION("""COMPUTED_VALUE"""),"")</f>
        <v/>
      </c>
      <c r="G140" s="52" t="str">
        <f>IFERROR(__xludf.DUMMYFUNCTION("""COMPUTED_VALUE"""),"")</f>
        <v/>
      </c>
      <c r="H140" s="53" t="str">
        <f>IFERROR(__xludf.DUMMYFUNCTION("""COMPUTED_VALUE"""),"")</f>
        <v/>
      </c>
      <c r="I140" s="53" t="str">
        <f>IFERROR(__xludf.DUMMYFUNCTION("""COMPUTED_VALUE"""),"")</f>
        <v/>
      </c>
      <c r="J140" s="53" t="str">
        <f>IFERROR(__xludf.DUMMYFUNCTION("""COMPUTED_VALUE"""),"")</f>
        <v/>
      </c>
      <c r="K140" s="54" t="str">
        <f>IFERROR(__xludf.DUMMYFUNCTION("""COMPUTED_VALUE"""),"")</f>
        <v/>
      </c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6"/>
      <c r="W140" s="56"/>
      <c r="X140" s="56"/>
      <c r="Y140" s="56"/>
      <c r="Z140" s="57"/>
      <c r="AA140" s="58"/>
      <c r="AB140" s="59"/>
    </row>
    <row r="141" ht="13.5" customHeight="1">
      <c r="A141" s="60" t="str">
        <f>IFERROR(__xludf.DUMMYFUNCTION("""COMPUTED_VALUE"""),"")</f>
        <v/>
      </c>
      <c r="B141" s="64" t="str">
        <f>IFERROR(__xludf.DUMMYFUNCTION("""COMPUTED_VALUE"""),"")</f>
        <v/>
      </c>
      <c r="C141" s="63" t="str">
        <f>IFERROR(__xludf.DUMMYFUNCTION("""COMPUTED_VALUE"""),"")</f>
        <v/>
      </c>
      <c r="D141" s="63" t="str">
        <f>IFERROR(__xludf.DUMMYFUNCTION("""COMPUTED_VALUE"""),"")</f>
        <v/>
      </c>
      <c r="E141" s="51" t="str">
        <f>IFERROR(__xludf.DUMMYFUNCTION("""COMPUTED_VALUE"""),"")</f>
        <v/>
      </c>
      <c r="F141" s="82" t="str">
        <f>IFERROR(__xludf.DUMMYFUNCTION("""COMPUTED_VALUE"""),"")</f>
        <v/>
      </c>
      <c r="G141" s="52" t="str">
        <f>IFERROR(__xludf.DUMMYFUNCTION("""COMPUTED_VALUE"""),"")</f>
        <v/>
      </c>
      <c r="H141" s="53" t="str">
        <f>IFERROR(__xludf.DUMMYFUNCTION("""COMPUTED_VALUE"""),"")</f>
        <v/>
      </c>
      <c r="I141" s="53" t="str">
        <f>IFERROR(__xludf.DUMMYFUNCTION("""COMPUTED_VALUE"""),"")</f>
        <v/>
      </c>
      <c r="J141" s="53" t="str">
        <f>IFERROR(__xludf.DUMMYFUNCTION("""COMPUTED_VALUE"""),"")</f>
        <v/>
      </c>
      <c r="K141" s="54" t="str">
        <f>IFERROR(__xludf.DUMMYFUNCTION("""COMPUTED_VALUE"""),"")</f>
        <v/>
      </c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6"/>
      <c r="W141" s="56"/>
      <c r="X141" s="56"/>
      <c r="Y141" s="56"/>
      <c r="Z141" s="57"/>
      <c r="AA141" s="58"/>
      <c r="AB141" s="59"/>
    </row>
    <row r="142" ht="13.5" customHeight="1">
      <c r="A142" s="60" t="str">
        <f>IFERROR(__xludf.DUMMYFUNCTION("""COMPUTED_VALUE"""),"")</f>
        <v/>
      </c>
      <c r="B142" s="64" t="str">
        <f>IFERROR(__xludf.DUMMYFUNCTION("""COMPUTED_VALUE"""),"")</f>
        <v/>
      </c>
      <c r="C142" s="63" t="str">
        <f>IFERROR(__xludf.DUMMYFUNCTION("""COMPUTED_VALUE"""),"")</f>
        <v/>
      </c>
      <c r="D142" s="63" t="str">
        <f>IFERROR(__xludf.DUMMYFUNCTION("""COMPUTED_VALUE"""),"")</f>
        <v/>
      </c>
      <c r="E142" s="51" t="str">
        <f>IFERROR(__xludf.DUMMYFUNCTION("""COMPUTED_VALUE"""),"")</f>
        <v/>
      </c>
      <c r="F142" s="82" t="str">
        <f>IFERROR(__xludf.DUMMYFUNCTION("""COMPUTED_VALUE"""),"")</f>
        <v/>
      </c>
      <c r="G142" s="52" t="str">
        <f>IFERROR(__xludf.DUMMYFUNCTION("""COMPUTED_VALUE"""),"")</f>
        <v/>
      </c>
      <c r="H142" s="53" t="str">
        <f>IFERROR(__xludf.DUMMYFUNCTION("""COMPUTED_VALUE"""),"")</f>
        <v/>
      </c>
      <c r="I142" s="53" t="str">
        <f>IFERROR(__xludf.DUMMYFUNCTION("""COMPUTED_VALUE"""),"")</f>
        <v/>
      </c>
      <c r="J142" s="53" t="str">
        <f>IFERROR(__xludf.DUMMYFUNCTION("""COMPUTED_VALUE"""),"")</f>
        <v/>
      </c>
      <c r="K142" s="54" t="str">
        <f>IFERROR(__xludf.DUMMYFUNCTION("""COMPUTED_VALUE"""),"")</f>
        <v/>
      </c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6"/>
      <c r="W142" s="56"/>
      <c r="X142" s="56"/>
      <c r="Y142" s="56"/>
      <c r="Z142" s="57"/>
      <c r="AA142" s="58"/>
      <c r="AB142" s="59"/>
    </row>
    <row r="143" ht="13.5" customHeight="1">
      <c r="A143" s="60" t="str">
        <f>IFERROR(__xludf.DUMMYFUNCTION("""COMPUTED_VALUE"""),"")</f>
        <v/>
      </c>
      <c r="B143" s="64" t="str">
        <f>IFERROR(__xludf.DUMMYFUNCTION("""COMPUTED_VALUE"""),"")</f>
        <v/>
      </c>
      <c r="C143" s="63" t="str">
        <f>IFERROR(__xludf.DUMMYFUNCTION("""COMPUTED_VALUE"""),"")</f>
        <v/>
      </c>
      <c r="D143" s="63" t="str">
        <f>IFERROR(__xludf.DUMMYFUNCTION("""COMPUTED_VALUE"""),"")</f>
        <v/>
      </c>
      <c r="E143" s="51" t="str">
        <f>IFERROR(__xludf.DUMMYFUNCTION("""COMPUTED_VALUE"""),"")</f>
        <v/>
      </c>
      <c r="F143" s="82" t="str">
        <f>IFERROR(__xludf.DUMMYFUNCTION("""COMPUTED_VALUE"""),"")</f>
        <v/>
      </c>
      <c r="G143" s="52" t="str">
        <f>IFERROR(__xludf.DUMMYFUNCTION("""COMPUTED_VALUE"""),"")</f>
        <v/>
      </c>
      <c r="H143" s="53" t="str">
        <f>IFERROR(__xludf.DUMMYFUNCTION("""COMPUTED_VALUE"""),"")</f>
        <v/>
      </c>
      <c r="I143" s="53" t="str">
        <f>IFERROR(__xludf.DUMMYFUNCTION("""COMPUTED_VALUE"""),"")</f>
        <v/>
      </c>
      <c r="J143" s="53" t="str">
        <f>IFERROR(__xludf.DUMMYFUNCTION("""COMPUTED_VALUE"""),"")</f>
        <v/>
      </c>
      <c r="K143" s="54" t="str">
        <f>IFERROR(__xludf.DUMMYFUNCTION("""COMPUTED_VALUE"""),"")</f>
        <v/>
      </c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6"/>
      <c r="W143" s="56"/>
      <c r="X143" s="56"/>
      <c r="Y143" s="56"/>
      <c r="Z143" s="57"/>
      <c r="AA143" s="58"/>
      <c r="AB143" s="59"/>
    </row>
    <row r="144" ht="13.5" customHeight="1">
      <c r="A144" s="60" t="str">
        <f>IFERROR(__xludf.DUMMYFUNCTION("""COMPUTED_VALUE"""),"")</f>
        <v/>
      </c>
      <c r="B144" s="64" t="str">
        <f>IFERROR(__xludf.DUMMYFUNCTION("""COMPUTED_VALUE"""),"")</f>
        <v/>
      </c>
      <c r="C144" s="63" t="str">
        <f>IFERROR(__xludf.DUMMYFUNCTION("""COMPUTED_VALUE"""),"")</f>
        <v/>
      </c>
      <c r="D144" s="63" t="str">
        <f>IFERROR(__xludf.DUMMYFUNCTION("""COMPUTED_VALUE"""),"")</f>
        <v/>
      </c>
      <c r="E144" s="51" t="str">
        <f>IFERROR(__xludf.DUMMYFUNCTION("""COMPUTED_VALUE"""),"")</f>
        <v/>
      </c>
      <c r="F144" s="82" t="str">
        <f>IFERROR(__xludf.DUMMYFUNCTION("""COMPUTED_VALUE"""),"")</f>
        <v/>
      </c>
      <c r="G144" s="52" t="str">
        <f>IFERROR(__xludf.DUMMYFUNCTION("""COMPUTED_VALUE"""),"")</f>
        <v/>
      </c>
      <c r="H144" s="53" t="str">
        <f>IFERROR(__xludf.DUMMYFUNCTION("""COMPUTED_VALUE"""),"")</f>
        <v/>
      </c>
      <c r="I144" s="53" t="str">
        <f>IFERROR(__xludf.DUMMYFUNCTION("""COMPUTED_VALUE"""),"")</f>
        <v/>
      </c>
      <c r="J144" s="53" t="str">
        <f>IFERROR(__xludf.DUMMYFUNCTION("""COMPUTED_VALUE"""),"")</f>
        <v/>
      </c>
      <c r="K144" s="54" t="str">
        <f>IFERROR(__xludf.DUMMYFUNCTION("""COMPUTED_VALUE"""),"")</f>
        <v/>
      </c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6"/>
      <c r="W144" s="56"/>
      <c r="X144" s="56"/>
      <c r="Y144" s="56"/>
      <c r="Z144" s="57"/>
      <c r="AA144" s="58"/>
      <c r="AB144" s="59"/>
    </row>
    <row r="145" ht="13.5" customHeight="1">
      <c r="A145" s="60" t="str">
        <f>IFERROR(__xludf.DUMMYFUNCTION("""COMPUTED_VALUE"""),"")</f>
        <v/>
      </c>
      <c r="B145" s="64" t="str">
        <f>IFERROR(__xludf.DUMMYFUNCTION("""COMPUTED_VALUE"""),"")</f>
        <v/>
      </c>
      <c r="C145" s="63" t="str">
        <f>IFERROR(__xludf.DUMMYFUNCTION("""COMPUTED_VALUE"""),"")</f>
        <v/>
      </c>
      <c r="D145" s="63" t="str">
        <f>IFERROR(__xludf.DUMMYFUNCTION("""COMPUTED_VALUE"""),"")</f>
        <v/>
      </c>
      <c r="E145" s="51" t="str">
        <f>IFERROR(__xludf.DUMMYFUNCTION("""COMPUTED_VALUE"""),"")</f>
        <v/>
      </c>
      <c r="F145" s="82" t="str">
        <f>IFERROR(__xludf.DUMMYFUNCTION("""COMPUTED_VALUE"""),"")</f>
        <v/>
      </c>
      <c r="G145" s="52" t="str">
        <f>IFERROR(__xludf.DUMMYFUNCTION("""COMPUTED_VALUE"""),"")</f>
        <v/>
      </c>
      <c r="H145" s="53" t="str">
        <f>IFERROR(__xludf.DUMMYFUNCTION("""COMPUTED_VALUE"""),"")</f>
        <v/>
      </c>
      <c r="I145" s="53" t="str">
        <f>IFERROR(__xludf.DUMMYFUNCTION("""COMPUTED_VALUE"""),"")</f>
        <v/>
      </c>
      <c r="J145" s="53" t="str">
        <f>IFERROR(__xludf.DUMMYFUNCTION("""COMPUTED_VALUE"""),"")</f>
        <v/>
      </c>
      <c r="K145" s="54" t="str">
        <f>IFERROR(__xludf.DUMMYFUNCTION("""COMPUTED_VALUE"""),"")</f>
        <v/>
      </c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6"/>
      <c r="W145" s="56"/>
      <c r="X145" s="56"/>
      <c r="Y145" s="56"/>
      <c r="Z145" s="57"/>
      <c r="AA145" s="58"/>
      <c r="AB145" s="59"/>
    </row>
    <row r="146" ht="13.5" customHeight="1">
      <c r="A146" s="60" t="str">
        <f>IFERROR(__xludf.DUMMYFUNCTION("""COMPUTED_VALUE"""),"")</f>
        <v/>
      </c>
      <c r="B146" s="64" t="str">
        <f>IFERROR(__xludf.DUMMYFUNCTION("""COMPUTED_VALUE"""),"")</f>
        <v/>
      </c>
      <c r="C146" s="63" t="str">
        <f>IFERROR(__xludf.DUMMYFUNCTION("""COMPUTED_VALUE"""),"")</f>
        <v/>
      </c>
      <c r="D146" s="63" t="str">
        <f>IFERROR(__xludf.DUMMYFUNCTION("""COMPUTED_VALUE"""),"")</f>
        <v/>
      </c>
      <c r="E146" s="51" t="str">
        <f>IFERROR(__xludf.DUMMYFUNCTION("""COMPUTED_VALUE"""),"")</f>
        <v/>
      </c>
      <c r="F146" s="82" t="str">
        <f>IFERROR(__xludf.DUMMYFUNCTION("""COMPUTED_VALUE"""),"")</f>
        <v/>
      </c>
      <c r="G146" s="52" t="str">
        <f>IFERROR(__xludf.DUMMYFUNCTION("""COMPUTED_VALUE"""),"")</f>
        <v/>
      </c>
      <c r="H146" s="53" t="str">
        <f>IFERROR(__xludf.DUMMYFUNCTION("""COMPUTED_VALUE"""),"")</f>
        <v/>
      </c>
      <c r="I146" s="53" t="str">
        <f>IFERROR(__xludf.DUMMYFUNCTION("""COMPUTED_VALUE"""),"")</f>
        <v/>
      </c>
      <c r="J146" s="53" t="str">
        <f>IFERROR(__xludf.DUMMYFUNCTION("""COMPUTED_VALUE"""),"")</f>
        <v/>
      </c>
      <c r="K146" s="54" t="str">
        <f>IFERROR(__xludf.DUMMYFUNCTION("""COMPUTED_VALUE"""),"")</f>
        <v/>
      </c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6"/>
      <c r="W146" s="56"/>
      <c r="X146" s="56"/>
      <c r="Y146" s="56"/>
      <c r="Z146" s="57"/>
      <c r="AA146" s="58"/>
      <c r="AB146" s="59"/>
    </row>
    <row r="147" ht="13.5" customHeight="1">
      <c r="A147" s="60" t="str">
        <f>IFERROR(__xludf.DUMMYFUNCTION("""COMPUTED_VALUE"""),"")</f>
        <v/>
      </c>
      <c r="B147" s="64" t="str">
        <f>IFERROR(__xludf.DUMMYFUNCTION("""COMPUTED_VALUE"""),"")</f>
        <v/>
      </c>
      <c r="C147" s="63" t="str">
        <f>IFERROR(__xludf.DUMMYFUNCTION("""COMPUTED_VALUE"""),"")</f>
        <v/>
      </c>
      <c r="D147" s="63" t="str">
        <f>IFERROR(__xludf.DUMMYFUNCTION("""COMPUTED_VALUE"""),"")</f>
        <v/>
      </c>
      <c r="E147" s="51" t="str">
        <f>IFERROR(__xludf.DUMMYFUNCTION("""COMPUTED_VALUE"""),"")</f>
        <v/>
      </c>
      <c r="F147" s="82" t="str">
        <f>IFERROR(__xludf.DUMMYFUNCTION("""COMPUTED_VALUE"""),"")</f>
        <v/>
      </c>
      <c r="G147" s="52" t="str">
        <f>IFERROR(__xludf.DUMMYFUNCTION("""COMPUTED_VALUE"""),"")</f>
        <v/>
      </c>
      <c r="H147" s="53" t="str">
        <f>IFERROR(__xludf.DUMMYFUNCTION("""COMPUTED_VALUE"""),"")</f>
        <v/>
      </c>
      <c r="I147" s="53" t="str">
        <f>IFERROR(__xludf.DUMMYFUNCTION("""COMPUTED_VALUE"""),"")</f>
        <v/>
      </c>
      <c r="J147" s="53" t="str">
        <f>IFERROR(__xludf.DUMMYFUNCTION("""COMPUTED_VALUE"""),"")</f>
        <v/>
      </c>
      <c r="K147" s="54" t="str">
        <f>IFERROR(__xludf.DUMMYFUNCTION("""COMPUTED_VALUE"""),"")</f>
        <v/>
      </c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6"/>
      <c r="W147" s="56"/>
      <c r="X147" s="56"/>
      <c r="Y147" s="56"/>
      <c r="Z147" s="57"/>
      <c r="AA147" s="58"/>
      <c r="AB147" s="59"/>
    </row>
    <row r="148" ht="13.5" customHeight="1">
      <c r="A148" s="60" t="str">
        <f>IFERROR(__xludf.DUMMYFUNCTION("""COMPUTED_VALUE"""),"")</f>
        <v/>
      </c>
      <c r="B148" s="64" t="str">
        <f>IFERROR(__xludf.DUMMYFUNCTION("""COMPUTED_VALUE"""),"")</f>
        <v/>
      </c>
      <c r="C148" s="63" t="str">
        <f>IFERROR(__xludf.DUMMYFUNCTION("""COMPUTED_VALUE"""),"")</f>
        <v/>
      </c>
      <c r="D148" s="63" t="str">
        <f>IFERROR(__xludf.DUMMYFUNCTION("""COMPUTED_VALUE"""),"")</f>
        <v/>
      </c>
      <c r="E148" s="51" t="str">
        <f>IFERROR(__xludf.DUMMYFUNCTION("""COMPUTED_VALUE"""),"")</f>
        <v/>
      </c>
      <c r="F148" s="82" t="str">
        <f>IFERROR(__xludf.DUMMYFUNCTION("""COMPUTED_VALUE"""),"")</f>
        <v/>
      </c>
      <c r="G148" s="52" t="str">
        <f>IFERROR(__xludf.DUMMYFUNCTION("""COMPUTED_VALUE"""),"")</f>
        <v/>
      </c>
      <c r="H148" s="53" t="str">
        <f>IFERROR(__xludf.DUMMYFUNCTION("""COMPUTED_VALUE"""),"")</f>
        <v/>
      </c>
      <c r="I148" s="53" t="str">
        <f>IFERROR(__xludf.DUMMYFUNCTION("""COMPUTED_VALUE"""),"")</f>
        <v/>
      </c>
      <c r="J148" s="53" t="str">
        <f>IFERROR(__xludf.DUMMYFUNCTION("""COMPUTED_VALUE"""),"")</f>
        <v/>
      </c>
      <c r="K148" s="54" t="str">
        <f>IFERROR(__xludf.DUMMYFUNCTION("""COMPUTED_VALUE"""),"")</f>
        <v/>
      </c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6"/>
      <c r="W148" s="56"/>
      <c r="X148" s="56"/>
      <c r="Y148" s="56"/>
      <c r="Z148" s="57"/>
      <c r="AA148" s="58"/>
      <c r="AB148" s="59"/>
    </row>
    <row r="149" ht="13.5" customHeight="1">
      <c r="A149" s="60" t="str">
        <f>IFERROR(__xludf.DUMMYFUNCTION("""COMPUTED_VALUE"""),"")</f>
        <v/>
      </c>
      <c r="B149" s="64" t="str">
        <f>IFERROR(__xludf.DUMMYFUNCTION("""COMPUTED_VALUE"""),"")</f>
        <v/>
      </c>
      <c r="C149" s="63" t="str">
        <f>IFERROR(__xludf.DUMMYFUNCTION("""COMPUTED_VALUE"""),"")</f>
        <v/>
      </c>
      <c r="D149" s="63" t="str">
        <f>IFERROR(__xludf.DUMMYFUNCTION("""COMPUTED_VALUE"""),"")</f>
        <v/>
      </c>
      <c r="E149" s="51" t="str">
        <f>IFERROR(__xludf.DUMMYFUNCTION("""COMPUTED_VALUE"""),"")</f>
        <v/>
      </c>
      <c r="F149" s="82" t="str">
        <f>IFERROR(__xludf.DUMMYFUNCTION("""COMPUTED_VALUE"""),"")</f>
        <v/>
      </c>
      <c r="G149" s="52" t="str">
        <f>IFERROR(__xludf.DUMMYFUNCTION("""COMPUTED_VALUE"""),"")</f>
        <v/>
      </c>
      <c r="H149" s="53" t="str">
        <f>IFERROR(__xludf.DUMMYFUNCTION("""COMPUTED_VALUE"""),"")</f>
        <v/>
      </c>
      <c r="I149" s="53" t="str">
        <f>IFERROR(__xludf.DUMMYFUNCTION("""COMPUTED_VALUE"""),"")</f>
        <v/>
      </c>
      <c r="J149" s="53" t="str">
        <f>IFERROR(__xludf.DUMMYFUNCTION("""COMPUTED_VALUE"""),"")</f>
        <v/>
      </c>
      <c r="K149" s="54" t="str">
        <f>IFERROR(__xludf.DUMMYFUNCTION("""COMPUTED_VALUE"""),"")</f>
        <v/>
      </c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6"/>
      <c r="W149" s="56"/>
      <c r="X149" s="56"/>
      <c r="Y149" s="56"/>
      <c r="Z149" s="57"/>
      <c r="AA149" s="58"/>
      <c r="AB149" s="59"/>
    </row>
    <row r="150" ht="13.5" customHeight="1">
      <c r="A150" s="60" t="str">
        <f>IFERROR(__xludf.DUMMYFUNCTION("""COMPUTED_VALUE"""),"")</f>
        <v/>
      </c>
      <c r="B150" s="64" t="str">
        <f>IFERROR(__xludf.DUMMYFUNCTION("""COMPUTED_VALUE"""),"")</f>
        <v/>
      </c>
      <c r="C150" s="63" t="str">
        <f>IFERROR(__xludf.DUMMYFUNCTION("""COMPUTED_VALUE"""),"")</f>
        <v/>
      </c>
      <c r="D150" s="63" t="str">
        <f>IFERROR(__xludf.DUMMYFUNCTION("""COMPUTED_VALUE"""),"")</f>
        <v/>
      </c>
      <c r="E150" s="51" t="str">
        <f>IFERROR(__xludf.DUMMYFUNCTION("""COMPUTED_VALUE"""),"")</f>
        <v/>
      </c>
      <c r="F150" s="82" t="str">
        <f>IFERROR(__xludf.DUMMYFUNCTION("""COMPUTED_VALUE"""),"")</f>
        <v/>
      </c>
      <c r="G150" s="52" t="str">
        <f>IFERROR(__xludf.DUMMYFUNCTION("""COMPUTED_VALUE"""),"")</f>
        <v/>
      </c>
      <c r="H150" s="53" t="str">
        <f>IFERROR(__xludf.DUMMYFUNCTION("""COMPUTED_VALUE"""),"")</f>
        <v/>
      </c>
      <c r="I150" s="53" t="str">
        <f>IFERROR(__xludf.DUMMYFUNCTION("""COMPUTED_VALUE"""),"")</f>
        <v/>
      </c>
      <c r="J150" s="53" t="str">
        <f>IFERROR(__xludf.DUMMYFUNCTION("""COMPUTED_VALUE"""),"")</f>
        <v/>
      </c>
      <c r="K150" s="54" t="str">
        <f>IFERROR(__xludf.DUMMYFUNCTION("""COMPUTED_VALUE"""),"")</f>
        <v/>
      </c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6"/>
      <c r="W150" s="56"/>
      <c r="X150" s="56"/>
      <c r="Y150" s="56"/>
      <c r="Z150" s="57"/>
      <c r="AA150" s="58"/>
      <c r="AB150" s="59"/>
    </row>
    <row r="151" ht="13.5" customHeight="1">
      <c r="A151" s="60" t="str">
        <f>IFERROR(__xludf.DUMMYFUNCTION("""COMPUTED_VALUE"""),"")</f>
        <v/>
      </c>
      <c r="B151" s="64" t="str">
        <f>IFERROR(__xludf.DUMMYFUNCTION("""COMPUTED_VALUE"""),"")</f>
        <v/>
      </c>
      <c r="C151" s="63" t="str">
        <f>IFERROR(__xludf.DUMMYFUNCTION("""COMPUTED_VALUE"""),"")</f>
        <v/>
      </c>
      <c r="D151" s="63" t="str">
        <f>IFERROR(__xludf.DUMMYFUNCTION("""COMPUTED_VALUE"""),"")</f>
        <v/>
      </c>
      <c r="E151" s="51" t="str">
        <f>IFERROR(__xludf.DUMMYFUNCTION("""COMPUTED_VALUE"""),"")</f>
        <v/>
      </c>
      <c r="F151" s="82" t="str">
        <f>IFERROR(__xludf.DUMMYFUNCTION("""COMPUTED_VALUE"""),"")</f>
        <v/>
      </c>
      <c r="G151" s="52" t="str">
        <f>IFERROR(__xludf.DUMMYFUNCTION("""COMPUTED_VALUE"""),"")</f>
        <v/>
      </c>
      <c r="H151" s="53" t="str">
        <f>IFERROR(__xludf.DUMMYFUNCTION("""COMPUTED_VALUE"""),"")</f>
        <v/>
      </c>
      <c r="I151" s="53" t="str">
        <f>IFERROR(__xludf.DUMMYFUNCTION("""COMPUTED_VALUE"""),"")</f>
        <v/>
      </c>
      <c r="J151" s="53" t="str">
        <f>IFERROR(__xludf.DUMMYFUNCTION("""COMPUTED_VALUE"""),"")</f>
        <v/>
      </c>
      <c r="K151" s="54" t="str">
        <f>IFERROR(__xludf.DUMMYFUNCTION("""COMPUTED_VALUE"""),"")</f>
        <v/>
      </c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6"/>
      <c r="W151" s="56"/>
      <c r="X151" s="56"/>
      <c r="Y151" s="56"/>
      <c r="Z151" s="57"/>
      <c r="AA151" s="58"/>
      <c r="AB151" s="59"/>
    </row>
    <row r="152" ht="13.5" customHeight="1">
      <c r="A152" s="60" t="str">
        <f>IFERROR(__xludf.DUMMYFUNCTION("""COMPUTED_VALUE"""),"")</f>
        <v/>
      </c>
      <c r="B152" s="64" t="str">
        <f>IFERROR(__xludf.DUMMYFUNCTION("""COMPUTED_VALUE"""),"")</f>
        <v/>
      </c>
      <c r="C152" s="63" t="str">
        <f>IFERROR(__xludf.DUMMYFUNCTION("""COMPUTED_VALUE"""),"")</f>
        <v/>
      </c>
      <c r="D152" s="63" t="str">
        <f>IFERROR(__xludf.DUMMYFUNCTION("""COMPUTED_VALUE"""),"")</f>
        <v/>
      </c>
      <c r="E152" s="51" t="str">
        <f>IFERROR(__xludf.DUMMYFUNCTION("""COMPUTED_VALUE"""),"")</f>
        <v/>
      </c>
      <c r="F152" s="82" t="str">
        <f>IFERROR(__xludf.DUMMYFUNCTION("""COMPUTED_VALUE"""),"")</f>
        <v/>
      </c>
      <c r="G152" s="52" t="str">
        <f>IFERROR(__xludf.DUMMYFUNCTION("""COMPUTED_VALUE"""),"")</f>
        <v/>
      </c>
      <c r="H152" s="53" t="str">
        <f>IFERROR(__xludf.DUMMYFUNCTION("""COMPUTED_VALUE"""),"")</f>
        <v/>
      </c>
      <c r="I152" s="53" t="str">
        <f>IFERROR(__xludf.DUMMYFUNCTION("""COMPUTED_VALUE"""),"")</f>
        <v/>
      </c>
      <c r="J152" s="53" t="str">
        <f>IFERROR(__xludf.DUMMYFUNCTION("""COMPUTED_VALUE"""),"")</f>
        <v/>
      </c>
      <c r="K152" s="54" t="str">
        <f>IFERROR(__xludf.DUMMYFUNCTION("""COMPUTED_VALUE"""),"")</f>
        <v/>
      </c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6"/>
      <c r="W152" s="56"/>
      <c r="X152" s="56"/>
      <c r="Y152" s="56"/>
      <c r="Z152" s="57"/>
      <c r="AA152" s="58"/>
      <c r="AB152" s="59"/>
    </row>
    <row r="153" ht="13.5" customHeight="1">
      <c r="A153" s="60" t="str">
        <f>IFERROR(__xludf.DUMMYFUNCTION("""COMPUTED_VALUE"""),"")</f>
        <v/>
      </c>
      <c r="B153" s="64" t="str">
        <f>IFERROR(__xludf.DUMMYFUNCTION("""COMPUTED_VALUE"""),"")</f>
        <v/>
      </c>
      <c r="C153" s="63" t="str">
        <f>IFERROR(__xludf.DUMMYFUNCTION("""COMPUTED_VALUE"""),"")</f>
        <v/>
      </c>
      <c r="D153" s="63" t="str">
        <f>IFERROR(__xludf.DUMMYFUNCTION("""COMPUTED_VALUE"""),"")</f>
        <v/>
      </c>
      <c r="E153" s="51" t="str">
        <f>IFERROR(__xludf.DUMMYFUNCTION("""COMPUTED_VALUE"""),"")</f>
        <v/>
      </c>
      <c r="F153" s="82" t="str">
        <f>IFERROR(__xludf.DUMMYFUNCTION("""COMPUTED_VALUE"""),"")</f>
        <v/>
      </c>
      <c r="G153" s="52" t="str">
        <f>IFERROR(__xludf.DUMMYFUNCTION("""COMPUTED_VALUE"""),"")</f>
        <v/>
      </c>
      <c r="H153" s="53" t="str">
        <f>IFERROR(__xludf.DUMMYFUNCTION("""COMPUTED_VALUE"""),"")</f>
        <v/>
      </c>
      <c r="I153" s="53" t="str">
        <f>IFERROR(__xludf.DUMMYFUNCTION("""COMPUTED_VALUE"""),"")</f>
        <v/>
      </c>
      <c r="J153" s="53" t="str">
        <f>IFERROR(__xludf.DUMMYFUNCTION("""COMPUTED_VALUE"""),"")</f>
        <v/>
      </c>
      <c r="K153" s="54" t="str">
        <f>IFERROR(__xludf.DUMMYFUNCTION("""COMPUTED_VALUE"""),"")</f>
        <v/>
      </c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6"/>
      <c r="W153" s="56"/>
      <c r="X153" s="56"/>
      <c r="Y153" s="56"/>
      <c r="Z153" s="57"/>
      <c r="AA153" s="58"/>
      <c r="AB153" s="59"/>
    </row>
    <row r="154" ht="13.5" customHeight="1">
      <c r="A154" s="60" t="str">
        <f>IFERROR(__xludf.DUMMYFUNCTION("""COMPUTED_VALUE"""),"")</f>
        <v/>
      </c>
      <c r="B154" s="64" t="str">
        <f>IFERROR(__xludf.DUMMYFUNCTION("""COMPUTED_VALUE"""),"")</f>
        <v/>
      </c>
      <c r="C154" s="63" t="str">
        <f>IFERROR(__xludf.DUMMYFUNCTION("""COMPUTED_VALUE"""),"")</f>
        <v/>
      </c>
      <c r="D154" s="63" t="str">
        <f>IFERROR(__xludf.DUMMYFUNCTION("""COMPUTED_VALUE"""),"")</f>
        <v/>
      </c>
      <c r="E154" s="51" t="str">
        <f>IFERROR(__xludf.DUMMYFUNCTION("""COMPUTED_VALUE"""),"")</f>
        <v/>
      </c>
      <c r="F154" s="82" t="str">
        <f>IFERROR(__xludf.DUMMYFUNCTION("""COMPUTED_VALUE"""),"")</f>
        <v/>
      </c>
      <c r="G154" s="52" t="str">
        <f>IFERROR(__xludf.DUMMYFUNCTION("""COMPUTED_VALUE"""),"")</f>
        <v/>
      </c>
      <c r="H154" s="53" t="str">
        <f>IFERROR(__xludf.DUMMYFUNCTION("""COMPUTED_VALUE"""),"")</f>
        <v/>
      </c>
      <c r="I154" s="53" t="str">
        <f>IFERROR(__xludf.DUMMYFUNCTION("""COMPUTED_VALUE"""),"")</f>
        <v/>
      </c>
      <c r="J154" s="53" t="str">
        <f>IFERROR(__xludf.DUMMYFUNCTION("""COMPUTED_VALUE"""),"")</f>
        <v/>
      </c>
      <c r="K154" s="54" t="str">
        <f>IFERROR(__xludf.DUMMYFUNCTION("""COMPUTED_VALUE"""),"")</f>
        <v/>
      </c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6"/>
      <c r="W154" s="56"/>
      <c r="X154" s="56"/>
      <c r="Y154" s="56"/>
      <c r="Z154" s="57"/>
      <c r="AA154" s="58"/>
      <c r="AB154" s="59"/>
    </row>
    <row r="155" ht="13.5" customHeight="1">
      <c r="A155" s="60" t="str">
        <f>IFERROR(__xludf.DUMMYFUNCTION("""COMPUTED_VALUE"""),"")</f>
        <v/>
      </c>
      <c r="B155" s="64" t="str">
        <f>IFERROR(__xludf.DUMMYFUNCTION("""COMPUTED_VALUE"""),"")</f>
        <v/>
      </c>
      <c r="C155" s="63" t="str">
        <f>IFERROR(__xludf.DUMMYFUNCTION("""COMPUTED_VALUE"""),"")</f>
        <v/>
      </c>
      <c r="D155" s="63" t="str">
        <f>IFERROR(__xludf.DUMMYFUNCTION("""COMPUTED_VALUE"""),"")</f>
        <v/>
      </c>
      <c r="E155" s="51" t="str">
        <f>IFERROR(__xludf.DUMMYFUNCTION("""COMPUTED_VALUE"""),"")</f>
        <v/>
      </c>
      <c r="F155" s="82" t="str">
        <f>IFERROR(__xludf.DUMMYFUNCTION("""COMPUTED_VALUE"""),"")</f>
        <v/>
      </c>
      <c r="G155" s="52" t="str">
        <f>IFERROR(__xludf.DUMMYFUNCTION("""COMPUTED_VALUE"""),"")</f>
        <v/>
      </c>
      <c r="H155" s="53" t="str">
        <f>IFERROR(__xludf.DUMMYFUNCTION("""COMPUTED_VALUE"""),"")</f>
        <v/>
      </c>
      <c r="I155" s="53" t="str">
        <f>IFERROR(__xludf.DUMMYFUNCTION("""COMPUTED_VALUE"""),"")</f>
        <v/>
      </c>
      <c r="J155" s="53" t="str">
        <f>IFERROR(__xludf.DUMMYFUNCTION("""COMPUTED_VALUE"""),"")</f>
        <v/>
      </c>
      <c r="K155" s="54" t="str">
        <f>IFERROR(__xludf.DUMMYFUNCTION("""COMPUTED_VALUE"""),"")</f>
        <v/>
      </c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6"/>
      <c r="W155" s="56"/>
      <c r="X155" s="56"/>
      <c r="Y155" s="56"/>
      <c r="Z155" s="57"/>
      <c r="AA155" s="58"/>
      <c r="AB155" s="59"/>
    </row>
    <row r="156" ht="13.5" customHeight="1">
      <c r="A156" s="60" t="str">
        <f>IFERROR(__xludf.DUMMYFUNCTION("""COMPUTED_VALUE"""),"")</f>
        <v/>
      </c>
      <c r="B156" s="64" t="str">
        <f>IFERROR(__xludf.DUMMYFUNCTION("""COMPUTED_VALUE"""),"")</f>
        <v/>
      </c>
      <c r="C156" s="63" t="str">
        <f>IFERROR(__xludf.DUMMYFUNCTION("""COMPUTED_VALUE"""),"")</f>
        <v/>
      </c>
      <c r="D156" s="63" t="str">
        <f>IFERROR(__xludf.DUMMYFUNCTION("""COMPUTED_VALUE"""),"")</f>
        <v/>
      </c>
      <c r="E156" s="51" t="str">
        <f>IFERROR(__xludf.DUMMYFUNCTION("""COMPUTED_VALUE"""),"")</f>
        <v/>
      </c>
      <c r="F156" s="82" t="str">
        <f>IFERROR(__xludf.DUMMYFUNCTION("""COMPUTED_VALUE"""),"")</f>
        <v/>
      </c>
      <c r="G156" s="52" t="str">
        <f>IFERROR(__xludf.DUMMYFUNCTION("""COMPUTED_VALUE"""),"")</f>
        <v/>
      </c>
      <c r="H156" s="53" t="str">
        <f>IFERROR(__xludf.DUMMYFUNCTION("""COMPUTED_VALUE"""),"")</f>
        <v/>
      </c>
      <c r="I156" s="53" t="str">
        <f>IFERROR(__xludf.DUMMYFUNCTION("""COMPUTED_VALUE"""),"")</f>
        <v/>
      </c>
      <c r="J156" s="53" t="str">
        <f>IFERROR(__xludf.DUMMYFUNCTION("""COMPUTED_VALUE"""),"")</f>
        <v/>
      </c>
      <c r="K156" s="54" t="str">
        <f>IFERROR(__xludf.DUMMYFUNCTION("""COMPUTED_VALUE"""),"")</f>
        <v/>
      </c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6"/>
      <c r="W156" s="56"/>
      <c r="X156" s="56"/>
      <c r="Y156" s="56"/>
      <c r="Z156" s="57"/>
      <c r="AA156" s="58"/>
      <c r="AB156" s="59"/>
    </row>
    <row r="157" ht="13.5" customHeight="1">
      <c r="A157" s="60" t="str">
        <f>IFERROR(__xludf.DUMMYFUNCTION("""COMPUTED_VALUE"""),"")</f>
        <v/>
      </c>
      <c r="B157" s="64" t="str">
        <f>IFERROR(__xludf.DUMMYFUNCTION("""COMPUTED_VALUE"""),"")</f>
        <v/>
      </c>
      <c r="C157" s="63" t="str">
        <f>IFERROR(__xludf.DUMMYFUNCTION("""COMPUTED_VALUE"""),"")</f>
        <v/>
      </c>
      <c r="D157" s="63" t="str">
        <f>IFERROR(__xludf.DUMMYFUNCTION("""COMPUTED_VALUE"""),"")</f>
        <v/>
      </c>
      <c r="E157" s="51" t="str">
        <f>IFERROR(__xludf.DUMMYFUNCTION("""COMPUTED_VALUE"""),"")</f>
        <v/>
      </c>
      <c r="F157" s="82" t="str">
        <f>IFERROR(__xludf.DUMMYFUNCTION("""COMPUTED_VALUE"""),"")</f>
        <v/>
      </c>
      <c r="G157" s="52" t="str">
        <f>IFERROR(__xludf.DUMMYFUNCTION("""COMPUTED_VALUE"""),"")</f>
        <v/>
      </c>
      <c r="H157" s="53" t="str">
        <f>IFERROR(__xludf.DUMMYFUNCTION("""COMPUTED_VALUE"""),"")</f>
        <v/>
      </c>
      <c r="I157" s="53" t="str">
        <f>IFERROR(__xludf.DUMMYFUNCTION("""COMPUTED_VALUE"""),"")</f>
        <v/>
      </c>
      <c r="J157" s="53" t="str">
        <f>IFERROR(__xludf.DUMMYFUNCTION("""COMPUTED_VALUE"""),"")</f>
        <v/>
      </c>
      <c r="K157" s="54" t="str">
        <f>IFERROR(__xludf.DUMMYFUNCTION("""COMPUTED_VALUE"""),"")</f>
        <v/>
      </c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6"/>
      <c r="W157" s="56"/>
      <c r="X157" s="56"/>
      <c r="Y157" s="56"/>
      <c r="Z157" s="57"/>
      <c r="AA157" s="58"/>
      <c r="AB157" s="59"/>
    </row>
    <row r="158" ht="13.5" customHeight="1">
      <c r="A158" s="60" t="str">
        <f>IFERROR(__xludf.DUMMYFUNCTION("""COMPUTED_VALUE"""),"")</f>
        <v/>
      </c>
      <c r="B158" s="64" t="str">
        <f>IFERROR(__xludf.DUMMYFUNCTION("""COMPUTED_VALUE"""),"")</f>
        <v/>
      </c>
      <c r="C158" s="63" t="str">
        <f>IFERROR(__xludf.DUMMYFUNCTION("""COMPUTED_VALUE"""),"")</f>
        <v/>
      </c>
      <c r="D158" s="63" t="str">
        <f>IFERROR(__xludf.DUMMYFUNCTION("""COMPUTED_VALUE"""),"")</f>
        <v/>
      </c>
      <c r="E158" s="51" t="str">
        <f>IFERROR(__xludf.DUMMYFUNCTION("""COMPUTED_VALUE"""),"")</f>
        <v/>
      </c>
      <c r="F158" s="82" t="str">
        <f>IFERROR(__xludf.DUMMYFUNCTION("""COMPUTED_VALUE"""),"")</f>
        <v/>
      </c>
      <c r="G158" s="52" t="str">
        <f>IFERROR(__xludf.DUMMYFUNCTION("""COMPUTED_VALUE"""),"")</f>
        <v/>
      </c>
      <c r="H158" s="53" t="str">
        <f>IFERROR(__xludf.DUMMYFUNCTION("""COMPUTED_VALUE"""),"")</f>
        <v/>
      </c>
      <c r="I158" s="53" t="str">
        <f>IFERROR(__xludf.DUMMYFUNCTION("""COMPUTED_VALUE"""),"")</f>
        <v/>
      </c>
      <c r="J158" s="53" t="str">
        <f>IFERROR(__xludf.DUMMYFUNCTION("""COMPUTED_VALUE"""),"")</f>
        <v/>
      </c>
      <c r="K158" s="54" t="str">
        <f>IFERROR(__xludf.DUMMYFUNCTION("""COMPUTED_VALUE"""),"")</f>
        <v/>
      </c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6"/>
      <c r="W158" s="56"/>
      <c r="X158" s="56"/>
      <c r="Y158" s="56"/>
      <c r="Z158" s="57"/>
      <c r="AA158" s="58"/>
      <c r="AB158" s="59"/>
    </row>
    <row r="159" ht="13.5" customHeight="1">
      <c r="A159" s="60" t="str">
        <f>IFERROR(__xludf.DUMMYFUNCTION("""COMPUTED_VALUE"""),"")</f>
        <v/>
      </c>
      <c r="B159" s="64" t="str">
        <f>IFERROR(__xludf.DUMMYFUNCTION("""COMPUTED_VALUE"""),"")</f>
        <v/>
      </c>
      <c r="C159" s="63" t="str">
        <f>IFERROR(__xludf.DUMMYFUNCTION("""COMPUTED_VALUE"""),"")</f>
        <v/>
      </c>
      <c r="D159" s="63" t="str">
        <f>IFERROR(__xludf.DUMMYFUNCTION("""COMPUTED_VALUE"""),"")</f>
        <v/>
      </c>
      <c r="E159" s="51" t="str">
        <f>IFERROR(__xludf.DUMMYFUNCTION("""COMPUTED_VALUE"""),"")</f>
        <v/>
      </c>
      <c r="F159" s="82" t="str">
        <f>IFERROR(__xludf.DUMMYFUNCTION("""COMPUTED_VALUE"""),"")</f>
        <v/>
      </c>
      <c r="G159" s="52" t="str">
        <f>IFERROR(__xludf.DUMMYFUNCTION("""COMPUTED_VALUE"""),"")</f>
        <v/>
      </c>
      <c r="H159" s="53" t="str">
        <f>IFERROR(__xludf.DUMMYFUNCTION("""COMPUTED_VALUE"""),"")</f>
        <v/>
      </c>
      <c r="I159" s="53" t="str">
        <f>IFERROR(__xludf.DUMMYFUNCTION("""COMPUTED_VALUE"""),"")</f>
        <v/>
      </c>
      <c r="J159" s="53" t="str">
        <f>IFERROR(__xludf.DUMMYFUNCTION("""COMPUTED_VALUE"""),"")</f>
        <v/>
      </c>
      <c r="K159" s="54" t="str">
        <f>IFERROR(__xludf.DUMMYFUNCTION("""COMPUTED_VALUE"""),"")</f>
        <v/>
      </c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6"/>
      <c r="W159" s="56"/>
      <c r="X159" s="56"/>
      <c r="Y159" s="56"/>
      <c r="Z159" s="57"/>
      <c r="AA159" s="58"/>
      <c r="AB159" s="59"/>
    </row>
    <row r="160" ht="13.5" customHeight="1">
      <c r="A160" s="60" t="str">
        <f>IFERROR(__xludf.DUMMYFUNCTION("""COMPUTED_VALUE"""),"")</f>
        <v/>
      </c>
      <c r="B160" s="64" t="str">
        <f>IFERROR(__xludf.DUMMYFUNCTION("""COMPUTED_VALUE"""),"")</f>
        <v/>
      </c>
      <c r="C160" s="63" t="str">
        <f>IFERROR(__xludf.DUMMYFUNCTION("""COMPUTED_VALUE"""),"")</f>
        <v/>
      </c>
      <c r="D160" s="63" t="str">
        <f>IFERROR(__xludf.DUMMYFUNCTION("""COMPUTED_VALUE"""),"")</f>
        <v/>
      </c>
      <c r="E160" s="51" t="str">
        <f>IFERROR(__xludf.DUMMYFUNCTION("""COMPUTED_VALUE"""),"")</f>
        <v/>
      </c>
      <c r="F160" s="82" t="str">
        <f>IFERROR(__xludf.DUMMYFUNCTION("""COMPUTED_VALUE"""),"")</f>
        <v/>
      </c>
      <c r="G160" s="52" t="str">
        <f>IFERROR(__xludf.DUMMYFUNCTION("""COMPUTED_VALUE"""),"")</f>
        <v/>
      </c>
      <c r="H160" s="53" t="str">
        <f>IFERROR(__xludf.DUMMYFUNCTION("""COMPUTED_VALUE"""),"")</f>
        <v/>
      </c>
      <c r="I160" s="53" t="str">
        <f>IFERROR(__xludf.DUMMYFUNCTION("""COMPUTED_VALUE"""),"")</f>
        <v/>
      </c>
      <c r="J160" s="53" t="str">
        <f>IFERROR(__xludf.DUMMYFUNCTION("""COMPUTED_VALUE"""),"")</f>
        <v/>
      </c>
      <c r="K160" s="54" t="str">
        <f>IFERROR(__xludf.DUMMYFUNCTION("""COMPUTED_VALUE"""),"")</f>
        <v/>
      </c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6"/>
      <c r="W160" s="56"/>
      <c r="X160" s="56"/>
      <c r="Y160" s="56"/>
      <c r="Z160" s="57"/>
      <c r="AA160" s="58"/>
      <c r="AB160" s="59"/>
    </row>
    <row r="161" ht="13.5" customHeight="1">
      <c r="A161" s="60" t="str">
        <f>IFERROR(__xludf.DUMMYFUNCTION("""COMPUTED_VALUE"""),"")</f>
        <v/>
      </c>
      <c r="B161" s="64" t="str">
        <f>IFERROR(__xludf.DUMMYFUNCTION("""COMPUTED_VALUE"""),"")</f>
        <v/>
      </c>
      <c r="C161" s="63" t="str">
        <f>IFERROR(__xludf.DUMMYFUNCTION("""COMPUTED_VALUE"""),"")</f>
        <v/>
      </c>
      <c r="D161" s="63" t="str">
        <f>IFERROR(__xludf.DUMMYFUNCTION("""COMPUTED_VALUE"""),"")</f>
        <v/>
      </c>
      <c r="E161" s="51" t="str">
        <f>IFERROR(__xludf.DUMMYFUNCTION("""COMPUTED_VALUE"""),"")</f>
        <v/>
      </c>
      <c r="F161" s="82" t="str">
        <f>IFERROR(__xludf.DUMMYFUNCTION("""COMPUTED_VALUE"""),"")</f>
        <v/>
      </c>
      <c r="G161" s="52" t="str">
        <f>IFERROR(__xludf.DUMMYFUNCTION("""COMPUTED_VALUE"""),"")</f>
        <v/>
      </c>
      <c r="H161" s="53" t="str">
        <f>IFERROR(__xludf.DUMMYFUNCTION("""COMPUTED_VALUE"""),"")</f>
        <v/>
      </c>
      <c r="I161" s="53" t="str">
        <f>IFERROR(__xludf.DUMMYFUNCTION("""COMPUTED_VALUE"""),"")</f>
        <v/>
      </c>
      <c r="J161" s="53" t="str">
        <f>IFERROR(__xludf.DUMMYFUNCTION("""COMPUTED_VALUE"""),"")</f>
        <v/>
      </c>
      <c r="K161" s="54" t="str">
        <f>IFERROR(__xludf.DUMMYFUNCTION("""COMPUTED_VALUE"""),"")</f>
        <v/>
      </c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6"/>
      <c r="W161" s="56"/>
      <c r="X161" s="56"/>
      <c r="Y161" s="56"/>
      <c r="Z161" s="57"/>
      <c r="AA161" s="58"/>
      <c r="AB161" s="59"/>
    </row>
    <row r="162" ht="13.5" customHeight="1">
      <c r="A162" s="60" t="str">
        <f>IFERROR(__xludf.DUMMYFUNCTION("""COMPUTED_VALUE"""),"")</f>
        <v/>
      </c>
      <c r="B162" s="64" t="str">
        <f>IFERROR(__xludf.DUMMYFUNCTION("""COMPUTED_VALUE"""),"")</f>
        <v/>
      </c>
      <c r="C162" s="63" t="str">
        <f>IFERROR(__xludf.DUMMYFUNCTION("""COMPUTED_VALUE"""),"")</f>
        <v/>
      </c>
      <c r="D162" s="63" t="str">
        <f>IFERROR(__xludf.DUMMYFUNCTION("""COMPUTED_VALUE"""),"")</f>
        <v/>
      </c>
      <c r="E162" s="51" t="str">
        <f>IFERROR(__xludf.DUMMYFUNCTION("""COMPUTED_VALUE"""),"")</f>
        <v/>
      </c>
      <c r="F162" s="82" t="str">
        <f>IFERROR(__xludf.DUMMYFUNCTION("""COMPUTED_VALUE"""),"")</f>
        <v/>
      </c>
      <c r="G162" s="52" t="str">
        <f>IFERROR(__xludf.DUMMYFUNCTION("""COMPUTED_VALUE"""),"")</f>
        <v/>
      </c>
      <c r="H162" s="53" t="str">
        <f>IFERROR(__xludf.DUMMYFUNCTION("""COMPUTED_VALUE"""),"")</f>
        <v/>
      </c>
      <c r="I162" s="53" t="str">
        <f>IFERROR(__xludf.DUMMYFUNCTION("""COMPUTED_VALUE"""),"")</f>
        <v/>
      </c>
      <c r="J162" s="53" t="str">
        <f>IFERROR(__xludf.DUMMYFUNCTION("""COMPUTED_VALUE"""),"")</f>
        <v/>
      </c>
      <c r="K162" s="54" t="str">
        <f>IFERROR(__xludf.DUMMYFUNCTION("""COMPUTED_VALUE"""),"")</f>
        <v/>
      </c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6"/>
      <c r="W162" s="56"/>
      <c r="X162" s="56"/>
      <c r="Y162" s="56"/>
      <c r="Z162" s="57"/>
      <c r="AA162" s="58"/>
      <c r="AB162" s="59"/>
    </row>
    <row r="163" ht="13.5" customHeight="1">
      <c r="A163" s="60" t="str">
        <f>IFERROR(__xludf.DUMMYFUNCTION("""COMPUTED_VALUE"""),"")</f>
        <v/>
      </c>
      <c r="B163" s="64" t="str">
        <f>IFERROR(__xludf.DUMMYFUNCTION("""COMPUTED_VALUE"""),"")</f>
        <v/>
      </c>
      <c r="C163" s="63" t="str">
        <f>IFERROR(__xludf.DUMMYFUNCTION("""COMPUTED_VALUE"""),"")</f>
        <v/>
      </c>
      <c r="D163" s="63" t="str">
        <f>IFERROR(__xludf.DUMMYFUNCTION("""COMPUTED_VALUE"""),"")</f>
        <v/>
      </c>
      <c r="E163" s="51" t="str">
        <f>IFERROR(__xludf.DUMMYFUNCTION("""COMPUTED_VALUE"""),"")</f>
        <v/>
      </c>
      <c r="F163" s="82" t="str">
        <f>IFERROR(__xludf.DUMMYFUNCTION("""COMPUTED_VALUE"""),"")</f>
        <v/>
      </c>
      <c r="G163" s="52" t="str">
        <f>IFERROR(__xludf.DUMMYFUNCTION("""COMPUTED_VALUE"""),"")</f>
        <v/>
      </c>
      <c r="H163" s="53" t="str">
        <f>IFERROR(__xludf.DUMMYFUNCTION("""COMPUTED_VALUE"""),"")</f>
        <v/>
      </c>
      <c r="I163" s="53" t="str">
        <f>IFERROR(__xludf.DUMMYFUNCTION("""COMPUTED_VALUE"""),"")</f>
        <v/>
      </c>
      <c r="J163" s="53" t="str">
        <f>IFERROR(__xludf.DUMMYFUNCTION("""COMPUTED_VALUE"""),"")</f>
        <v/>
      </c>
      <c r="K163" s="54" t="str">
        <f>IFERROR(__xludf.DUMMYFUNCTION("""COMPUTED_VALUE"""),"")</f>
        <v/>
      </c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6"/>
      <c r="W163" s="56"/>
      <c r="X163" s="56"/>
      <c r="Y163" s="56"/>
      <c r="Z163" s="57"/>
      <c r="AA163" s="58"/>
      <c r="AB163" s="59"/>
    </row>
    <row r="164" ht="13.5" customHeight="1">
      <c r="A164" s="60" t="str">
        <f>IFERROR(__xludf.DUMMYFUNCTION("""COMPUTED_VALUE"""),"")</f>
        <v/>
      </c>
      <c r="B164" s="64" t="str">
        <f>IFERROR(__xludf.DUMMYFUNCTION("""COMPUTED_VALUE"""),"")</f>
        <v/>
      </c>
      <c r="C164" s="63" t="str">
        <f>IFERROR(__xludf.DUMMYFUNCTION("""COMPUTED_VALUE"""),"")</f>
        <v/>
      </c>
      <c r="D164" s="63" t="str">
        <f>IFERROR(__xludf.DUMMYFUNCTION("""COMPUTED_VALUE"""),"")</f>
        <v/>
      </c>
      <c r="E164" s="51" t="str">
        <f>IFERROR(__xludf.DUMMYFUNCTION("""COMPUTED_VALUE"""),"")</f>
        <v/>
      </c>
      <c r="F164" s="82" t="str">
        <f>IFERROR(__xludf.DUMMYFUNCTION("""COMPUTED_VALUE"""),"")</f>
        <v/>
      </c>
      <c r="G164" s="52" t="str">
        <f>IFERROR(__xludf.DUMMYFUNCTION("""COMPUTED_VALUE"""),"")</f>
        <v/>
      </c>
      <c r="H164" s="53" t="str">
        <f>IFERROR(__xludf.DUMMYFUNCTION("""COMPUTED_VALUE"""),"")</f>
        <v/>
      </c>
      <c r="I164" s="53" t="str">
        <f>IFERROR(__xludf.DUMMYFUNCTION("""COMPUTED_VALUE"""),"")</f>
        <v/>
      </c>
      <c r="J164" s="53" t="str">
        <f>IFERROR(__xludf.DUMMYFUNCTION("""COMPUTED_VALUE"""),"")</f>
        <v/>
      </c>
      <c r="K164" s="54" t="str">
        <f>IFERROR(__xludf.DUMMYFUNCTION("""COMPUTED_VALUE"""),"")</f>
        <v/>
      </c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6"/>
      <c r="W164" s="56"/>
      <c r="X164" s="56"/>
      <c r="Y164" s="56"/>
      <c r="Z164" s="57"/>
      <c r="AA164" s="58"/>
      <c r="AB164" s="59"/>
    </row>
    <row r="165" ht="13.5" customHeight="1">
      <c r="A165" s="60" t="str">
        <f>IFERROR(__xludf.DUMMYFUNCTION("""COMPUTED_VALUE"""),"")</f>
        <v/>
      </c>
      <c r="B165" s="64" t="str">
        <f>IFERROR(__xludf.DUMMYFUNCTION("""COMPUTED_VALUE"""),"")</f>
        <v/>
      </c>
      <c r="C165" s="63" t="str">
        <f>IFERROR(__xludf.DUMMYFUNCTION("""COMPUTED_VALUE"""),"")</f>
        <v/>
      </c>
      <c r="D165" s="63" t="str">
        <f>IFERROR(__xludf.DUMMYFUNCTION("""COMPUTED_VALUE"""),"")</f>
        <v/>
      </c>
      <c r="E165" s="51" t="str">
        <f>IFERROR(__xludf.DUMMYFUNCTION("""COMPUTED_VALUE"""),"")</f>
        <v/>
      </c>
      <c r="F165" s="82" t="str">
        <f>IFERROR(__xludf.DUMMYFUNCTION("""COMPUTED_VALUE"""),"")</f>
        <v/>
      </c>
      <c r="G165" s="52" t="str">
        <f>IFERROR(__xludf.DUMMYFUNCTION("""COMPUTED_VALUE"""),"")</f>
        <v/>
      </c>
      <c r="H165" s="53" t="str">
        <f>IFERROR(__xludf.DUMMYFUNCTION("""COMPUTED_VALUE"""),"")</f>
        <v/>
      </c>
      <c r="I165" s="53" t="str">
        <f>IFERROR(__xludf.DUMMYFUNCTION("""COMPUTED_VALUE"""),"")</f>
        <v/>
      </c>
      <c r="J165" s="53" t="str">
        <f>IFERROR(__xludf.DUMMYFUNCTION("""COMPUTED_VALUE"""),"")</f>
        <v/>
      </c>
      <c r="K165" s="54" t="str">
        <f>IFERROR(__xludf.DUMMYFUNCTION("""COMPUTED_VALUE"""),"")</f>
        <v/>
      </c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6"/>
      <c r="W165" s="56"/>
      <c r="X165" s="56"/>
      <c r="Y165" s="56"/>
      <c r="Z165" s="57"/>
      <c r="AA165" s="58"/>
      <c r="AB165" s="59"/>
    </row>
    <row r="166" ht="13.5" customHeight="1">
      <c r="A166" s="60" t="str">
        <f>IFERROR(__xludf.DUMMYFUNCTION("""COMPUTED_VALUE"""),"")</f>
        <v/>
      </c>
      <c r="B166" s="64" t="str">
        <f>IFERROR(__xludf.DUMMYFUNCTION("""COMPUTED_VALUE"""),"")</f>
        <v/>
      </c>
      <c r="C166" s="63" t="str">
        <f>IFERROR(__xludf.DUMMYFUNCTION("""COMPUTED_VALUE"""),"")</f>
        <v/>
      </c>
      <c r="D166" s="63" t="str">
        <f>IFERROR(__xludf.DUMMYFUNCTION("""COMPUTED_VALUE"""),"")</f>
        <v/>
      </c>
      <c r="E166" s="51" t="str">
        <f>IFERROR(__xludf.DUMMYFUNCTION("""COMPUTED_VALUE"""),"")</f>
        <v/>
      </c>
      <c r="F166" s="82" t="str">
        <f>IFERROR(__xludf.DUMMYFUNCTION("""COMPUTED_VALUE"""),"")</f>
        <v/>
      </c>
      <c r="G166" s="52" t="str">
        <f>IFERROR(__xludf.DUMMYFUNCTION("""COMPUTED_VALUE"""),"")</f>
        <v/>
      </c>
      <c r="H166" s="53" t="str">
        <f>IFERROR(__xludf.DUMMYFUNCTION("""COMPUTED_VALUE"""),"")</f>
        <v/>
      </c>
      <c r="I166" s="53" t="str">
        <f>IFERROR(__xludf.DUMMYFUNCTION("""COMPUTED_VALUE"""),"")</f>
        <v/>
      </c>
      <c r="J166" s="53" t="str">
        <f>IFERROR(__xludf.DUMMYFUNCTION("""COMPUTED_VALUE"""),"")</f>
        <v/>
      </c>
      <c r="K166" s="54" t="str">
        <f>IFERROR(__xludf.DUMMYFUNCTION("""COMPUTED_VALUE"""),"")</f>
        <v/>
      </c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6"/>
      <c r="W166" s="56"/>
      <c r="X166" s="56"/>
      <c r="Y166" s="56"/>
      <c r="Z166" s="57"/>
      <c r="AA166" s="58"/>
      <c r="AB166" s="59"/>
    </row>
    <row r="167" ht="13.5" customHeight="1">
      <c r="A167" s="60" t="str">
        <f>IFERROR(__xludf.DUMMYFUNCTION("""COMPUTED_VALUE"""),"")</f>
        <v/>
      </c>
      <c r="B167" s="64" t="str">
        <f>IFERROR(__xludf.DUMMYFUNCTION("""COMPUTED_VALUE"""),"")</f>
        <v/>
      </c>
      <c r="C167" s="63" t="str">
        <f>IFERROR(__xludf.DUMMYFUNCTION("""COMPUTED_VALUE"""),"")</f>
        <v/>
      </c>
      <c r="D167" s="63" t="str">
        <f>IFERROR(__xludf.DUMMYFUNCTION("""COMPUTED_VALUE"""),"")</f>
        <v/>
      </c>
      <c r="E167" s="51" t="str">
        <f>IFERROR(__xludf.DUMMYFUNCTION("""COMPUTED_VALUE"""),"")</f>
        <v/>
      </c>
      <c r="F167" s="82" t="str">
        <f>IFERROR(__xludf.DUMMYFUNCTION("""COMPUTED_VALUE"""),"")</f>
        <v/>
      </c>
      <c r="G167" s="52" t="str">
        <f>IFERROR(__xludf.DUMMYFUNCTION("""COMPUTED_VALUE"""),"")</f>
        <v/>
      </c>
      <c r="H167" s="53" t="str">
        <f>IFERROR(__xludf.DUMMYFUNCTION("""COMPUTED_VALUE"""),"")</f>
        <v/>
      </c>
      <c r="I167" s="53" t="str">
        <f>IFERROR(__xludf.DUMMYFUNCTION("""COMPUTED_VALUE"""),"")</f>
        <v/>
      </c>
      <c r="J167" s="53" t="str">
        <f>IFERROR(__xludf.DUMMYFUNCTION("""COMPUTED_VALUE"""),"")</f>
        <v/>
      </c>
      <c r="K167" s="54" t="str">
        <f>IFERROR(__xludf.DUMMYFUNCTION("""COMPUTED_VALUE"""),"")</f>
        <v/>
      </c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6"/>
      <c r="W167" s="56"/>
      <c r="X167" s="56"/>
      <c r="Y167" s="56"/>
      <c r="Z167" s="57"/>
      <c r="AA167" s="58"/>
      <c r="AB167" s="59"/>
    </row>
    <row r="168" ht="13.5" customHeight="1">
      <c r="A168" s="60" t="str">
        <f>IFERROR(__xludf.DUMMYFUNCTION("""COMPUTED_VALUE"""),"")</f>
        <v/>
      </c>
      <c r="B168" s="64" t="str">
        <f>IFERROR(__xludf.DUMMYFUNCTION("""COMPUTED_VALUE"""),"")</f>
        <v/>
      </c>
      <c r="C168" s="63" t="str">
        <f>IFERROR(__xludf.DUMMYFUNCTION("""COMPUTED_VALUE"""),"")</f>
        <v/>
      </c>
      <c r="D168" s="63" t="str">
        <f>IFERROR(__xludf.DUMMYFUNCTION("""COMPUTED_VALUE"""),"")</f>
        <v/>
      </c>
      <c r="E168" s="51" t="str">
        <f>IFERROR(__xludf.DUMMYFUNCTION("""COMPUTED_VALUE"""),"")</f>
        <v/>
      </c>
      <c r="F168" s="82" t="str">
        <f>IFERROR(__xludf.DUMMYFUNCTION("""COMPUTED_VALUE"""),"")</f>
        <v/>
      </c>
      <c r="G168" s="52" t="str">
        <f>IFERROR(__xludf.DUMMYFUNCTION("""COMPUTED_VALUE"""),"")</f>
        <v/>
      </c>
      <c r="H168" s="53" t="str">
        <f>IFERROR(__xludf.DUMMYFUNCTION("""COMPUTED_VALUE"""),"")</f>
        <v/>
      </c>
      <c r="I168" s="53" t="str">
        <f>IFERROR(__xludf.DUMMYFUNCTION("""COMPUTED_VALUE"""),"")</f>
        <v/>
      </c>
      <c r="J168" s="53" t="str">
        <f>IFERROR(__xludf.DUMMYFUNCTION("""COMPUTED_VALUE"""),"")</f>
        <v/>
      </c>
      <c r="K168" s="54" t="str">
        <f>IFERROR(__xludf.DUMMYFUNCTION("""COMPUTED_VALUE"""),"")</f>
        <v/>
      </c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6"/>
      <c r="W168" s="56"/>
      <c r="X168" s="56"/>
      <c r="Y168" s="56"/>
      <c r="Z168" s="57"/>
      <c r="AA168" s="58"/>
      <c r="AB168" s="59"/>
    </row>
    <row r="169" ht="13.5" customHeight="1">
      <c r="A169" s="60" t="str">
        <f>IFERROR(__xludf.DUMMYFUNCTION("""COMPUTED_VALUE"""),"")</f>
        <v/>
      </c>
      <c r="B169" s="64" t="str">
        <f>IFERROR(__xludf.DUMMYFUNCTION("""COMPUTED_VALUE"""),"")</f>
        <v/>
      </c>
      <c r="C169" s="63" t="str">
        <f>IFERROR(__xludf.DUMMYFUNCTION("""COMPUTED_VALUE"""),"")</f>
        <v/>
      </c>
      <c r="D169" s="63" t="str">
        <f>IFERROR(__xludf.DUMMYFUNCTION("""COMPUTED_VALUE"""),"")</f>
        <v/>
      </c>
      <c r="E169" s="51" t="str">
        <f>IFERROR(__xludf.DUMMYFUNCTION("""COMPUTED_VALUE"""),"")</f>
        <v/>
      </c>
      <c r="F169" s="82" t="str">
        <f>IFERROR(__xludf.DUMMYFUNCTION("""COMPUTED_VALUE"""),"")</f>
        <v/>
      </c>
      <c r="G169" s="52" t="str">
        <f>IFERROR(__xludf.DUMMYFUNCTION("""COMPUTED_VALUE"""),"")</f>
        <v/>
      </c>
      <c r="H169" s="53" t="str">
        <f>IFERROR(__xludf.DUMMYFUNCTION("""COMPUTED_VALUE"""),"")</f>
        <v/>
      </c>
      <c r="I169" s="53" t="str">
        <f>IFERROR(__xludf.DUMMYFUNCTION("""COMPUTED_VALUE"""),"")</f>
        <v/>
      </c>
      <c r="J169" s="53" t="str">
        <f>IFERROR(__xludf.DUMMYFUNCTION("""COMPUTED_VALUE"""),"")</f>
        <v/>
      </c>
      <c r="K169" s="54" t="str">
        <f>IFERROR(__xludf.DUMMYFUNCTION("""COMPUTED_VALUE"""),"")</f>
        <v/>
      </c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6"/>
      <c r="W169" s="56"/>
      <c r="X169" s="56"/>
      <c r="Y169" s="56"/>
      <c r="Z169" s="57"/>
      <c r="AA169" s="58"/>
      <c r="AB169" s="59"/>
    </row>
    <row r="170" ht="13.5" customHeight="1">
      <c r="A170" s="60" t="str">
        <f>IFERROR(__xludf.DUMMYFUNCTION("""COMPUTED_VALUE"""),"")</f>
        <v/>
      </c>
      <c r="B170" s="64" t="str">
        <f>IFERROR(__xludf.DUMMYFUNCTION("""COMPUTED_VALUE"""),"")</f>
        <v/>
      </c>
      <c r="C170" s="63" t="str">
        <f>IFERROR(__xludf.DUMMYFUNCTION("""COMPUTED_VALUE"""),"")</f>
        <v/>
      </c>
      <c r="D170" s="63" t="str">
        <f>IFERROR(__xludf.DUMMYFUNCTION("""COMPUTED_VALUE"""),"")</f>
        <v/>
      </c>
      <c r="E170" s="51" t="str">
        <f>IFERROR(__xludf.DUMMYFUNCTION("""COMPUTED_VALUE"""),"")</f>
        <v/>
      </c>
      <c r="F170" s="82" t="str">
        <f>IFERROR(__xludf.DUMMYFUNCTION("""COMPUTED_VALUE"""),"")</f>
        <v/>
      </c>
      <c r="G170" s="52" t="str">
        <f>IFERROR(__xludf.DUMMYFUNCTION("""COMPUTED_VALUE"""),"")</f>
        <v/>
      </c>
      <c r="H170" s="53" t="str">
        <f>IFERROR(__xludf.DUMMYFUNCTION("""COMPUTED_VALUE"""),"")</f>
        <v/>
      </c>
      <c r="I170" s="53" t="str">
        <f>IFERROR(__xludf.DUMMYFUNCTION("""COMPUTED_VALUE"""),"")</f>
        <v/>
      </c>
      <c r="J170" s="53" t="str">
        <f>IFERROR(__xludf.DUMMYFUNCTION("""COMPUTED_VALUE"""),"")</f>
        <v/>
      </c>
      <c r="K170" s="54" t="str">
        <f>IFERROR(__xludf.DUMMYFUNCTION("""COMPUTED_VALUE"""),"")</f>
        <v/>
      </c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6"/>
      <c r="W170" s="56"/>
      <c r="X170" s="56"/>
      <c r="Y170" s="56"/>
      <c r="Z170" s="57"/>
      <c r="AA170" s="58"/>
      <c r="AB170" s="58"/>
    </row>
    <row r="171" ht="13.5" customHeight="1">
      <c r="A171" s="60" t="str">
        <f>IFERROR(__xludf.DUMMYFUNCTION("""COMPUTED_VALUE"""),"")</f>
        <v/>
      </c>
      <c r="B171" s="64" t="str">
        <f>IFERROR(__xludf.DUMMYFUNCTION("""COMPUTED_VALUE"""),"")</f>
        <v/>
      </c>
      <c r="C171" s="63" t="str">
        <f>IFERROR(__xludf.DUMMYFUNCTION("""COMPUTED_VALUE"""),"")</f>
        <v/>
      </c>
      <c r="D171" s="63" t="str">
        <f>IFERROR(__xludf.DUMMYFUNCTION("""COMPUTED_VALUE"""),"")</f>
        <v/>
      </c>
      <c r="E171" s="51" t="str">
        <f>IFERROR(__xludf.DUMMYFUNCTION("""COMPUTED_VALUE"""),"")</f>
        <v/>
      </c>
      <c r="F171" s="82" t="str">
        <f>IFERROR(__xludf.DUMMYFUNCTION("""COMPUTED_VALUE"""),"")</f>
        <v/>
      </c>
      <c r="G171" s="52" t="str">
        <f>IFERROR(__xludf.DUMMYFUNCTION("""COMPUTED_VALUE"""),"")</f>
        <v/>
      </c>
      <c r="H171" s="53" t="str">
        <f>IFERROR(__xludf.DUMMYFUNCTION("""COMPUTED_VALUE"""),"")</f>
        <v/>
      </c>
      <c r="I171" s="53" t="str">
        <f>IFERROR(__xludf.DUMMYFUNCTION("""COMPUTED_VALUE"""),"")</f>
        <v/>
      </c>
      <c r="J171" s="53" t="str">
        <f>IFERROR(__xludf.DUMMYFUNCTION("""COMPUTED_VALUE"""),"")</f>
        <v/>
      </c>
      <c r="K171" s="54" t="str">
        <f>IFERROR(__xludf.DUMMYFUNCTION("""COMPUTED_VALUE"""),"")</f>
        <v/>
      </c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6"/>
      <c r="W171" s="56"/>
      <c r="X171" s="56"/>
      <c r="Y171" s="56"/>
      <c r="Z171" s="57"/>
      <c r="AA171" s="58"/>
      <c r="AB171" s="58"/>
    </row>
    <row r="172" ht="13.5" customHeight="1">
      <c r="A172" s="60" t="str">
        <f>IFERROR(__xludf.DUMMYFUNCTION("""COMPUTED_VALUE"""),"")</f>
        <v/>
      </c>
      <c r="B172" s="64" t="str">
        <f>IFERROR(__xludf.DUMMYFUNCTION("""COMPUTED_VALUE"""),"")</f>
        <v/>
      </c>
      <c r="C172" s="63" t="str">
        <f>IFERROR(__xludf.DUMMYFUNCTION("""COMPUTED_VALUE"""),"")</f>
        <v/>
      </c>
      <c r="D172" s="63" t="str">
        <f>IFERROR(__xludf.DUMMYFUNCTION("""COMPUTED_VALUE"""),"")</f>
        <v/>
      </c>
      <c r="E172" s="51" t="str">
        <f>IFERROR(__xludf.DUMMYFUNCTION("""COMPUTED_VALUE"""),"")</f>
        <v/>
      </c>
      <c r="F172" s="82" t="str">
        <f>IFERROR(__xludf.DUMMYFUNCTION("""COMPUTED_VALUE"""),"")</f>
        <v/>
      </c>
      <c r="G172" s="52" t="str">
        <f>IFERROR(__xludf.DUMMYFUNCTION("""COMPUTED_VALUE"""),"")</f>
        <v/>
      </c>
      <c r="H172" s="53" t="str">
        <f>IFERROR(__xludf.DUMMYFUNCTION("""COMPUTED_VALUE"""),"")</f>
        <v/>
      </c>
      <c r="I172" s="53" t="str">
        <f>IFERROR(__xludf.DUMMYFUNCTION("""COMPUTED_VALUE"""),"")</f>
        <v/>
      </c>
      <c r="J172" s="53" t="str">
        <f>IFERROR(__xludf.DUMMYFUNCTION("""COMPUTED_VALUE"""),"")</f>
        <v/>
      </c>
      <c r="K172" s="54" t="str">
        <f>IFERROR(__xludf.DUMMYFUNCTION("""COMPUTED_VALUE"""),"")</f>
        <v/>
      </c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6"/>
      <c r="W172" s="56"/>
      <c r="X172" s="56"/>
      <c r="Y172" s="56"/>
      <c r="Z172" s="57"/>
      <c r="AA172" s="58"/>
      <c r="AB172" s="58"/>
    </row>
    <row r="173" ht="13.5" customHeight="1">
      <c r="A173" s="60" t="str">
        <f>IFERROR(__xludf.DUMMYFUNCTION("""COMPUTED_VALUE"""),"")</f>
        <v/>
      </c>
      <c r="B173" s="64" t="str">
        <f>IFERROR(__xludf.DUMMYFUNCTION("""COMPUTED_VALUE"""),"")</f>
        <v/>
      </c>
      <c r="C173" s="63" t="str">
        <f>IFERROR(__xludf.DUMMYFUNCTION("""COMPUTED_VALUE"""),"")</f>
        <v/>
      </c>
      <c r="D173" s="63" t="str">
        <f>IFERROR(__xludf.DUMMYFUNCTION("""COMPUTED_VALUE"""),"")</f>
        <v/>
      </c>
      <c r="E173" s="51" t="str">
        <f>IFERROR(__xludf.DUMMYFUNCTION("""COMPUTED_VALUE"""),"")</f>
        <v/>
      </c>
      <c r="F173" s="82" t="str">
        <f>IFERROR(__xludf.DUMMYFUNCTION("""COMPUTED_VALUE"""),"")</f>
        <v/>
      </c>
      <c r="G173" s="52" t="str">
        <f>IFERROR(__xludf.DUMMYFUNCTION("""COMPUTED_VALUE"""),"")</f>
        <v/>
      </c>
      <c r="H173" s="53" t="str">
        <f>IFERROR(__xludf.DUMMYFUNCTION("""COMPUTED_VALUE"""),"")</f>
        <v/>
      </c>
      <c r="I173" s="53" t="str">
        <f>IFERROR(__xludf.DUMMYFUNCTION("""COMPUTED_VALUE"""),"")</f>
        <v/>
      </c>
      <c r="J173" s="53" t="str">
        <f>IFERROR(__xludf.DUMMYFUNCTION("""COMPUTED_VALUE"""),"")</f>
        <v/>
      </c>
      <c r="K173" s="54" t="str">
        <f>IFERROR(__xludf.DUMMYFUNCTION("""COMPUTED_VALUE"""),"")</f>
        <v/>
      </c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6"/>
      <c r="W173" s="56"/>
      <c r="X173" s="56"/>
      <c r="Y173" s="56"/>
      <c r="Z173" s="57"/>
      <c r="AA173" s="58"/>
      <c r="AB173" s="58"/>
    </row>
    <row r="174" ht="13.5" customHeight="1">
      <c r="A174" s="60" t="str">
        <f>IFERROR(__xludf.DUMMYFUNCTION("""COMPUTED_VALUE"""),"")</f>
        <v/>
      </c>
      <c r="B174" s="64" t="str">
        <f>IFERROR(__xludf.DUMMYFUNCTION("""COMPUTED_VALUE"""),"")</f>
        <v/>
      </c>
      <c r="C174" s="63" t="str">
        <f>IFERROR(__xludf.DUMMYFUNCTION("""COMPUTED_VALUE"""),"")</f>
        <v/>
      </c>
      <c r="D174" s="63" t="str">
        <f>IFERROR(__xludf.DUMMYFUNCTION("""COMPUTED_VALUE"""),"")</f>
        <v/>
      </c>
      <c r="E174" s="51" t="str">
        <f>IFERROR(__xludf.DUMMYFUNCTION("""COMPUTED_VALUE"""),"")</f>
        <v/>
      </c>
      <c r="F174" s="82" t="str">
        <f>IFERROR(__xludf.DUMMYFUNCTION("""COMPUTED_VALUE"""),"")</f>
        <v/>
      </c>
      <c r="G174" s="52" t="str">
        <f>IFERROR(__xludf.DUMMYFUNCTION("""COMPUTED_VALUE"""),"")</f>
        <v/>
      </c>
      <c r="H174" s="53" t="str">
        <f>IFERROR(__xludf.DUMMYFUNCTION("""COMPUTED_VALUE"""),"")</f>
        <v/>
      </c>
      <c r="I174" s="53" t="str">
        <f>IFERROR(__xludf.DUMMYFUNCTION("""COMPUTED_VALUE"""),"")</f>
        <v/>
      </c>
      <c r="J174" s="53" t="str">
        <f>IFERROR(__xludf.DUMMYFUNCTION("""COMPUTED_VALUE"""),"")</f>
        <v/>
      </c>
      <c r="K174" s="54" t="str">
        <f>IFERROR(__xludf.DUMMYFUNCTION("""COMPUTED_VALUE"""),"")</f>
        <v/>
      </c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6"/>
      <c r="W174" s="56"/>
      <c r="X174" s="56"/>
      <c r="Y174" s="56"/>
      <c r="Z174" s="57"/>
      <c r="AA174" s="58"/>
      <c r="AB174" s="58"/>
    </row>
    <row r="175" ht="13.5" customHeight="1">
      <c r="A175" s="60" t="str">
        <f>IFERROR(__xludf.DUMMYFUNCTION("""COMPUTED_VALUE"""),"")</f>
        <v/>
      </c>
      <c r="B175" s="64" t="str">
        <f>IFERROR(__xludf.DUMMYFUNCTION("""COMPUTED_VALUE"""),"")</f>
        <v/>
      </c>
      <c r="C175" s="63" t="str">
        <f>IFERROR(__xludf.DUMMYFUNCTION("""COMPUTED_VALUE"""),"")</f>
        <v/>
      </c>
      <c r="D175" s="63" t="str">
        <f>IFERROR(__xludf.DUMMYFUNCTION("""COMPUTED_VALUE"""),"")</f>
        <v/>
      </c>
      <c r="E175" s="51" t="str">
        <f>IFERROR(__xludf.DUMMYFUNCTION("""COMPUTED_VALUE"""),"")</f>
        <v/>
      </c>
      <c r="F175" s="82" t="str">
        <f>IFERROR(__xludf.DUMMYFUNCTION("""COMPUTED_VALUE"""),"")</f>
        <v/>
      </c>
      <c r="G175" s="52" t="str">
        <f>IFERROR(__xludf.DUMMYFUNCTION("""COMPUTED_VALUE"""),"")</f>
        <v/>
      </c>
      <c r="H175" s="53" t="str">
        <f>IFERROR(__xludf.DUMMYFUNCTION("""COMPUTED_VALUE"""),"")</f>
        <v/>
      </c>
      <c r="I175" s="53" t="str">
        <f>IFERROR(__xludf.DUMMYFUNCTION("""COMPUTED_VALUE"""),"")</f>
        <v/>
      </c>
      <c r="J175" s="53" t="str">
        <f>IFERROR(__xludf.DUMMYFUNCTION("""COMPUTED_VALUE"""),"")</f>
        <v/>
      </c>
      <c r="K175" s="54" t="str">
        <f>IFERROR(__xludf.DUMMYFUNCTION("""COMPUTED_VALUE"""),"")</f>
        <v/>
      </c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6"/>
      <c r="W175" s="56"/>
      <c r="X175" s="56"/>
      <c r="Y175" s="56"/>
      <c r="Z175" s="57"/>
      <c r="AA175" s="58"/>
      <c r="AB175" s="58"/>
    </row>
    <row r="176" ht="13.5" customHeight="1">
      <c r="A176" s="60" t="str">
        <f>IFERROR(__xludf.DUMMYFUNCTION("""COMPUTED_VALUE"""),"")</f>
        <v/>
      </c>
      <c r="B176" s="64" t="str">
        <f>IFERROR(__xludf.DUMMYFUNCTION("""COMPUTED_VALUE"""),"")</f>
        <v/>
      </c>
      <c r="C176" s="63" t="str">
        <f>IFERROR(__xludf.DUMMYFUNCTION("""COMPUTED_VALUE"""),"")</f>
        <v/>
      </c>
      <c r="D176" s="63" t="str">
        <f>IFERROR(__xludf.DUMMYFUNCTION("""COMPUTED_VALUE"""),"")</f>
        <v/>
      </c>
      <c r="E176" s="51" t="str">
        <f>IFERROR(__xludf.DUMMYFUNCTION("""COMPUTED_VALUE"""),"")</f>
        <v/>
      </c>
      <c r="F176" s="82" t="str">
        <f>IFERROR(__xludf.DUMMYFUNCTION("""COMPUTED_VALUE"""),"")</f>
        <v/>
      </c>
      <c r="G176" s="52" t="str">
        <f>IFERROR(__xludf.DUMMYFUNCTION("""COMPUTED_VALUE"""),"")</f>
        <v/>
      </c>
      <c r="H176" s="53" t="str">
        <f>IFERROR(__xludf.DUMMYFUNCTION("""COMPUTED_VALUE"""),"")</f>
        <v/>
      </c>
      <c r="I176" s="53" t="str">
        <f>IFERROR(__xludf.DUMMYFUNCTION("""COMPUTED_VALUE"""),"")</f>
        <v/>
      </c>
      <c r="J176" s="53" t="str">
        <f>IFERROR(__xludf.DUMMYFUNCTION("""COMPUTED_VALUE"""),"")</f>
        <v/>
      </c>
      <c r="K176" s="54" t="str">
        <f>IFERROR(__xludf.DUMMYFUNCTION("""COMPUTED_VALUE"""),"")</f>
        <v/>
      </c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6"/>
      <c r="W176" s="56"/>
      <c r="X176" s="56"/>
      <c r="Y176" s="56"/>
      <c r="Z176" s="57"/>
      <c r="AA176" s="58"/>
      <c r="AB176" s="58"/>
    </row>
    <row r="177" ht="13.5" customHeight="1">
      <c r="A177" s="60" t="str">
        <f>IFERROR(__xludf.DUMMYFUNCTION("""COMPUTED_VALUE"""),"")</f>
        <v/>
      </c>
      <c r="B177" s="64" t="str">
        <f>IFERROR(__xludf.DUMMYFUNCTION("""COMPUTED_VALUE"""),"")</f>
        <v/>
      </c>
      <c r="C177" s="63" t="str">
        <f>IFERROR(__xludf.DUMMYFUNCTION("""COMPUTED_VALUE"""),"")</f>
        <v/>
      </c>
      <c r="D177" s="63" t="str">
        <f>IFERROR(__xludf.DUMMYFUNCTION("""COMPUTED_VALUE"""),"")</f>
        <v/>
      </c>
      <c r="E177" s="51" t="str">
        <f>IFERROR(__xludf.DUMMYFUNCTION("""COMPUTED_VALUE"""),"")</f>
        <v/>
      </c>
      <c r="F177" s="82" t="str">
        <f>IFERROR(__xludf.DUMMYFUNCTION("""COMPUTED_VALUE"""),"")</f>
        <v/>
      </c>
      <c r="G177" s="52" t="str">
        <f>IFERROR(__xludf.DUMMYFUNCTION("""COMPUTED_VALUE"""),"")</f>
        <v/>
      </c>
      <c r="H177" s="53" t="str">
        <f>IFERROR(__xludf.DUMMYFUNCTION("""COMPUTED_VALUE"""),"")</f>
        <v/>
      </c>
      <c r="I177" s="53" t="str">
        <f>IFERROR(__xludf.DUMMYFUNCTION("""COMPUTED_VALUE"""),"")</f>
        <v/>
      </c>
      <c r="J177" s="53" t="str">
        <f>IFERROR(__xludf.DUMMYFUNCTION("""COMPUTED_VALUE"""),"")</f>
        <v/>
      </c>
      <c r="K177" s="54" t="str">
        <f>IFERROR(__xludf.DUMMYFUNCTION("""COMPUTED_VALUE"""),"")</f>
        <v/>
      </c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6"/>
      <c r="W177" s="56"/>
      <c r="X177" s="56"/>
      <c r="Y177" s="56"/>
      <c r="Z177" s="57"/>
      <c r="AA177" s="58"/>
      <c r="AB177" s="58"/>
    </row>
    <row r="178" ht="13.5" customHeight="1">
      <c r="A178" s="60" t="str">
        <f>IFERROR(__xludf.DUMMYFUNCTION("""COMPUTED_VALUE"""),"")</f>
        <v/>
      </c>
      <c r="B178" s="64" t="str">
        <f>IFERROR(__xludf.DUMMYFUNCTION("""COMPUTED_VALUE"""),"")</f>
        <v/>
      </c>
      <c r="C178" s="63" t="str">
        <f>IFERROR(__xludf.DUMMYFUNCTION("""COMPUTED_VALUE"""),"")</f>
        <v/>
      </c>
      <c r="D178" s="63" t="str">
        <f>IFERROR(__xludf.DUMMYFUNCTION("""COMPUTED_VALUE"""),"")</f>
        <v/>
      </c>
      <c r="E178" s="51" t="str">
        <f>IFERROR(__xludf.DUMMYFUNCTION("""COMPUTED_VALUE"""),"")</f>
        <v/>
      </c>
      <c r="F178" s="82" t="str">
        <f>IFERROR(__xludf.DUMMYFUNCTION("""COMPUTED_VALUE"""),"")</f>
        <v/>
      </c>
      <c r="G178" s="52" t="str">
        <f>IFERROR(__xludf.DUMMYFUNCTION("""COMPUTED_VALUE"""),"")</f>
        <v/>
      </c>
      <c r="H178" s="53" t="str">
        <f>IFERROR(__xludf.DUMMYFUNCTION("""COMPUTED_VALUE"""),"")</f>
        <v/>
      </c>
      <c r="I178" s="53" t="str">
        <f>IFERROR(__xludf.DUMMYFUNCTION("""COMPUTED_VALUE"""),"")</f>
        <v/>
      </c>
      <c r="J178" s="53" t="str">
        <f>IFERROR(__xludf.DUMMYFUNCTION("""COMPUTED_VALUE"""),"")</f>
        <v/>
      </c>
      <c r="K178" s="54" t="str">
        <f>IFERROR(__xludf.DUMMYFUNCTION("""COMPUTED_VALUE"""),"")</f>
        <v/>
      </c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6"/>
      <c r="W178" s="56"/>
      <c r="X178" s="56"/>
      <c r="Y178" s="56"/>
      <c r="Z178" s="57"/>
      <c r="AA178" s="58"/>
      <c r="AB178" s="58"/>
    </row>
    <row r="179" ht="13.5" customHeight="1">
      <c r="A179" s="60" t="str">
        <f>IFERROR(__xludf.DUMMYFUNCTION("""COMPUTED_VALUE"""),"")</f>
        <v/>
      </c>
      <c r="B179" s="64" t="str">
        <f>IFERROR(__xludf.DUMMYFUNCTION("""COMPUTED_VALUE"""),"")</f>
        <v/>
      </c>
      <c r="C179" s="63" t="str">
        <f>IFERROR(__xludf.DUMMYFUNCTION("""COMPUTED_VALUE"""),"")</f>
        <v/>
      </c>
      <c r="D179" s="63" t="str">
        <f>IFERROR(__xludf.DUMMYFUNCTION("""COMPUTED_VALUE"""),"")</f>
        <v/>
      </c>
      <c r="E179" s="51" t="str">
        <f>IFERROR(__xludf.DUMMYFUNCTION("""COMPUTED_VALUE"""),"")</f>
        <v/>
      </c>
      <c r="F179" s="82" t="str">
        <f>IFERROR(__xludf.DUMMYFUNCTION("""COMPUTED_VALUE"""),"")</f>
        <v/>
      </c>
      <c r="G179" s="52" t="str">
        <f>IFERROR(__xludf.DUMMYFUNCTION("""COMPUTED_VALUE"""),"")</f>
        <v/>
      </c>
      <c r="H179" s="53" t="str">
        <f>IFERROR(__xludf.DUMMYFUNCTION("""COMPUTED_VALUE"""),"")</f>
        <v/>
      </c>
      <c r="I179" s="53" t="str">
        <f>IFERROR(__xludf.DUMMYFUNCTION("""COMPUTED_VALUE"""),"")</f>
        <v/>
      </c>
      <c r="J179" s="53" t="str">
        <f>IFERROR(__xludf.DUMMYFUNCTION("""COMPUTED_VALUE"""),"")</f>
        <v/>
      </c>
      <c r="K179" s="54" t="str">
        <f>IFERROR(__xludf.DUMMYFUNCTION("""COMPUTED_VALUE"""),"")</f>
        <v/>
      </c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6"/>
      <c r="W179" s="56"/>
      <c r="X179" s="56"/>
      <c r="Y179" s="56"/>
      <c r="Z179" s="57"/>
      <c r="AA179" s="58"/>
      <c r="AB179" s="58"/>
    </row>
    <row r="180" ht="13.5" customHeight="1">
      <c r="A180" s="60" t="str">
        <f>IFERROR(__xludf.DUMMYFUNCTION("""COMPUTED_VALUE"""),"")</f>
        <v/>
      </c>
      <c r="B180" s="64" t="str">
        <f>IFERROR(__xludf.DUMMYFUNCTION("""COMPUTED_VALUE"""),"")</f>
        <v/>
      </c>
      <c r="C180" s="63" t="str">
        <f>IFERROR(__xludf.DUMMYFUNCTION("""COMPUTED_VALUE"""),"")</f>
        <v/>
      </c>
      <c r="D180" s="63" t="str">
        <f>IFERROR(__xludf.DUMMYFUNCTION("""COMPUTED_VALUE"""),"")</f>
        <v/>
      </c>
      <c r="E180" s="51" t="str">
        <f>IFERROR(__xludf.DUMMYFUNCTION("""COMPUTED_VALUE"""),"")</f>
        <v/>
      </c>
      <c r="F180" s="82" t="str">
        <f>IFERROR(__xludf.DUMMYFUNCTION("""COMPUTED_VALUE"""),"")</f>
        <v/>
      </c>
      <c r="G180" s="52" t="str">
        <f>IFERROR(__xludf.DUMMYFUNCTION("""COMPUTED_VALUE"""),"")</f>
        <v/>
      </c>
      <c r="H180" s="53" t="str">
        <f>IFERROR(__xludf.DUMMYFUNCTION("""COMPUTED_VALUE"""),"")</f>
        <v/>
      </c>
      <c r="I180" s="53" t="str">
        <f>IFERROR(__xludf.DUMMYFUNCTION("""COMPUTED_VALUE"""),"")</f>
        <v/>
      </c>
      <c r="J180" s="53" t="str">
        <f>IFERROR(__xludf.DUMMYFUNCTION("""COMPUTED_VALUE"""),"")</f>
        <v/>
      </c>
      <c r="K180" s="54" t="str">
        <f>IFERROR(__xludf.DUMMYFUNCTION("""COMPUTED_VALUE"""),"")</f>
        <v/>
      </c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6"/>
      <c r="W180" s="56"/>
      <c r="X180" s="56"/>
      <c r="Y180" s="56"/>
      <c r="Z180" s="57"/>
      <c r="AA180" s="58"/>
      <c r="AB180" s="58"/>
    </row>
    <row r="181" ht="13.5" customHeight="1">
      <c r="A181" s="65"/>
      <c r="B181" s="66"/>
      <c r="C181" s="67"/>
      <c r="D181" s="67"/>
      <c r="E181" s="66"/>
      <c r="F181" s="66"/>
      <c r="G181" s="66"/>
      <c r="H181" s="66"/>
      <c r="I181" s="66"/>
      <c r="J181" s="66"/>
      <c r="K181" s="69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6"/>
      <c r="W181" s="56"/>
      <c r="X181" s="56"/>
      <c r="Y181" s="56"/>
      <c r="Z181" s="57"/>
      <c r="AA181" s="58"/>
      <c r="AB181" s="58"/>
    </row>
    <row r="182" ht="13.5" customHeight="1">
      <c r="A182" s="65"/>
      <c r="B182" s="66"/>
      <c r="C182" s="67"/>
      <c r="D182" s="67"/>
      <c r="E182" s="66"/>
      <c r="F182" s="66"/>
      <c r="G182" s="66"/>
      <c r="H182" s="66"/>
      <c r="I182" s="66"/>
      <c r="J182" s="66"/>
      <c r="K182" s="69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6"/>
      <c r="W182" s="56"/>
      <c r="X182" s="56"/>
      <c r="Y182" s="56"/>
      <c r="Z182" s="57"/>
      <c r="AA182" s="58"/>
      <c r="AB182" s="58"/>
    </row>
    <row r="183" ht="15.75" customHeight="1">
      <c r="A183" s="65"/>
      <c r="B183" s="66"/>
      <c r="C183" s="67"/>
      <c r="D183" s="67"/>
      <c r="E183" s="66"/>
      <c r="F183" s="66"/>
      <c r="G183" s="66"/>
      <c r="H183" s="66"/>
      <c r="I183" s="66"/>
      <c r="J183" s="66"/>
      <c r="K183" s="69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7"/>
      <c r="AA183" s="58"/>
      <c r="AB183" s="58"/>
    </row>
    <row r="184" ht="15.75" customHeight="1">
      <c r="A184" s="65"/>
      <c r="B184" s="66"/>
      <c r="C184" s="67"/>
      <c r="D184" s="67"/>
      <c r="E184" s="66"/>
      <c r="F184" s="66"/>
      <c r="G184" s="66"/>
      <c r="H184" s="66"/>
      <c r="I184" s="66"/>
      <c r="J184" s="66"/>
      <c r="K184" s="69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7"/>
      <c r="AA184" s="58"/>
      <c r="AB184" s="58"/>
    </row>
    <row r="185" ht="15.75" customHeight="1">
      <c r="A185" s="65"/>
      <c r="B185" s="66"/>
      <c r="C185" s="67"/>
      <c r="D185" s="67"/>
      <c r="E185" s="66"/>
      <c r="F185" s="66"/>
      <c r="G185" s="66"/>
      <c r="H185" s="66"/>
      <c r="I185" s="66"/>
      <c r="J185" s="66"/>
      <c r="K185" s="69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7"/>
      <c r="AA185" s="58"/>
      <c r="AB185" s="58"/>
    </row>
    <row r="186" ht="15.75" customHeight="1">
      <c r="A186" s="65"/>
      <c r="B186" s="66"/>
      <c r="C186" s="67"/>
      <c r="D186" s="67"/>
      <c r="E186" s="66"/>
      <c r="F186" s="66"/>
      <c r="G186" s="66"/>
      <c r="H186" s="66"/>
      <c r="I186" s="66"/>
      <c r="J186" s="66"/>
      <c r="K186" s="69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7"/>
      <c r="AA186" s="58"/>
      <c r="AB186" s="58"/>
    </row>
    <row r="187" ht="15.75" customHeight="1">
      <c r="A187" s="65"/>
      <c r="B187" s="66"/>
      <c r="C187" s="67"/>
      <c r="D187" s="67"/>
      <c r="E187" s="66"/>
      <c r="F187" s="66"/>
      <c r="G187" s="66"/>
      <c r="H187" s="66"/>
      <c r="I187" s="66"/>
      <c r="J187" s="66"/>
      <c r="K187" s="69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7"/>
      <c r="AA187" s="58"/>
      <c r="AB187" s="58"/>
    </row>
    <row r="188" ht="15.75" customHeight="1">
      <c r="A188" s="65"/>
      <c r="B188" s="66"/>
      <c r="C188" s="67"/>
      <c r="D188" s="67"/>
      <c r="E188" s="66"/>
      <c r="F188" s="66"/>
      <c r="G188" s="66"/>
      <c r="H188" s="66"/>
      <c r="I188" s="66"/>
      <c r="J188" s="66"/>
      <c r="K188" s="69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7"/>
      <c r="AA188" s="58"/>
      <c r="AB188" s="58"/>
    </row>
    <row r="189" ht="15.75" customHeight="1">
      <c r="A189" s="65"/>
      <c r="B189" s="66"/>
      <c r="C189" s="67"/>
      <c r="D189" s="67"/>
      <c r="E189" s="66"/>
      <c r="F189" s="66"/>
      <c r="G189" s="66"/>
      <c r="H189" s="66"/>
      <c r="I189" s="66"/>
      <c r="J189" s="66"/>
      <c r="K189" s="69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7"/>
      <c r="AA189" s="58"/>
      <c r="AB189" s="58"/>
    </row>
    <row r="190" ht="15.75" customHeight="1">
      <c r="A190" s="65"/>
      <c r="B190" s="66"/>
      <c r="C190" s="67"/>
      <c r="D190" s="67"/>
      <c r="E190" s="66"/>
      <c r="F190" s="66"/>
      <c r="G190" s="66"/>
      <c r="H190" s="66"/>
      <c r="I190" s="66"/>
      <c r="J190" s="66"/>
      <c r="K190" s="69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7"/>
      <c r="AA190" s="58"/>
      <c r="AB190" s="58"/>
    </row>
    <row r="191" ht="15.75" customHeight="1">
      <c r="A191" s="65"/>
      <c r="B191" s="66"/>
      <c r="C191" s="67"/>
      <c r="D191" s="67"/>
      <c r="E191" s="66"/>
      <c r="F191" s="66"/>
      <c r="G191" s="66"/>
      <c r="H191" s="66"/>
      <c r="I191" s="66"/>
      <c r="J191" s="66"/>
      <c r="K191" s="69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7"/>
      <c r="AA191" s="58"/>
      <c r="AB191" s="58"/>
    </row>
    <row r="192" ht="15.75" customHeight="1">
      <c r="A192" s="65"/>
      <c r="B192" s="66"/>
      <c r="C192" s="67"/>
      <c r="D192" s="67"/>
      <c r="E192" s="66"/>
      <c r="F192" s="66"/>
      <c r="G192" s="66"/>
      <c r="H192" s="66"/>
      <c r="I192" s="66"/>
      <c r="J192" s="66"/>
      <c r="K192" s="69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7"/>
      <c r="AA192" s="58"/>
      <c r="AB192" s="58"/>
    </row>
    <row r="193" ht="15.75" customHeight="1">
      <c r="A193" s="65"/>
      <c r="B193" s="66"/>
      <c r="C193" s="67"/>
      <c r="D193" s="67"/>
      <c r="E193" s="66"/>
      <c r="F193" s="66"/>
      <c r="G193" s="66"/>
      <c r="H193" s="66"/>
      <c r="I193" s="66"/>
      <c r="J193" s="66"/>
      <c r="K193" s="69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7"/>
      <c r="AA193" s="58"/>
      <c r="AB193" s="58"/>
    </row>
    <row r="194" ht="15.75" customHeight="1">
      <c r="A194" s="65"/>
      <c r="B194" s="66"/>
      <c r="C194" s="67"/>
      <c r="D194" s="67"/>
      <c r="E194" s="66"/>
      <c r="F194" s="66"/>
      <c r="G194" s="66"/>
      <c r="H194" s="66"/>
      <c r="I194" s="66"/>
      <c r="J194" s="66"/>
      <c r="K194" s="69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7"/>
      <c r="AA194" s="58"/>
      <c r="AB194" s="58"/>
    </row>
    <row r="195" ht="15.75" customHeight="1">
      <c r="A195" s="65"/>
      <c r="B195" s="66"/>
      <c r="C195" s="67"/>
      <c r="D195" s="67"/>
      <c r="E195" s="66"/>
      <c r="F195" s="66"/>
      <c r="G195" s="66"/>
      <c r="H195" s="66"/>
      <c r="I195" s="66"/>
      <c r="J195" s="66"/>
      <c r="K195" s="69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7"/>
      <c r="AA195" s="58"/>
      <c r="AB195" s="58"/>
    </row>
    <row r="196" ht="15.75" customHeight="1">
      <c r="A196" s="65"/>
      <c r="B196" s="66"/>
      <c r="C196" s="67"/>
      <c r="D196" s="67"/>
      <c r="E196" s="66"/>
      <c r="F196" s="66"/>
      <c r="G196" s="66"/>
      <c r="H196" s="66"/>
      <c r="I196" s="66"/>
      <c r="J196" s="66"/>
      <c r="K196" s="69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7"/>
      <c r="AA196" s="58"/>
      <c r="AB196" s="58"/>
    </row>
    <row r="197" ht="15.75" customHeight="1">
      <c r="A197" s="65"/>
      <c r="B197" s="66"/>
      <c r="C197" s="67"/>
      <c r="D197" s="67"/>
      <c r="E197" s="66"/>
      <c r="F197" s="66"/>
      <c r="G197" s="66"/>
      <c r="H197" s="66"/>
      <c r="I197" s="66"/>
      <c r="J197" s="66"/>
      <c r="K197" s="69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7"/>
      <c r="AA197" s="58"/>
      <c r="AB197" s="58"/>
    </row>
    <row r="198" ht="15.75" customHeight="1">
      <c r="A198" s="65"/>
      <c r="B198" s="66"/>
      <c r="C198" s="67"/>
      <c r="D198" s="67"/>
      <c r="E198" s="66"/>
      <c r="F198" s="66"/>
      <c r="G198" s="66"/>
      <c r="H198" s="66"/>
      <c r="I198" s="66"/>
      <c r="J198" s="66"/>
      <c r="K198" s="69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7"/>
      <c r="AA198" s="58"/>
      <c r="AB198" s="58"/>
    </row>
    <row r="199" ht="15.75" customHeight="1">
      <c r="A199" s="65"/>
      <c r="B199" s="66"/>
      <c r="C199" s="67"/>
      <c r="D199" s="67"/>
      <c r="E199" s="66"/>
      <c r="F199" s="66"/>
      <c r="G199" s="66"/>
      <c r="H199" s="66"/>
      <c r="I199" s="66"/>
      <c r="J199" s="66"/>
      <c r="K199" s="69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7"/>
      <c r="AA199" s="58"/>
      <c r="AB199" s="58"/>
    </row>
    <row r="200" ht="15.75" customHeight="1">
      <c r="A200" s="65"/>
      <c r="B200" s="66"/>
      <c r="C200" s="67"/>
      <c r="D200" s="67"/>
      <c r="E200" s="66"/>
      <c r="F200" s="66"/>
      <c r="G200" s="66"/>
      <c r="H200" s="66"/>
      <c r="I200" s="66"/>
      <c r="J200" s="66"/>
      <c r="K200" s="69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7"/>
      <c r="AA200" s="58"/>
      <c r="AB200" s="58"/>
    </row>
    <row r="201" ht="15.75" customHeight="1">
      <c r="A201" s="65"/>
      <c r="B201" s="66"/>
      <c r="C201" s="67"/>
      <c r="D201" s="67"/>
      <c r="E201" s="66"/>
      <c r="F201" s="66"/>
      <c r="G201" s="66"/>
      <c r="H201" s="66"/>
      <c r="I201" s="66"/>
      <c r="J201" s="66"/>
      <c r="K201" s="69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7"/>
      <c r="AA201" s="58"/>
      <c r="AB201" s="58"/>
    </row>
    <row r="202" ht="15.75" customHeight="1">
      <c r="A202" s="65"/>
      <c r="B202" s="66"/>
      <c r="C202" s="67"/>
      <c r="D202" s="67"/>
      <c r="E202" s="66"/>
      <c r="F202" s="66"/>
      <c r="G202" s="66"/>
      <c r="H202" s="66"/>
      <c r="I202" s="66"/>
      <c r="J202" s="66"/>
      <c r="K202" s="69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7"/>
      <c r="AA202" s="58"/>
      <c r="AB202" s="58"/>
    </row>
    <row r="203" ht="15.75" customHeight="1">
      <c r="A203" s="65"/>
      <c r="B203" s="66"/>
      <c r="C203" s="67"/>
      <c r="D203" s="67"/>
      <c r="E203" s="66"/>
      <c r="F203" s="66"/>
      <c r="G203" s="66"/>
      <c r="H203" s="66"/>
      <c r="I203" s="66"/>
      <c r="J203" s="66"/>
      <c r="K203" s="69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7"/>
      <c r="AA203" s="58"/>
      <c r="AB203" s="58"/>
    </row>
    <row r="204" ht="15.75" customHeight="1">
      <c r="A204" s="65"/>
      <c r="B204" s="66"/>
      <c r="C204" s="67"/>
      <c r="D204" s="67"/>
      <c r="E204" s="66"/>
      <c r="F204" s="66"/>
      <c r="G204" s="66"/>
      <c r="H204" s="66"/>
      <c r="I204" s="66"/>
      <c r="J204" s="66"/>
      <c r="K204" s="69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7"/>
      <c r="AA204" s="58"/>
      <c r="AB204" s="58"/>
    </row>
    <row r="205" ht="15.75" customHeight="1">
      <c r="A205" s="65"/>
      <c r="B205" s="66"/>
      <c r="C205" s="67"/>
      <c r="D205" s="67"/>
      <c r="E205" s="66"/>
      <c r="F205" s="66"/>
      <c r="G205" s="66"/>
      <c r="H205" s="66"/>
      <c r="I205" s="66"/>
      <c r="J205" s="66"/>
      <c r="K205" s="69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7"/>
      <c r="AA205" s="58"/>
      <c r="AB205" s="58"/>
    </row>
    <row r="206" ht="15.75" customHeight="1">
      <c r="A206" s="65"/>
      <c r="B206" s="66"/>
      <c r="C206" s="67"/>
      <c r="D206" s="67"/>
      <c r="E206" s="66"/>
      <c r="F206" s="66"/>
      <c r="G206" s="66"/>
      <c r="H206" s="66"/>
      <c r="I206" s="66"/>
      <c r="J206" s="66"/>
      <c r="K206" s="69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7"/>
      <c r="AA206" s="58"/>
      <c r="AB206" s="58"/>
    </row>
    <row r="207" ht="15.75" customHeight="1">
      <c r="A207" s="65"/>
      <c r="B207" s="66"/>
      <c r="C207" s="67"/>
      <c r="D207" s="67"/>
      <c r="E207" s="66"/>
      <c r="F207" s="66"/>
      <c r="G207" s="66"/>
      <c r="H207" s="66"/>
      <c r="I207" s="66"/>
      <c r="J207" s="66"/>
      <c r="K207" s="69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7"/>
      <c r="AA207" s="58"/>
      <c r="AB207" s="58"/>
    </row>
    <row r="208" ht="15.75" customHeight="1">
      <c r="A208" s="65"/>
      <c r="B208" s="66"/>
      <c r="C208" s="67"/>
      <c r="D208" s="67"/>
      <c r="E208" s="66"/>
      <c r="F208" s="66"/>
      <c r="G208" s="66"/>
      <c r="H208" s="66"/>
      <c r="I208" s="66"/>
      <c r="J208" s="66"/>
      <c r="K208" s="69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7"/>
      <c r="AA208" s="58"/>
      <c r="AB208" s="58"/>
    </row>
    <row r="209" ht="15.75" customHeight="1">
      <c r="A209" s="65"/>
      <c r="B209" s="66"/>
      <c r="C209" s="67"/>
      <c r="D209" s="67"/>
      <c r="E209" s="66"/>
      <c r="F209" s="66"/>
      <c r="G209" s="66"/>
      <c r="H209" s="66"/>
      <c r="I209" s="66"/>
      <c r="J209" s="66"/>
      <c r="K209" s="69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7"/>
      <c r="AA209" s="58"/>
      <c r="AB209" s="58"/>
    </row>
    <row r="210" ht="15.75" customHeight="1">
      <c r="A210" s="65"/>
      <c r="B210" s="66"/>
      <c r="C210" s="67"/>
      <c r="D210" s="67"/>
      <c r="E210" s="66"/>
      <c r="F210" s="66"/>
      <c r="G210" s="66"/>
      <c r="H210" s="66"/>
      <c r="I210" s="66"/>
      <c r="J210" s="66"/>
      <c r="K210" s="69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7"/>
      <c r="AA210" s="58"/>
      <c r="AB210" s="58"/>
    </row>
    <row r="211" ht="15.75" customHeight="1">
      <c r="A211" s="65"/>
      <c r="B211" s="66"/>
      <c r="C211" s="67"/>
      <c r="D211" s="67"/>
      <c r="E211" s="66"/>
      <c r="F211" s="66"/>
      <c r="G211" s="66"/>
      <c r="H211" s="66"/>
      <c r="I211" s="66"/>
      <c r="J211" s="66"/>
      <c r="K211" s="69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7"/>
      <c r="AA211" s="58"/>
      <c r="AB211" s="58"/>
    </row>
    <row r="212" ht="15.75" customHeight="1">
      <c r="A212" s="65"/>
      <c r="B212" s="66"/>
      <c r="C212" s="67"/>
      <c r="D212" s="67"/>
      <c r="E212" s="66"/>
      <c r="F212" s="66"/>
      <c r="G212" s="66"/>
      <c r="H212" s="66"/>
      <c r="I212" s="66"/>
      <c r="J212" s="66"/>
      <c r="K212" s="69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7"/>
      <c r="AA212" s="58"/>
      <c r="AB212" s="58"/>
    </row>
    <row r="213" ht="15.75" customHeight="1">
      <c r="A213" s="65"/>
      <c r="B213" s="66"/>
      <c r="C213" s="67"/>
      <c r="D213" s="67"/>
      <c r="E213" s="66"/>
      <c r="F213" s="66"/>
      <c r="G213" s="66"/>
      <c r="H213" s="66"/>
      <c r="I213" s="66"/>
      <c r="J213" s="66"/>
      <c r="K213" s="69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7"/>
      <c r="AA213" s="58"/>
      <c r="AB213" s="58"/>
    </row>
    <row r="214" ht="15.75" customHeight="1">
      <c r="A214" s="65"/>
      <c r="B214" s="66"/>
      <c r="C214" s="67"/>
      <c r="D214" s="67"/>
      <c r="E214" s="66"/>
      <c r="F214" s="66"/>
      <c r="G214" s="66"/>
      <c r="H214" s="66"/>
      <c r="I214" s="66"/>
      <c r="J214" s="66"/>
      <c r="K214" s="69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7"/>
      <c r="AA214" s="58"/>
      <c r="AB214" s="58"/>
    </row>
    <row r="215" ht="15.75" customHeight="1">
      <c r="A215" s="65"/>
      <c r="B215" s="66"/>
      <c r="C215" s="67"/>
      <c r="D215" s="67"/>
      <c r="E215" s="66"/>
      <c r="F215" s="66"/>
      <c r="G215" s="66"/>
      <c r="H215" s="66"/>
      <c r="I215" s="66"/>
      <c r="J215" s="66"/>
      <c r="K215" s="69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7"/>
      <c r="AA215" s="58"/>
      <c r="AB215" s="58"/>
    </row>
    <row r="216" ht="15.75" customHeight="1">
      <c r="A216" s="65"/>
      <c r="B216" s="66"/>
      <c r="C216" s="67"/>
      <c r="D216" s="67"/>
      <c r="E216" s="66"/>
      <c r="F216" s="66"/>
      <c r="G216" s="66"/>
      <c r="H216" s="66"/>
      <c r="I216" s="66"/>
      <c r="J216" s="66"/>
      <c r="K216" s="69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7"/>
      <c r="AA216" s="58"/>
      <c r="AB216" s="58"/>
    </row>
    <row r="217" ht="15.75" customHeight="1">
      <c r="A217" s="65"/>
      <c r="B217" s="66"/>
      <c r="C217" s="67"/>
      <c r="D217" s="67"/>
      <c r="E217" s="66"/>
      <c r="F217" s="66"/>
      <c r="G217" s="66"/>
      <c r="H217" s="66"/>
      <c r="I217" s="66"/>
      <c r="J217" s="66"/>
      <c r="K217" s="69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7"/>
      <c r="AA217" s="58"/>
      <c r="AB217" s="58"/>
    </row>
    <row r="218" ht="15.75" customHeight="1">
      <c r="A218" s="65"/>
      <c r="B218" s="66"/>
      <c r="C218" s="67"/>
      <c r="D218" s="67"/>
      <c r="E218" s="66"/>
      <c r="F218" s="66"/>
      <c r="G218" s="66"/>
      <c r="H218" s="66"/>
      <c r="I218" s="66"/>
      <c r="J218" s="66"/>
      <c r="K218" s="69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7"/>
      <c r="AA218" s="58"/>
      <c r="AB218" s="58"/>
    </row>
    <row r="219" ht="15.75" customHeight="1">
      <c r="A219" s="65"/>
      <c r="B219" s="66"/>
      <c r="C219" s="67"/>
      <c r="D219" s="67"/>
      <c r="E219" s="66"/>
      <c r="F219" s="66"/>
      <c r="G219" s="66"/>
      <c r="H219" s="66"/>
      <c r="I219" s="66"/>
      <c r="J219" s="66"/>
      <c r="K219" s="69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7"/>
      <c r="AA219" s="58"/>
      <c r="AB219" s="58"/>
    </row>
    <row r="220" ht="15.75" customHeight="1">
      <c r="A220" s="65"/>
      <c r="B220" s="66"/>
      <c r="C220" s="67"/>
      <c r="D220" s="67"/>
      <c r="E220" s="66"/>
      <c r="F220" s="66"/>
      <c r="G220" s="66"/>
      <c r="H220" s="66"/>
      <c r="I220" s="66"/>
      <c r="J220" s="66"/>
      <c r="K220" s="69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7"/>
      <c r="AA220" s="58"/>
      <c r="AB220" s="58"/>
    </row>
    <row r="221" ht="15.75" customHeight="1">
      <c r="A221" s="65"/>
      <c r="B221" s="66"/>
      <c r="C221" s="67"/>
      <c r="D221" s="67"/>
      <c r="E221" s="66"/>
      <c r="F221" s="66"/>
      <c r="G221" s="66"/>
      <c r="H221" s="66"/>
      <c r="I221" s="66"/>
      <c r="J221" s="66"/>
      <c r="K221" s="69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7"/>
      <c r="AA221" s="58"/>
      <c r="AB221" s="58"/>
    </row>
    <row r="222" ht="15.75" customHeight="1">
      <c r="A222" s="65"/>
      <c r="B222" s="66"/>
      <c r="C222" s="67"/>
      <c r="D222" s="67"/>
      <c r="E222" s="66"/>
      <c r="F222" s="66"/>
      <c r="G222" s="66"/>
      <c r="H222" s="66"/>
      <c r="I222" s="66"/>
      <c r="J222" s="66"/>
      <c r="K222" s="69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7"/>
      <c r="AA222" s="58"/>
      <c r="AB222" s="58"/>
    </row>
    <row r="223" ht="15.75" customHeight="1">
      <c r="A223" s="65"/>
      <c r="B223" s="66"/>
      <c r="C223" s="67"/>
      <c r="D223" s="67"/>
      <c r="E223" s="66"/>
      <c r="F223" s="66"/>
      <c r="G223" s="66"/>
      <c r="H223" s="66"/>
      <c r="I223" s="66"/>
      <c r="J223" s="66"/>
      <c r="K223" s="69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7"/>
      <c r="AA223" s="58"/>
      <c r="AB223" s="58"/>
    </row>
    <row r="224" ht="15.75" customHeight="1">
      <c r="A224" s="65"/>
      <c r="B224" s="66"/>
      <c r="C224" s="67"/>
      <c r="D224" s="67"/>
      <c r="E224" s="66"/>
      <c r="F224" s="66"/>
      <c r="G224" s="66"/>
      <c r="H224" s="66"/>
      <c r="I224" s="66"/>
      <c r="J224" s="66"/>
      <c r="K224" s="69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7"/>
      <c r="AA224" s="58"/>
      <c r="AB224" s="58"/>
    </row>
    <row r="225" ht="15.75" customHeight="1">
      <c r="A225" s="65"/>
      <c r="B225" s="66"/>
      <c r="C225" s="67"/>
      <c r="D225" s="67"/>
      <c r="E225" s="66"/>
      <c r="F225" s="66"/>
      <c r="G225" s="66"/>
      <c r="H225" s="66"/>
      <c r="I225" s="66"/>
      <c r="J225" s="66"/>
      <c r="K225" s="69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7"/>
      <c r="AA225" s="58"/>
      <c r="AB225" s="58"/>
    </row>
    <row r="226" ht="15.75" customHeight="1">
      <c r="A226" s="65"/>
      <c r="B226" s="66"/>
      <c r="C226" s="67"/>
      <c r="D226" s="67"/>
      <c r="E226" s="66"/>
      <c r="F226" s="66"/>
      <c r="G226" s="66"/>
      <c r="H226" s="66"/>
      <c r="I226" s="66"/>
      <c r="J226" s="66"/>
      <c r="K226" s="69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7"/>
      <c r="AA226" s="58"/>
      <c r="AB226" s="58"/>
    </row>
    <row r="227" ht="15.75" customHeight="1">
      <c r="A227" s="65"/>
      <c r="B227" s="66"/>
      <c r="C227" s="67"/>
      <c r="D227" s="67"/>
      <c r="E227" s="66"/>
      <c r="F227" s="66"/>
      <c r="G227" s="66"/>
      <c r="H227" s="66"/>
      <c r="I227" s="66"/>
      <c r="J227" s="66"/>
      <c r="K227" s="69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7"/>
      <c r="AA227" s="58"/>
      <c r="AB227" s="58"/>
    </row>
    <row r="228" ht="15.75" customHeight="1">
      <c r="A228" s="65"/>
      <c r="B228" s="66"/>
      <c r="C228" s="67"/>
      <c r="D228" s="67"/>
      <c r="E228" s="66"/>
      <c r="F228" s="66"/>
      <c r="G228" s="66"/>
      <c r="H228" s="66"/>
      <c r="I228" s="66"/>
      <c r="J228" s="66"/>
      <c r="K228" s="69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7"/>
      <c r="AA228" s="58"/>
      <c r="AB228" s="58"/>
    </row>
    <row r="229" ht="15.75" customHeight="1">
      <c r="A229" s="65"/>
      <c r="B229" s="66"/>
      <c r="C229" s="67"/>
      <c r="D229" s="67"/>
      <c r="E229" s="66"/>
      <c r="F229" s="66"/>
      <c r="G229" s="66"/>
      <c r="H229" s="66"/>
      <c r="I229" s="66"/>
      <c r="J229" s="66"/>
      <c r="K229" s="69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7"/>
      <c r="AA229" s="58"/>
      <c r="AB229" s="58"/>
    </row>
    <row r="230" ht="15.75" customHeight="1">
      <c r="A230" s="65"/>
      <c r="B230" s="66"/>
      <c r="C230" s="67"/>
      <c r="D230" s="67"/>
      <c r="E230" s="66"/>
      <c r="F230" s="66"/>
      <c r="G230" s="66"/>
      <c r="H230" s="66"/>
      <c r="I230" s="66"/>
      <c r="J230" s="66"/>
      <c r="K230" s="69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7"/>
      <c r="AA230" s="58"/>
      <c r="AB230" s="58"/>
    </row>
    <row r="231" ht="15.75" customHeight="1">
      <c r="A231" s="65"/>
      <c r="B231" s="66"/>
      <c r="C231" s="67"/>
      <c r="D231" s="67"/>
      <c r="E231" s="66"/>
      <c r="F231" s="66"/>
      <c r="G231" s="66"/>
      <c r="H231" s="66"/>
      <c r="I231" s="66"/>
      <c r="J231" s="66"/>
      <c r="K231" s="69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7"/>
      <c r="AA231" s="58"/>
      <c r="AB231" s="58"/>
    </row>
    <row r="232" ht="15.75" customHeight="1">
      <c r="A232" s="65"/>
      <c r="B232" s="66"/>
      <c r="C232" s="67"/>
      <c r="D232" s="67"/>
      <c r="E232" s="66"/>
      <c r="F232" s="66"/>
      <c r="G232" s="66"/>
      <c r="H232" s="66"/>
      <c r="I232" s="66"/>
      <c r="J232" s="66"/>
      <c r="K232" s="69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7"/>
      <c r="AA232" s="58"/>
      <c r="AB232" s="58"/>
    </row>
    <row r="233" ht="15.75" customHeight="1">
      <c r="A233" s="65"/>
      <c r="B233" s="66"/>
      <c r="C233" s="67"/>
      <c r="D233" s="67"/>
      <c r="E233" s="66"/>
      <c r="F233" s="66"/>
      <c r="G233" s="66"/>
      <c r="H233" s="66"/>
      <c r="I233" s="66"/>
      <c r="J233" s="66"/>
      <c r="K233" s="69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7"/>
      <c r="AA233" s="58"/>
      <c r="AB233" s="58"/>
    </row>
    <row r="234" ht="15.75" customHeight="1">
      <c r="A234" s="65"/>
      <c r="B234" s="66"/>
      <c r="C234" s="67"/>
      <c r="D234" s="67"/>
      <c r="E234" s="66"/>
      <c r="F234" s="66"/>
      <c r="G234" s="66"/>
      <c r="H234" s="66"/>
      <c r="I234" s="66"/>
      <c r="J234" s="66"/>
      <c r="K234" s="69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7"/>
      <c r="AA234" s="58"/>
      <c r="AB234" s="58"/>
    </row>
    <row r="235" ht="15.75" customHeight="1">
      <c r="A235" s="65"/>
      <c r="B235" s="66"/>
      <c r="C235" s="67"/>
      <c r="D235" s="67"/>
      <c r="E235" s="66"/>
      <c r="F235" s="66"/>
      <c r="G235" s="66"/>
      <c r="H235" s="66"/>
      <c r="I235" s="66"/>
      <c r="J235" s="66"/>
      <c r="K235" s="69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7"/>
      <c r="AA235" s="58"/>
      <c r="AB235" s="58"/>
    </row>
    <row r="236" ht="15.75" customHeight="1">
      <c r="A236" s="65"/>
      <c r="B236" s="66"/>
      <c r="C236" s="67"/>
      <c r="D236" s="67"/>
      <c r="E236" s="66"/>
      <c r="F236" s="66"/>
      <c r="G236" s="66"/>
      <c r="H236" s="66"/>
      <c r="I236" s="66"/>
      <c r="J236" s="66"/>
      <c r="K236" s="69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7"/>
      <c r="AA236" s="58"/>
      <c r="AB236" s="58"/>
    </row>
    <row r="237" ht="15.75" customHeight="1">
      <c r="A237" s="65"/>
      <c r="B237" s="66"/>
      <c r="C237" s="67"/>
      <c r="D237" s="67"/>
      <c r="E237" s="66"/>
      <c r="F237" s="66"/>
      <c r="G237" s="66"/>
      <c r="H237" s="66"/>
      <c r="I237" s="66"/>
      <c r="J237" s="66"/>
      <c r="K237" s="69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7"/>
      <c r="AA237" s="58"/>
      <c r="AB237" s="58"/>
    </row>
    <row r="238" ht="15.75" customHeight="1">
      <c r="A238" s="65"/>
      <c r="B238" s="66"/>
      <c r="C238" s="67"/>
      <c r="D238" s="67"/>
      <c r="E238" s="66"/>
      <c r="F238" s="66"/>
      <c r="G238" s="66"/>
      <c r="H238" s="66"/>
      <c r="I238" s="66"/>
      <c r="J238" s="66"/>
      <c r="K238" s="69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7"/>
      <c r="AA238" s="58"/>
      <c r="AB238" s="58"/>
    </row>
    <row r="239" ht="15.75" customHeight="1">
      <c r="A239" s="65"/>
      <c r="B239" s="66"/>
      <c r="C239" s="67"/>
      <c r="D239" s="67"/>
      <c r="E239" s="66"/>
      <c r="F239" s="66"/>
      <c r="G239" s="66"/>
      <c r="H239" s="66"/>
      <c r="I239" s="66"/>
      <c r="J239" s="66"/>
      <c r="K239" s="69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7"/>
      <c r="AA239" s="58"/>
      <c r="AB239" s="58"/>
    </row>
    <row r="240" ht="15.75" customHeight="1">
      <c r="A240" s="65"/>
      <c r="B240" s="66"/>
      <c r="C240" s="67"/>
      <c r="D240" s="67"/>
      <c r="E240" s="66"/>
      <c r="F240" s="66"/>
      <c r="G240" s="66"/>
      <c r="H240" s="66"/>
      <c r="I240" s="66"/>
      <c r="J240" s="66"/>
      <c r="K240" s="69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7"/>
      <c r="AA240" s="58"/>
      <c r="AB240" s="58"/>
    </row>
    <row r="241" ht="15.75" customHeight="1">
      <c r="A241" s="65"/>
      <c r="B241" s="66"/>
      <c r="C241" s="67"/>
      <c r="D241" s="67"/>
      <c r="E241" s="66"/>
      <c r="F241" s="66"/>
      <c r="G241" s="66"/>
      <c r="H241" s="66"/>
      <c r="I241" s="66"/>
      <c r="J241" s="66"/>
      <c r="K241" s="69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7"/>
      <c r="AA241" s="58"/>
      <c r="AB241" s="58"/>
    </row>
    <row r="242" ht="15.75" customHeight="1">
      <c r="A242" s="65"/>
      <c r="B242" s="66"/>
      <c r="C242" s="67"/>
      <c r="D242" s="67"/>
      <c r="E242" s="66"/>
      <c r="F242" s="66"/>
      <c r="G242" s="66"/>
      <c r="H242" s="66"/>
      <c r="I242" s="66"/>
      <c r="J242" s="66"/>
      <c r="K242" s="69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7"/>
      <c r="AA242" s="58"/>
      <c r="AB242" s="58"/>
    </row>
    <row r="243" ht="15.75" customHeight="1">
      <c r="A243" s="65"/>
      <c r="B243" s="66"/>
      <c r="C243" s="67"/>
      <c r="D243" s="67"/>
      <c r="E243" s="66"/>
      <c r="F243" s="66"/>
      <c r="G243" s="66"/>
      <c r="H243" s="66"/>
      <c r="I243" s="66"/>
      <c r="J243" s="66"/>
      <c r="K243" s="69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7"/>
      <c r="AA243" s="58"/>
      <c r="AB243" s="58"/>
    </row>
    <row r="244" ht="15.75" customHeight="1">
      <c r="A244" s="65"/>
      <c r="B244" s="66"/>
      <c r="C244" s="67"/>
      <c r="D244" s="67"/>
      <c r="E244" s="66"/>
      <c r="F244" s="66"/>
      <c r="G244" s="66"/>
      <c r="H244" s="66"/>
      <c r="I244" s="66"/>
      <c r="J244" s="66"/>
      <c r="K244" s="69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7"/>
      <c r="AA244" s="58"/>
      <c r="AB244" s="58"/>
    </row>
    <row r="245" ht="15.75" customHeight="1">
      <c r="A245" s="65"/>
      <c r="B245" s="66"/>
      <c r="C245" s="67"/>
      <c r="D245" s="67"/>
      <c r="E245" s="66"/>
      <c r="F245" s="66"/>
      <c r="G245" s="66"/>
      <c r="H245" s="66"/>
      <c r="I245" s="66"/>
      <c r="J245" s="66"/>
      <c r="K245" s="69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7"/>
      <c r="AA245" s="58"/>
      <c r="AB245" s="58"/>
    </row>
    <row r="246" ht="15.75" customHeight="1">
      <c r="A246" s="65"/>
      <c r="B246" s="66"/>
      <c r="C246" s="67"/>
      <c r="D246" s="67"/>
      <c r="E246" s="66"/>
      <c r="F246" s="66"/>
      <c r="G246" s="66"/>
      <c r="H246" s="66"/>
      <c r="I246" s="66"/>
      <c r="J246" s="66"/>
      <c r="K246" s="69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7"/>
      <c r="AA246" s="58"/>
      <c r="AB246" s="58"/>
    </row>
    <row r="247" ht="15.75" customHeight="1">
      <c r="A247" s="65"/>
      <c r="B247" s="66"/>
      <c r="C247" s="67"/>
      <c r="D247" s="67"/>
      <c r="E247" s="66"/>
      <c r="F247" s="66"/>
      <c r="G247" s="66"/>
      <c r="H247" s="66"/>
      <c r="I247" s="66"/>
      <c r="J247" s="66"/>
      <c r="K247" s="69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7"/>
      <c r="AA247" s="58"/>
      <c r="AB247" s="58"/>
    </row>
    <row r="248" ht="15.75" customHeight="1">
      <c r="A248" s="65"/>
      <c r="B248" s="66"/>
      <c r="C248" s="67"/>
      <c r="D248" s="67"/>
      <c r="E248" s="66"/>
      <c r="F248" s="66"/>
      <c r="G248" s="66"/>
      <c r="H248" s="66"/>
      <c r="I248" s="66"/>
      <c r="J248" s="66"/>
      <c r="K248" s="69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7"/>
      <c r="AA248" s="58"/>
      <c r="AB248" s="58"/>
    </row>
    <row r="249" ht="15.75" customHeight="1">
      <c r="A249" s="65"/>
      <c r="B249" s="66"/>
      <c r="C249" s="67"/>
      <c r="D249" s="67"/>
      <c r="E249" s="66"/>
      <c r="F249" s="66"/>
      <c r="G249" s="66"/>
      <c r="H249" s="66"/>
      <c r="I249" s="66"/>
      <c r="J249" s="66"/>
      <c r="K249" s="69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7"/>
      <c r="AA249" s="58"/>
      <c r="AB249" s="58"/>
    </row>
    <row r="250" ht="15.75" customHeight="1">
      <c r="A250" s="65"/>
      <c r="B250" s="66"/>
      <c r="C250" s="67"/>
      <c r="D250" s="67"/>
      <c r="E250" s="66"/>
      <c r="F250" s="66"/>
      <c r="G250" s="66"/>
      <c r="H250" s="66"/>
      <c r="I250" s="66"/>
      <c r="J250" s="66"/>
      <c r="K250" s="69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7"/>
      <c r="AA250" s="58"/>
      <c r="AB250" s="58"/>
    </row>
    <row r="251" ht="15.75" customHeight="1">
      <c r="A251" s="65"/>
      <c r="B251" s="66"/>
      <c r="C251" s="67"/>
      <c r="D251" s="67"/>
      <c r="E251" s="66"/>
      <c r="F251" s="66"/>
      <c r="G251" s="66"/>
      <c r="H251" s="66"/>
      <c r="I251" s="66"/>
      <c r="J251" s="66"/>
      <c r="K251" s="69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7"/>
      <c r="AA251" s="58"/>
      <c r="AB251" s="58"/>
    </row>
    <row r="252" ht="15.75" customHeight="1">
      <c r="A252" s="65"/>
      <c r="B252" s="66"/>
      <c r="C252" s="67"/>
      <c r="D252" s="67"/>
      <c r="E252" s="66"/>
      <c r="F252" s="66"/>
      <c r="G252" s="66"/>
      <c r="H252" s="66"/>
      <c r="I252" s="66"/>
      <c r="J252" s="66"/>
      <c r="K252" s="69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7"/>
      <c r="AA252" s="58"/>
      <c r="AB252" s="58"/>
    </row>
    <row r="253" ht="15.75" customHeight="1">
      <c r="A253" s="65"/>
      <c r="B253" s="66"/>
      <c r="C253" s="67"/>
      <c r="D253" s="67"/>
      <c r="E253" s="66"/>
      <c r="F253" s="66"/>
      <c r="G253" s="66"/>
      <c r="H253" s="66"/>
      <c r="I253" s="66"/>
      <c r="J253" s="66"/>
      <c r="K253" s="69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7"/>
      <c r="AA253" s="58"/>
      <c r="AB253" s="58"/>
    </row>
    <row r="254" ht="15.75" customHeight="1">
      <c r="A254" s="65"/>
      <c r="B254" s="66"/>
      <c r="C254" s="67"/>
      <c r="D254" s="67"/>
      <c r="E254" s="66"/>
      <c r="F254" s="66"/>
      <c r="G254" s="66"/>
      <c r="H254" s="66"/>
      <c r="I254" s="66"/>
      <c r="J254" s="66"/>
      <c r="K254" s="69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7"/>
      <c r="AA254" s="58"/>
      <c r="AB254" s="58"/>
    </row>
    <row r="255" ht="15.75" customHeight="1">
      <c r="A255" s="65"/>
      <c r="B255" s="66"/>
      <c r="C255" s="67"/>
      <c r="D255" s="67"/>
      <c r="E255" s="66"/>
      <c r="F255" s="66"/>
      <c r="G255" s="66"/>
      <c r="H255" s="66"/>
      <c r="I255" s="66"/>
      <c r="J255" s="66"/>
      <c r="K255" s="69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7"/>
      <c r="AA255" s="58"/>
      <c r="AB255" s="58"/>
    </row>
    <row r="256" ht="15.75" customHeight="1">
      <c r="A256" s="65"/>
      <c r="B256" s="66"/>
      <c r="C256" s="67"/>
      <c r="D256" s="67"/>
      <c r="E256" s="66"/>
      <c r="F256" s="66"/>
      <c r="G256" s="66"/>
      <c r="H256" s="66"/>
      <c r="I256" s="66"/>
      <c r="J256" s="66"/>
      <c r="K256" s="69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7"/>
      <c r="AA256" s="58"/>
      <c r="AB256" s="58"/>
    </row>
    <row r="257" ht="15.75" customHeight="1">
      <c r="A257" s="65"/>
      <c r="B257" s="66"/>
      <c r="C257" s="67"/>
      <c r="D257" s="67"/>
      <c r="E257" s="66"/>
      <c r="F257" s="66"/>
      <c r="G257" s="66"/>
      <c r="H257" s="66"/>
      <c r="I257" s="66"/>
      <c r="J257" s="66"/>
      <c r="K257" s="69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7"/>
      <c r="AA257" s="58"/>
      <c r="AB257" s="58"/>
    </row>
    <row r="258" ht="15.75" customHeight="1">
      <c r="A258" s="65"/>
      <c r="B258" s="66"/>
      <c r="C258" s="67"/>
      <c r="D258" s="67"/>
      <c r="E258" s="66"/>
      <c r="F258" s="66"/>
      <c r="G258" s="66"/>
      <c r="H258" s="66"/>
      <c r="I258" s="66"/>
      <c r="J258" s="66"/>
      <c r="K258" s="69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7"/>
      <c r="AA258" s="58"/>
      <c r="AB258" s="58"/>
    </row>
    <row r="259" ht="15.75" customHeight="1">
      <c r="A259" s="65"/>
      <c r="B259" s="66"/>
      <c r="C259" s="67"/>
      <c r="D259" s="67"/>
      <c r="E259" s="66"/>
      <c r="F259" s="66"/>
      <c r="G259" s="66"/>
      <c r="H259" s="66"/>
      <c r="I259" s="66"/>
      <c r="J259" s="66"/>
      <c r="K259" s="69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7"/>
      <c r="AA259" s="58"/>
      <c r="AB259" s="58"/>
    </row>
    <row r="260" ht="15.75" customHeight="1">
      <c r="A260" s="65"/>
      <c r="B260" s="66"/>
      <c r="C260" s="67"/>
      <c r="D260" s="67"/>
      <c r="E260" s="66"/>
      <c r="F260" s="66"/>
      <c r="G260" s="66"/>
      <c r="H260" s="66"/>
      <c r="I260" s="66"/>
      <c r="J260" s="66"/>
      <c r="K260" s="69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7"/>
      <c r="AA260" s="58"/>
      <c r="AB260" s="58"/>
    </row>
    <row r="261" ht="15.75" customHeight="1">
      <c r="A261" s="65"/>
      <c r="B261" s="66"/>
      <c r="C261" s="67"/>
      <c r="D261" s="67"/>
      <c r="E261" s="66"/>
      <c r="F261" s="66"/>
      <c r="G261" s="66"/>
      <c r="H261" s="66"/>
      <c r="I261" s="66"/>
      <c r="J261" s="66"/>
      <c r="K261" s="69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7"/>
      <c r="AA261" s="58"/>
      <c r="AB261" s="58"/>
    </row>
    <row r="262" ht="15.75" customHeight="1">
      <c r="A262" s="65"/>
      <c r="B262" s="66"/>
      <c r="C262" s="67"/>
      <c r="D262" s="67"/>
      <c r="E262" s="66"/>
      <c r="F262" s="66"/>
      <c r="G262" s="66"/>
      <c r="H262" s="66"/>
      <c r="I262" s="66"/>
      <c r="J262" s="66"/>
      <c r="K262" s="69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7"/>
      <c r="AA262" s="58"/>
      <c r="AB262" s="58"/>
    </row>
    <row r="263" ht="15.75" customHeight="1">
      <c r="A263" s="65"/>
      <c r="B263" s="66"/>
      <c r="C263" s="67"/>
      <c r="D263" s="67"/>
      <c r="E263" s="66"/>
      <c r="F263" s="66"/>
      <c r="G263" s="66"/>
      <c r="H263" s="66"/>
      <c r="I263" s="66"/>
      <c r="J263" s="66"/>
      <c r="K263" s="69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7"/>
      <c r="AA263" s="58"/>
      <c r="AB263" s="58"/>
    </row>
    <row r="264" ht="15.75" customHeight="1">
      <c r="A264" s="65"/>
      <c r="B264" s="66"/>
      <c r="C264" s="67"/>
      <c r="D264" s="67"/>
      <c r="E264" s="66"/>
      <c r="F264" s="66"/>
      <c r="G264" s="66"/>
      <c r="H264" s="66"/>
      <c r="I264" s="66"/>
      <c r="J264" s="66"/>
      <c r="K264" s="69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7"/>
      <c r="AA264" s="58"/>
      <c r="AB264" s="58"/>
    </row>
    <row r="265" ht="15.75" customHeight="1">
      <c r="A265" s="65"/>
      <c r="B265" s="66"/>
      <c r="C265" s="67"/>
      <c r="D265" s="67"/>
      <c r="E265" s="66"/>
      <c r="F265" s="66"/>
      <c r="G265" s="66"/>
      <c r="H265" s="66"/>
      <c r="I265" s="66"/>
      <c r="J265" s="66"/>
      <c r="K265" s="69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7"/>
      <c r="AA265" s="58"/>
      <c r="AB265" s="58"/>
    </row>
    <row r="266" ht="15.75" customHeight="1">
      <c r="A266" s="65"/>
      <c r="B266" s="66"/>
      <c r="C266" s="67"/>
      <c r="D266" s="67"/>
      <c r="E266" s="66"/>
      <c r="F266" s="66"/>
      <c r="G266" s="66"/>
      <c r="H266" s="66"/>
      <c r="I266" s="66"/>
      <c r="J266" s="66"/>
      <c r="K266" s="69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7"/>
      <c r="AA266" s="58"/>
      <c r="AB266" s="58"/>
    </row>
    <row r="267" ht="15.75" customHeight="1">
      <c r="A267" s="65"/>
      <c r="B267" s="66"/>
      <c r="C267" s="67"/>
      <c r="D267" s="67"/>
      <c r="E267" s="66"/>
      <c r="F267" s="66"/>
      <c r="G267" s="66"/>
      <c r="H267" s="66"/>
      <c r="I267" s="66"/>
      <c r="J267" s="66"/>
      <c r="K267" s="69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7"/>
      <c r="AA267" s="58"/>
      <c r="AB267" s="58"/>
    </row>
    <row r="268" ht="15.75" customHeight="1">
      <c r="A268" s="65"/>
      <c r="B268" s="66"/>
      <c r="C268" s="67"/>
      <c r="D268" s="67"/>
      <c r="E268" s="66"/>
      <c r="F268" s="66"/>
      <c r="G268" s="66"/>
      <c r="H268" s="66"/>
      <c r="I268" s="66"/>
      <c r="J268" s="66"/>
      <c r="K268" s="69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7"/>
      <c r="AA268" s="58"/>
      <c r="AB268" s="58"/>
    </row>
    <row r="269" ht="15.75" customHeight="1">
      <c r="A269" s="65"/>
      <c r="B269" s="66"/>
      <c r="C269" s="67"/>
      <c r="D269" s="67"/>
      <c r="E269" s="66"/>
      <c r="F269" s="66"/>
      <c r="G269" s="66"/>
      <c r="H269" s="66"/>
      <c r="I269" s="66"/>
      <c r="J269" s="66"/>
      <c r="K269" s="69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7"/>
      <c r="AA269" s="58"/>
      <c r="AB269" s="58"/>
    </row>
    <row r="270" ht="15.75" customHeight="1">
      <c r="A270" s="65"/>
      <c r="B270" s="66"/>
      <c r="C270" s="67"/>
      <c r="D270" s="67"/>
      <c r="E270" s="66"/>
      <c r="F270" s="66"/>
      <c r="G270" s="66"/>
      <c r="H270" s="66"/>
      <c r="I270" s="66"/>
      <c r="J270" s="66"/>
      <c r="K270" s="69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7"/>
      <c r="AA270" s="58"/>
      <c r="AB270" s="58"/>
    </row>
    <row r="271" ht="15.75" customHeight="1">
      <c r="A271" s="71"/>
      <c r="B271" s="72"/>
      <c r="C271" s="73"/>
      <c r="D271" s="73"/>
      <c r="E271" s="72"/>
      <c r="F271" s="72"/>
      <c r="G271" s="72"/>
      <c r="H271" s="72"/>
      <c r="I271" s="72"/>
      <c r="J271" s="72"/>
      <c r="K271" s="75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7"/>
      <c r="AA271" s="58"/>
      <c r="AB271" s="58"/>
    </row>
    <row r="272" ht="15.75" customHeight="1">
      <c r="A272" s="76"/>
      <c r="B272" s="76"/>
      <c r="C272" s="77"/>
      <c r="D272" s="77"/>
      <c r="E272" s="76"/>
      <c r="F272" s="76"/>
      <c r="G272" s="76"/>
      <c r="H272" s="76"/>
      <c r="I272" s="76"/>
      <c r="J272" s="76"/>
      <c r="K272" s="7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7"/>
      <c r="AA272" s="58"/>
      <c r="AB272" s="58"/>
    </row>
    <row r="273" ht="15.75" customHeight="1">
      <c r="A273" s="76"/>
      <c r="B273" s="76"/>
      <c r="C273" s="77"/>
      <c r="D273" s="77"/>
      <c r="E273" s="76"/>
      <c r="F273" s="76"/>
      <c r="G273" s="76"/>
      <c r="H273" s="76"/>
      <c r="I273" s="76"/>
      <c r="J273" s="76"/>
      <c r="K273" s="7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7"/>
      <c r="AA273" s="58"/>
      <c r="AB273" s="58"/>
    </row>
    <row r="274" ht="15.75" customHeight="1">
      <c r="A274" s="76"/>
      <c r="B274" s="76"/>
      <c r="C274" s="77"/>
      <c r="D274" s="77"/>
      <c r="E274" s="76"/>
      <c r="F274" s="76"/>
      <c r="G274" s="76"/>
      <c r="H274" s="76"/>
      <c r="I274" s="76"/>
      <c r="J274" s="76"/>
      <c r="K274" s="7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7"/>
      <c r="AA274" s="58"/>
      <c r="AB274" s="58"/>
    </row>
    <row r="275" ht="15.75" customHeight="1">
      <c r="A275" s="76"/>
      <c r="B275" s="76"/>
      <c r="C275" s="77"/>
      <c r="D275" s="77"/>
      <c r="E275" s="76"/>
      <c r="F275" s="76"/>
      <c r="G275" s="76"/>
      <c r="H275" s="76"/>
      <c r="I275" s="76"/>
      <c r="J275" s="76"/>
      <c r="K275" s="7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7"/>
      <c r="AA275" s="58"/>
      <c r="AB275" s="58"/>
    </row>
    <row r="276" ht="15.75" customHeight="1">
      <c r="A276" s="76"/>
      <c r="B276" s="76"/>
      <c r="C276" s="77"/>
      <c r="D276" s="77"/>
      <c r="E276" s="76"/>
      <c r="F276" s="76"/>
      <c r="G276" s="76"/>
      <c r="H276" s="76"/>
      <c r="I276" s="76"/>
      <c r="J276" s="76"/>
      <c r="K276" s="7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7"/>
      <c r="AA276" s="58"/>
      <c r="AB276" s="58"/>
    </row>
    <row r="277" ht="15.75" customHeight="1">
      <c r="A277" s="76"/>
      <c r="B277" s="76"/>
      <c r="C277" s="77"/>
      <c r="D277" s="77"/>
      <c r="E277" s="76"/>
      <c r="F277" s="76"/>
      <c r="G277" s="76"/>
      <c r="H277" s="76"/>
      <c r="I277" s="76"/>
      <c r="J277" s="76"/>
      <c r="K277" s="7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7"/>
      <c r="AA277" s="58"/>
      <c r="AB277" s="58"/>
    </row>
    <row r="278" ht="15.75" customHeight="1">
      <c r="A278" s="76"/>
      <c r="B278" s="76"/>
      <c r="C278" s="77"/>
      <c r="D278" s="77"/>
      <c r="E278" s="76"/>
      <c r="F278" s="76"/>
      <c r="G278" s="76"/>
      <c r="H278" s="76"/>
      <c r="I278" s="76"/>
      <c r="J278" s="76"/>
      <c r="K278" s="7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7"/>
      <c r="AA278" s="58"/>
      <c r="AB278" s="58"/>
    </row>
    <row r="279" ht="15.75" customHeight="1">
      <c r="A279" s="76"/>
      <c r="B279" s="76"/>
      <c r="C279" s="77"/>
      <c r="D279" s="77"/>
      <c r="E279" s="76"/>
      <c r="F279" s="76"/>
      <c r="G279" s="76"/>
      <c r="H279" s="76"/>
      <c r="I279" s="76"/>
      <c r="J279" s="76"/>
      <c r="K279" s="7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7"/>
      <c r="AA279" s="58"/>
      <c r="AB279" s="58"/>
    </row>
    <row r="280" ht="15.75" customHeight="1">
      <c r="A280" s="76"/>
      <c r="B280" s="76"/>
      <c r="C280" s="77"/>
      <c r="D280" s="77"/>
      <c r="E280" s="76"/>
      <c r="F280" s="76"/>
      <c r="G280" s="76"/>
      <c r="H280" s="76"/>
      <c r="I280" s="76"/>
      <c r="J280" s="76"/>
      <c r="K280" s="7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7"/>
      <c r="AA280" s="58"/>
      <c r="AB280" s="58"/>
    </row>
    <row r="281" ht="15.75" customHeight="1">
      <c r="A281" s="76"/>
      <c r="B281" s="76"/>
      <c r="C281" s="77"/>
      <c r="D281" s="77"/>
      <c r="E281" s="76"/>
      <c r="F281" s="76"/>
      <c r="G281" s="76"/>
      <c r="H281" s="76"/>
      <c r="I281" s="76"/>
      <c r="J281" s="76"/>
      <c r="K281" s="7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7"/>
      <c r="AA281" s="58"/>
      <c r="AB281" s="58"/>
    </row>
    <row r="282" ht="15.75" customHeight="1">
      <c r="A282" s="76"/>
      <c r="B282" s="76"/>
      <c r="C282" s="77"/>
      <c r="D282" s="77"/>
      <c r="E282" s="76"/>
      <c r="F282" s="76"/>
      <c r="G282" s="76"/>
      <c r="H282" s="76"/>
      <c r="I282" s="76"/>
      <c r="J282" s="76"/>
      <c r="K282" s="7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7"/>
      <c r="AA282" s="58"/>
      <c r="AB282" s="58"/>
    </row>
    <row r="283" ht="15.75" customHeight="1">
      <c r="A283" s="76"/>
      <c r="B283" s="76"/>
      <c r="C283" s="77"/>
      <c r="D283" s="77"/>
      <c r="E283" s="76"/>
      <c r="F283" s="76"/>
      <c r="G283" s="76"/>
      <c r="H283" s="76"/>
      <c r="I283" s="76"/>
      <c r="J283" s="76"/>
      <c r="K283" s="7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7"/>
      <c r="AA283" s="58"/>
      <c r="AB283" s="58"/>
    </row>
    <row r="284" ht="15.75" customHeight="1">
      <c r="A284" s="76"/>
      <c r="B284" s="76"/>
      <c r="C284" s="77"/>
      <c r="D284" s="77"/>
      <c r="E284" s="76"/>
      <c r="F284" s="76"/>
      <c r="G284" s="76"/>
      <c r="H284" s="76"/>
      <c r="I284" s="76"/>
      <c r="J284" s="76"/>
      <c r="K284" s="7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7"/>
      <c r="AA284" s="58"/>
      <c r="AB284" s="58"/>
    </row>
    <row r="285" ht="15.75" customHeight="1">
      <c r="A285" s="76"/>
      <c r="B285" s="76"/>
      <c r="C285" s="77"/>
      <c r="D285" s="77"/>
      <c r="E285" s="76"/>
      <c r="F285" s="76"/>
      <c r="G285" s="76"/>
      <c r="H285" s="76"/>
      <c r="I285" s="76"/>
      <c r="J285" s="76"/>
      <c r="K285" s="7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7"/>
      <c r="AA285" s="58"/>
      <c r="AB285" s="58"/>
    </row>
    <row r="286" ht="15.75" customHeight="1">
      <c r="A286" s="76"/>
      <c r="B286" s="76"/>
      <c r="C286" s="77"/>
      <c r="D286" s="77"/>
      <c r="E286" s="76"/>
      <c r="F286" s="76"/>
      <c r="G286" s="76"/>
      <c r="H286" s="76"/>
      <c r="I286" s="76"/>
      <c r="J286" s="76"/>
      <c r="K286" s="7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7"/>
      <c r="AA286" s="58"/>
      <c r="AB286" s="58"/>
    </row>
    <row r="287" ht="15.75" customHeight="1">
      <c r="A287" s="76"/>
      <c r="B287" s="76"/>
      <c r="C287" s="77"/>
      <c r="D287" s="77"/>
      <c r="E287" s="76"/>
      <c r="F287" s="76"/>
      <c r="G287" s="76"/>
      <c r="H287" s="76"/>
      <c r="I287" s="76"/>
      <c r="J287" s="76"/>
      <c r="K287" s="7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7"/>
      <c r="AA287" s="58"/>
      <c r="AB287" s="58"/>
    </row>
    <row r="288" ht="15.75" customHeight="1">
      <c r="A288" s="76"/>
      <c r="B288" s="76"/>
      <c r="C288" s="77"/>
      <c r="D288" s="77"/>
      <c r="E288" s="76"/>
      <c r="F288" s="76"/>
      <c r="G288" s="76"/>
      <c r="H288" s="76"/>
      <c r="I288" s="76"/>
      <c r="J288" s="76"/>
      <c r="K288" s="7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7"/>
      <c r="AA288" s="58"/>
      <c r="AB288" s="58"/>
    </row>
    <row r="289" ht="15.75" customHeight="1">
      <c r="A289" s="76"/>
      <c r="B289" s="76"/>
      <c r="C289" s="77"/>
      <c r="D289" s="77"/>
      <c r="E289" s="76"/>
      <c r="F289" s="76"/>
      <c r="G289" s="76"/>
      <c r="H289" s="76"/>
      <c r="I289" s="76"/>
      <c r="J289" s="76"/>
      <c r="K289" s="7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7"/>
      <c r="AA289" s="58"/>
      <c r="AB289" s="58"/>
    </row>
    <row r="290" ht="15.75" customHeight="1">
      <c r="A290" s="76"/>
      <c r="B290" s="76"/>
      <c r="C290" s="77"/>
      <c r="D290" s="77"/>
      <c r="E290" s="76"/>
      <c r="F290" s="76"/>
      <c r="G290" s="76"/>
      <c r="H290" s="76"/>
      <c r="I290" s="76"/>
      <c r="J290" s="76"/>
      <c r="K290" s="7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7"/>
      <c r="AA290" s="58"/>
      <c r="AB290" s="58"/>
    </row>
    <row r="291" ht="15.75" customHeight="1">
      <c r="A291" s="76"/>
      <c r="B291" s="76"/>
      <c r="C291" s="77"/>
      <c r="D291" s="77"/>
      <c r="E291" s="76"/>
      <c r="F291" s="76"/>
      <c r="G291" s="76"/>
      <c r="H291" s="76"/>
      <c r="I291" s="76"/>
      <c r="J291" s="76"/>
      <c r="K291" s="7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7"/>
      <c r="AA291" s="58"/>
      <c r="AB291" s="58"/>
    </row>
    <row r="292" ht="15.75" customHeight="1">
      <c r="A292" s="76"/>
      <c r="B292" s="76"/>
      <c r="C292" s="77"/>
      <c r="D292" s="77"/>
      <c r="E292" s="76"/>
      <c r="F292" s="76"/>
      <c r="G292" s="76"/>
      <c r="H292" s="76"/>
      <c r="I292" s="76"/>
      <c r="J292" s="76"/>
      <c r="K292" s="7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7"/>
      <c r="AA292" s="58"/>
      <c r="AB292" s="58"/>
    </row>
    <row r="293" ht="15.75" customHeight="1">
      <c r="A293" s="76"/>
      <c r="B293" s="76"/>
      <c r="C293" s="77"/>
      <c r="D293" s="77"/>
      <c r="E293" s="76"/>
      <c r="F293" s="76"/>
      <c r="G293" s="76"/>
      <c r="H293" s="76"/>
      <c r="I293" s="76"/>
      <c r="J293" s="76"/>
      <c r="K293" s="7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7"/>
      <c r="AA293" s="58"/>
      <c r="AB293" s="58"/>
    </row>
    <row r="294" ht="15.75" customHeight="1">
      <c r="A294" s="76"/>
      <c r="B294" s="76"/>
      <c r="C294" s="77"/>
      <c r="D294" s="77"/>
      <c r="E294" s="76"/>
      <c r="F294" s="76"/>
      <c r="G294" s="76"/>
      <c r="H294" s="76"/>
      <c r="I294" s="76"/>
      <c r="J294" s="76"/>
      <c r="K294" s="7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7"/>
      <c r="AA294" s="58"/>
      <c r="AB294" s="58"/>
    </row>
    <row r="295" ht="15.75" customHeight="1">
      <c r="A295" s="76"/>
      <c r="B295" s="76"/>
      <c r="C295" s="77"/>
      <c r="D295" s="77"/>
      <c r="E295" s="76"/>
      <c r="F295" s="76"/>
      <c r="G295" s="76"/>
      <c r="H295" s="76"/>
      <c r="I295" s="76"/>
      <c r="J295" s="76"/>
      <c r="K295" s="7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7"/>
      <c r="AA295" s="58"/>
      <c r="AB295" s="58"/>
    </row>
    <row r="296" ht="15.75" customHeight="1">
      <c r="A296" s="76"/>
      <c r="B296" s="76"/>
      <c r="C296" s="77"/>
      <c r="D296" s="77"/>
      <c r="E296" s="76"/>
      <c r="F296" s="76"/>
      <c r="G296" s="76"/>
      <c r="H296" s="76"/>
      <c r="I296" s="76"/>
      <c r="J296" s="76"/>
      <c r="K296" s="7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7"/>
      <c r="AA296" s="58"/>
      <c r="AB296" s="58"/>
    </row>
    <row r="297" ht="15.75" customHeight="1">
      <c r="A297" s="76"/>
      <c r="B297" s="76"/>
      <c r="C297" s="77"/>
      <c r="D297" s="77"/>
      <c r="E297" s="76"/>
      <c r="F297" s="76"/>
      <c r="G297" s="76"/>
      <c r="H297" s="76"/>
      <c r="I297" s="76"/>
      <c r="J297" s="76"/>
      <c r="K297" s="7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7"/>
      <c r="AA297" s="58"/>
      <c r="AB297" s="58"/>
    </row>
    <row r="298" ht="15.75" customHeight="1">
      <c r="A298" s="76"/>
      <c r="B298" s="76"/>
      <c r="C298" s="77"/>
      <c r="D298" s="77"/>
      <c r="E298" s="76"/>
      <c r="F298" s="76"/>
      <c r="G298" s="76"/>
      <c r="H298" s="76"/>
      <c r="I298" s="76"/>
      <c r="J298" s="76"/>
      <c r="K298" s="7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7"/>
      <c r="AA298" s="58"/>
      <c r="AB298" s="58"/>
    </row>
    <row r="299" ht="15.75" customHeight="1">
      <c r="A299" s="76"/>
      <c r="B299" s="76"/>
      <c r="C299" s="77"/>
      <c r="D299" s="77"/>
      <c r="E299" s="76"/>
      <c r="F299" s="76"/>
      <c r="G299" s="76"/>
      <c r="H299" s="76"/>
      <c r="I299" s="76"/>
      <c r="J299" s="76"/>
      <c r="K299" s="7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7"/>
      <c r="AA299" s="58"/>
      <c r="AB299" s="58"/>
    </row>
    <row r="300" ht="15.75" customHeight="1">
      <c r="A300" s="76"/>
      <c r="B300" s="76"/>
      <c r="C300" s="77"/>
      <c r="D300" s="77"/>
      <c r="E300" s="76"/>
      <c r="F300" s="76"/>
      <c r="G300" s="76"/>
      <c r="H300" s="76"/>
      <c r="I300" s="76"/>
      <c r="J300" s="76"/>
      <c r="K300" s="7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7"/>
      <c r="AA300" s="58"/>
      <c r="AB300" s="58"/>
    </row>
    <row r="301" ht="15.75" customHeight="1">
      <c r="A301" s="76"/>
      <c r="B301" s="76"/>
      <c r="C301" s="77"/>
      <c r="D301" s="77"/>
      <c r="E301" s="76"/>
      <c r="F301" s="76"/>
      <c r="G301" s="76"/>
      <c r="H301" s="76"/>
      <c r="I301" s="76"/>
      <c r="J301" s="76"/>
      <c r="K301" s="7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7"/>
      <c r="AA301" s="58"/>
      <c r="AB301" s="58"/>
    </row>
    <row r="302" ht="15.75" customHeight="1">
      <c r="A302" s="76"/>
      <c r="B302" s="76"/>
      <c r="C302" s="77"/>
      <c r="D302" s="77"/>
      <c r="E302" s="76"/>
      <c r="F302" s="76"/>
      <c r="G302" s="76"/>
      <c r="H302" s="76"/>
      <c r="I302" s="76"/>
      <c r="J302" s="76"/>
      <c r="K302" s="7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7"/>
      <c r="AA302" s="58"/>
      <c r="AB302" s="58"/>
    </row>
    <row r="303" ht="15.75" customHeight="1">
      <c r="A303" s="76"/>
      <c r="B303" s="76"/>
      <c r="C303" s="77"/>
      <c r="D303" s="77"/>
      <c r="E303" s="76"/>
      <c r="F303" s="76"/>
      <c r="G303" s="76"/>
      <c r="H303" s="76"/>
      <c r="I303" s="76"/>
      <c r="J303" s="76"/>
      <c r="K303" s="7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7"/>
      <c r="AA303" s="58"/>
      <c r="AB303" s="58"/>
    </row>
    <row r="304" ht="15.75" customHeight="1">
      <c r="A304" s="76"/>
      <c r="B304" s="76"/>
      <c r="C304" s="77"/>
      <c r="D304" s="77"/>
      <c r="E304" s="76"/>
      <c r="F304" s="76"/>
      <c r="G304" s="76"/>
      <c r="H304" s="76"/>
      <c r="I304" s="76"/>
      <c r="J304" s="76"/>
      <c r="K304" s="7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7"/>
      <c r="AA304" s="58"/>
      <c r="AB304" s="58"/>
    </row>
    <row r="305" ht="15.75" customHeight="1">
      <c r="A305" s="76"/>
      <c r="B305" s="76"/>
      <c r="C305" s="77"/>
      <c r="D305" s="77"/>
      <c r="E305" s="76"/>
      <c r="F305" s="76"/>
      <c r="G305" s="76"/>
      <c r="H305" s="76"/>
      <c r="I305" s="76"/>
      <c r="J305" s="76"/>
      <c r="K305" s="7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7"/>
      <c r="AA305" s="58"/>
      <c r="AB305" s="58"/>
    </row>
    <row r="306" ht="15.75" customHeight="1">
      <c r="A306" s="76"/>
      <c r="B306" s="76"/>
      <c r="C306" s="77"/>
      <c r="D306" s="77"/>
      <c r="E306" s="76"/>
      <c r="F306" s="76"/>
      <c r="G306" s="76"/>
      <c r="H306" s="76"/>
      <c r="I306" s="76"/>
      <c r="J306" s="76"/>
      <c r="K306" s="7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7"/>
      <c r="AA306" s="58"/>
      <c r="AB306" s="58"/>
    </row>
    <row r="307" ht="15.75" customHeight="1">
      <c r="A307" s="76"/>
      <c r="B307" s="76"/>
      <c r="C307" s="77"/>
      <c r="D307" s="77"/>
      <c r="E307" s="76"/>
      <c r="F307" s="76"/>
      <c r="G307" s="76"/>
      <c r="H307" s="76"/>
      <c r="I307" s="76"/>
      <c r="J307" s="76"/>
      <c r="K307" s="7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7"/>
      <c r="AA307" s="58"/>
      <c r="AB307" s="58"/>
    </row>
    <row r="308" ht="15.75" customHeight="1">
      <c r="A308" s="76"/>
      <c r="B308" s="76"/>
      <c r="C308" s="77"/>
      <c r="D308" s="77"/>
      <c r="E308" s="76"/>
      <c r="F308" s="76"/>
      <c r="G308" s="76"/>
      <c r="H308" s="76"/>
      <c r="I308" s="76"/>
      <c r="J308" s="76"/>
      <c r="K308" s="7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7"/>
      <c r="AA308" s="58"/>
      <c r="AB308" s="58"/>
    </row>
    <row r="309" ht="15.75" customHeight="1">
      <c r="A309" s="78"/>
      <c r="B309" s="78"/>
      <c r="C309" s="79"/>
      <c r="D309" s="79"/>
      <c r="E309" s="78"/>
      <c r="F309" s="78"/>
      <c r="G309" s="78"/>
      <c r="H309" s="78"/>
      <c r="I309" s="78"/>
      <c r="J309" s="78"/>
      <c r="K309" s="78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7"/>
      <c r="AA309" s="58"/>
      <c r="AB309" s="59"/>
    </row>
    <row r="310" ht="15.75" customHeight="1">
      <c r="A310" s="78"/>
      <c r="B310" s="78"/>
      <c r="C310" s="79"/>
      <c r="D310" s="79"/>
      <c r="E310" s="78"/>
      <c r="F310" s="78"/>
      <c r="G310" s="78"/>
      <c r="H310" s="78"/>
      <c r="I310" s="78"/>
      <c r="J310" s="78"/>
      <c r="K310" s="78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7"/>
      <c r="AA310" s="58"/>
      <c r="AB310" s="59"/>
    </row>
    <row r="311" ht="15.75" customHeight="1">
      <c r="A311" s="78"/>
      <c r="B311" s="78"/>
      <c r="C311" s="79"/>
      <c r="D311" s="79"/>
      <c r="E311" s="78"/>
      <c r="F311" s="78"/>
      <c r="G311" s="78"/>
      <c r="H311" s="78"/>
      <c r="I311" s="78"/>
      <c r="J311" s="78"/>
      <c r="K311" s="78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7"/>
      <c r="AA311" s="58"/>
      <c r="AB311" s="59"/>
    </row>
    <row r="312" ht="15.75" customHeight="1">
      <c r="A312" s="78"/>
      <c r="B312" s="78"/>
      <c r="C312" s="79"/>
      <c r="D312" s="79"/>
      <c r="E312" s="78"/>
      <c r="F312" s="78"/>
      <c r="G312" s="78"/>
      <c r="H312" s="78"/>
      <c r="I312" s="78"/>
      <c r="J312" s="78"/>
      <c r="K312" s="78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7"/>
      <c r="AA312" s="58"/>
      <c r="AB312" s="59"/>
    </row>
    <row r="313" ht="15.75" customHeight="1">
      <c r="A313" s="78"/>
      <c r="B313" s="78"/>
      <c r="C313" s="79"/>
      <c r="D313" s="79"/>
      <c r="E313" s="78"/>
      <c r="F313" s="78"/>
      <c r="G313" s="78"/>
      <c r="H313" s="78"/>
      <c r="I313" s="78"/>
      <c r="J313" s="78"/>
      <c r="K313" s="78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7"/>
      <c r="AA313" s="58"/>
      <c r="AB313" s="59"/>
    </row>
    <row r="314" ht="15.75" customHeight="1">
      <c r="A314" s="78"/>
      <c r="B314" s="78"/>
      <c r="C314" s="79"/>
      <c r="D314" s="79"/>
      <c r="E314" s="78"/>
      <c r="F314" s="78"/>
      <c r="G314" s="78"/>
      <c r="H314" s="78"/>
      <c r="I314" s="78"/>
      <c r="J314" s="78"/>
      <c r="K314" s="78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7"/>
      <c r="AA314" s="58"/>
      <c r="AB314" s="59"/>
    </row>
    <row r="315" ht="15.75" customHeight="1">
      <c r="A315" s="78"/>
      <c r="B315" s="78"/>
      <c r="C315" s="79"/>
      <c r="D315" s="79"/>
      <c r="E315" s="78"/>
      <c r="F315" s="78"/>
      <c r="G315" s="78"/>
      <c r="H315" s="78"/>
      <c r="I315" s="78"/>
      <c r="J315" s="78"/>
      <c r="K315" s="78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7"/>
      <c r="AA315" s="58"/>
      <c r="AB315" s="59"/>
    </row>
    <row r="316" ht="15.75" customHeight="1">
      <c r="A316" s="78"/>
      <c r="B316" s="78"/>
      <c r="C316" s="79"/>
      <c r="D316" s="79"/>
      <c r="E316" s="78"/>
      <c r="F316" s="78"/>
      <c r="G316" s="78"/>
      <c r="H316" s="78"/>
      <c r="I316" s="78"/>
      <c r="J316" s="78"/>
      <c r="K316" s="78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7"/>
      <c r="AA316" s="58"/>
      <c r="AB316" s="59"/>
    </row>
    <row r="317" ht="15.75" customHeight="1">
      <c r="A317" s="78"/>
      <c r="B317" s="78"/>
      <c r="C317" s="79"/>
      <c r="D317" s="79"/>
      <c r="E317" s="78"/>
      <c r="F317" s="78"/>
      <c r="G317" s="78"/>
      <c r="H317" s="78"/>
      <c r="I317" s="78"/>
      <c r="J317" s="78"/>
      <c r="K317" s="78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7"/>
      <c r="AA317" s="58"/>
      <c r="AB317" s="59"/>
    </row>
    <row r="318" ht="15.75" customHeight="1">
      <c r="A318" s="78"/>
      <c r="B318" s="78"/>
      <c r="C318" s="79"/>
      <c r="D318" s="79"/>
      <c r="E318" s="78"/>
      <c r="F318" s="78"/>
      <c r="G318" s="78"/>
      <c r="H318" s="78"/>
      <c r="I318" s="78"/>
      <c r="J318" s="78"/>
      <c r="K318" s="78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7"/>
      <c r="AA318" s="58"/>
      <c r="AB318" s="59"/>
    </row>
    <row r="319" ht="15.75" customHeight="1">
      <c r="A319" s="78"/>
      <c r="B319" s="78"/>
      <c r="C319" s="79"/>
      <c r="D319" s="79"/>
      <c r="E319" s="78"/>
      <c r="F319" s="78"/>
      <c r="G319" s="78"/>
      <c r="H319" s="78"/>
      <c r="I319" s="78"/>
      <c r="J319" s="78"/>
      <c r="K319" s="78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7"/>
      <c r="AA319" s="58"/>
      <c r="AB319" s="59"/>
    </row>
    <row r="320" ht="15.75" customHeight="1">
      <c r="A320" s="78"/>
      <c r="B320" s="78"/>
      <c r="C320" s="79"/>
      <c r="D320" s="79"/>
      <c r="E320" s="78"/>
      <c r="F320" s="78"/>
      <c r="G320" s="78"/>
      <c r="H320" s="78"/>
      <c r="I320" s="78"/>
      <c r="J320" s="78"/>
      <c r="K320" s="78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7"/>
      <c r="AA320" s="58"/>
      <c r="AB320" s="59"/>
    </row>
    <row r="321" ht="15.75" customHeight="1">
      <c r="A321" s="78"/>
      <c r="B321" s="78"/>
      <c r="C321" s="79"/>
      <c r="D321" s="79"/>
      <c r="E321" s="78"/>
      <c r="F321" s="78"/>
      <c r="G321" s="78"/>
      <c r="H321" s="78"/>
      <c r="I321" s="78"/>
      <c r="J321" s="78"/>
      <c r="K321" s="78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7"/>
      <c r="AA321" s="58"/>
      <c r="AB321" s="59"/>
    </row>
    <row r="322" ht="15.75" customHeight="1">
      <c r="A322" s="78"/>
      <c r="B322" s="78"/>
      <c r="C322" s="79"/>
      <c r="D322" s="79"/>
      <c r="E322" s="78"/>
      <c r="F322" s="78"/>
      <c r="G322" s="78"/>
      <c r="H322" s="78"/>
      <c r="I322" s="78"/>
      <c r="J322" s="78"/>
      <c r="K322" s="78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7"/>
      <c r="AA322" s="58"/>
      <c r="AB322" s="59"/>
    </row>
    <row r="323" ht="15.75" customHeight="1">
      <c r="A323" s="78"/>
      <c r="B323" s="78"/>
      <c r="C323" s="79"/>
      <c r="D323" s="79"/>
      <c r="E323" s="78"/>
      <c r="F323" s="78"/>
      <c r="G323" s="78"/>
      <c r="H323" s="78"/>
      <c r="I323" s="78"/>
      <c r="J323" s="78"/>
      <c r="K323" s="78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7"/>
      <c r="AA323" s="58"/>
      <c r="AB323" s="59"/>
    </row>
    <row r="324" ht="15.75" customHeight="1">
      <c r="A324" s="78"/>
      <c r="B324" s="78"/>
      <c r="C324" s="79"/>
      <c r="D324" s="79"/>
      <c r="E324" s="78"/>
      <c r="F324" s="78"/>
      <c r="G324" s="78"/>
      <c r="H324" s="78"/>
      <c r="I324" s="78"/>
      <c r="J324" s="78"/>
      <c r="K324" s="78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7"/>
      <c r="AA324" s="58"/>
      <c r="AB324" s="59"/>
    </row>
    <row r="325" ht="15.75" customHeight="1">
      <c r="A325" s="78"/>
      <c r="B325" s="78"/>
      <c r="C325" s="79"/>
      <c r="D325" s="79"/>
      <c r="E325" s="78"/>
      <c r="F325" s="78"/>
      <c r="G325" s="78"/>
      <c r="H325" s="78"/>
      <c r="I325" s="78"/>
      <c r="J325" s="78"/>
      <c r="K325" s="78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7"/>
      <c r="AA325" s="58"/>
      <c r="AB325" s="59"/>
    </row>
    <row r="326" ht="15.75" customHeight="1">
      <c r="A326" s="78"/>
      <c r="B326" s="78"/>
      <c r="C326" s="79"/>
      <c r="D326" s="79"/>
      <c r="E326" s="78"/>
      <c r="F326" s="78"/>
      <c r="G326" s="78"/>
      <c r="H326" s="78"/>
      <c r="I326" s="78"/>
      <c r="J326" s="78"/>
      <c r="K326" s="78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7"/>
      <c r="AA326" s="58"/>
      <c r="AB326" s="59"/>
    </row>
    <row r="327" ht="15.75" customHeight="1">
      <c r="A327" s="78"/>
      <c r="B327" s="78"/>
      <c r="C327" s="79"/>
      <c r="D327" s="79"/>
      <c r="E327" s="78"/>
      <c r="F327" s="78"/>
      <c r="G327" s="78"/>
      <c r="H327" s="78"/>
      <c r="I327" s="78"/>
      <c r="J327" s="78"/>
      <c r="K327" s="78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7"/>
      <c r="AA327" s="58"/>
      <c r="AB327" s="59"/>
    </row>
    <row r="328" ht="15.75" customHeight="1">
      <c r="A328" s="78"/>
      <c r="B328" s="78"/>
      <c r="C328" s="79"/>
      <c r="D328" s="79"/>
      <c r="E328" s="78"/>
      <c r="F328" s="78"/>
      <c r="G328" s="78"/>
      <c r="H328" s="78"/>
      <c r="I328" s="78"/>
      <c r="J328" s="78"/>
      <c r="K328" s="78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7"/>
      <c r="AA328" s="58"/>
      <c r="AB328" s="59"/>
    </row>
    <row r="329" ht="15.75" customHeight="1">
      <c r="A329" s="78"/>
      <c r="B329" s="78"/>
      <c r="C329" s="79"/>
      <c r="D329" s="79"/>
      <c r="E329" s="78"/>
      <c r="F329" s="78"/>
      <c r="G329" s="78"/>
      <c r="H329" s="78"/>
      <c r="I329" s="78"/>
      <c r="J329" s="78"/>
      <c r="K329" s="78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7"/>
      <c r="AA329" s="58"/>
      <c r="AB329" s="59"/>
    </row>
    <row r="330" ht="15.75" customHeight="1">
      <c r="A330" s="78"/>
      <c r="B330" s="78"/>
      <c r="C330" s="79"/>
      <c r="D330" s="79"/>
      <c r="E330" s="78"/>
      <c r="F330" s="78"/>
      <c r="G330" s="78"/>
      <c r="H330" s="78"/>
      <c r="I330" s="78"/>
      <c r="J330" s="78"/>
      <c r="K330" s="78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7"/>
      <c r="AA330" s="58"/>
      <c r="AB330" s="59"/>
    </row>
    <row r="331" ht="15.75" customHeight="1">
      <c r="A331" s="78"/>
      <c r="B331" s="78"/>
      <c r="C331" s="79"/>
      <c r="D331" s="79"/>
      <c r="E331" s="78"/>
      <c r="F331" s="78"/>
      <c r="G331" s="78"/>
      <c r="H331" s="78"/>
      <c r="I331" s="78"/>
      <c r="J331" s="78"/>
      <c r="K331" s="78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7"/>
      <c r="AA331" s="58"/>
      <c r="AB331" s="59"/>
    </row>
    <row r="332" ht="15.75" customHeight="1">
      <c r="A332" s="78"/>
      <c r="B332" s="78"/>
      <c r="C332" s="79"/>
      <c r="D332" s="79"/>
      <c r="E332" s="78"/>
      <c r="F332" s="78"/>
      <c r="G332" s="78"/>
      <c r="H332" s="78"/>
      <c r="I332" s="78"/>
      <c r="J332" s="78"/>
      <c r="K332" s="78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7"/>
      <c r="AA332" s="58"/>
      <c r="AB332" s="59"/>
    </row>
    <row r="333" ht="15.75" customHeight="1">
      <c r="A333" s="78"/>
      <c r="B333" s="78"/>
      <c r="C333" s="79"/>
      <c r="D333" s="79"/>
      <c r="E333" s="78"/>
      <c r="F333" s="78"/>
      <c r="G333" s="78"/>
      <c r="H333" s="78"/>
      <c r="I333" s="78"/>
      <c r="J333" s="78"/>
      <c r="K333" s="78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7"/>
      <c r="AA333" s="58"/>
      <c r="AB333" s="59"/>
    </row>
    <row r="334" ht="15.75" customHeight="1">
      <c r="A334" s="78"/>
      <c r="B334" s="78"/>
      <c r="C334" s="79"/>
      <c r="D334" s="79"/>
      <c r="E334" s="78"/>
      <c r="F334" s="78"/>
      <c r="G334" s="78"/>
      <c r="H334" s="78"/>
      <c r="I334" s="78"/>
      <c r="J334" s="78"/>
      <c r="K334" s="78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7"/>
      <c r="AA334" s="58"/>
      <c r="AB334" s="59"/>
    </row>
    <row r="335" ht="15.75" customHeight="1">
      <c r="A335" s="78"/>
      <c r="B335" s="78"/>
      <c r="C335" s="79"/>
      <c r="D335" s="79"/>
      <c r="E335" s="78"/>
      <c r="F335" s="78"/>
      <c r="G335" s="78"/>
      <c r="H335" s="78"/>
      <c r="I335" s="78"/>
      <c r="J335" s="78"/>
      <c r="K335" s="78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7"/>
      <c r="AA335" s="58"/>
      <c r="AB335" s="59"/>
    </row>
    <row r="336" ht="15.75" customHeight="1">
      <c r="A336" s="78"/>
      <c r="B336" s="78"/>
      <c r="C336" s="79"/>
      <c r="D336" s="79"/>
      <c r="E336" s="78"/>
      <c r="F336" s="78"/>
      <c r="G336" s="78"/>
      <c r="H336" s="78"/>
      <c r="I336" s="78"/>
      <c r="J336" s="78"/>
      <c r="K336" s="78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7"/>
      <c r="AA336" s="58"/>
      <c r="AB336" s="59"/>
    </row>
    <row r="337" ht="15.75" customHeight="1">
      <c r="A337" s="78"/>
      <c r="B337" s="78"/>
      <c r="C337" s="79"/>
      <c r="D337" s="79"/>
      <c r="E337" s="78"/>
      <c r="F337" s="78"/>
      <c r="G337" s="78"/>
      <c r="H337" s="78"/>
      <c r="I337" s="78"/>
      <c r="J337" s="78"/>
      <c r="K337" s="78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7"/>
      <c r="AA337" s="58"/>
      <c r="AB337" s="59"/>
    </row>
    <row r="338" ht="15.75" customHeight="1">
      <c r="A338" s="78"/>
      <c r="B338" s="78"/>
      <c r="C338" s="79"/>
      <c r="D338" s="79"/>
      <c r="E338" s="78"/>
      <c r="F338" s="78"/>
      <c r="G338" s="78"/>
      <c r="H338" s="78"/>
      <c r="I338" s="78"/>
      <c r="J338" s="78"/>
      <c r="K338" s="78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7"/>
      <c r="AA338" s="58"/>
      <c r="AB338" s="59"/>
    </row>
    <row r="339" ht="15.75" customHeight="1">
      <c r="A339" s="78"/>
      <c r="B339" s="78"/>
      <c r="C339" s="79"/>
      <c r="D339" s="79"/>
      <c r="E339" s="78"/>
      <c r="F339" s="78"/>
      <c r="G339" s="78"/>
      <c r="H339" s="78"/>
      <c r="I339" s="78"/>
      <c r="J339" s="78"/>
      <c r="K339" s="78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7"/>
      <c r="AA339" s="58"/>
      <c r="AB339" s="59"/>
    </row>
    <row r="340" ht="15.75" customHeight="1">
      <c r="A340" s="78"/>
      <c r="B340" s="78"/>
      <c r="C340" s="79"/>
      <c r="D340" s="79"/>
      <c r="E340" s="78"/>
      <c r="F340" s="78"/>
      <c r="G340" s="78"/>
      <c r="H340" s="78"/>
      <c r="I340" s="78"/>
      <c r="J340" s="78"/>
      <c r="K340" s="78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7"/>
      <c r="AA340" s="58"/>
      <c r="AB340" s="59"/>
    </row>
    <row r="341" ht="15.75" customHeight="1">
      <c r="A341" s="78"/>
      <c r="B341" s="78"/>
      <c r="C341" s="79"/>
      <c r="D341" s="79"/>
      <c r="E341" s="78"/>
      <c r="F341" s="78"/>
      <c r="G341" s="78"/>
      <c r="H341" s="78"/>
      <c r="I341" s="78"/>
      <c r="J341" s="78"/>
      <c r="K341" s="78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7"/>
      <c r="AA341" s="58"/>
      <c r="AB341" s="59"/>
    </row>
    <row r="342" ht="15.75" customHeight="1">
      <c r="A342" s="78"/>
      <c r="B342" s="78"/>
      <c r="C342" s="79"/>
      <c r="D342" s="79"/>
      <c r="E342" s="78"/>
      <c r="F342" s="78"/>
      <c r="G342" s="78"/>
      <c r="H342" s="78"/>
      <c r="I342" s="78"/>
      <c r="J342" s="78"/>
      <c r="K342" s="78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7"/>
      <c r="AA342" s="58"/>
      <c r="AB342" s="59"/>
    </row>
    <row r="343" ht="15.75" customHeight="1">
      <c r="A343" s="78"/>
      <c r="B343" s="78"/>
      <c r="C343" s="79"/>
      <c r="D343" s="79"/>
      <c r="E343" s="78"/>
      <c r="F343" s="78"/>
      <c r="G343" s="78"/>
      <c r="H343" s="78"/>
      <c r="I343" s="78"/>
      <c r="J343" s="78"/>
      <c r="K343" s="78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7"/>
      <c r="AA343" s="58"/>
      <c r="AB343" s="59"/>
    </row>
    <row r="344" ht="15.75" customHeight="1">
      <c r="A344" s="78"/>
      <c r="B344" s="78"/>
      <c r="C344" s="79"/>
      <c r="D344" s="79"/>
      <c r="E344" s="78"/>
      <c r="F344" s="78"/>
      <c r="G344" s="78"/>
      <c r="H344" s="78"/>
      <c r="I344" s="78"/>
      <c r="J344" s="78"/>
      <c r="K344" s="78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7"/>
      <c r="AA344" s="58"/>
      <c r="AB344" s="59"/>
    </row>
    <row r="345" ht="15.75" customHeight="1">
      <c r="A345" s="78"/>
      <c r="B345" s="78"/>
      <c r="C345" s="79"/>
      <c r="D345" s="79"/>
      <c r="E345" s="78"/>
      <c r="F345" s="78"/>
      <c r="G345" s="78"/>
      <c r="H345" s="78"/>
      <c r="I345" s="78"/>
      <c r="J345" s="78"/>
      <c r="K345" s="78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7"/>
      <c r="AA345" s="58"/>
      <c r="AB345" s="59"/>
    </row>
    <row r="346" ht="15.75" customHeight="1">
      <c r="A346" s="78"/>
      <c r="B346" s="78"/>
      <c r="C346" s="79"/>
      <c r="D346" s="79"/>
      <c r="E346" s="78"/>
      <c r="F346" s="78"/>
      <c r="G346" s="78"/>
      <c r="H346" s="78"/>
      <c r="I346" s="78"/>
      <c r="J346" s="78"/>
      <c r="K346" s="78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7"/>
      <c r="AA346" s="58"/>
      <c r="AB346" s="59"/>
    </row>
    <row r="347" ht="15.75" customHeight="1">
      <c r="A347" s="78"/>
      <c r="B347" s="78"/>
      <c r="C347" s="79"/>
      <c r="D347" s="79"/>
      <c r="E347" s="78"/>
      <c r="F347" s="78"/>
      <c r="G347" s="78"/>
      <c r="H347" s="78"/>
      <c r="I347" s="78"/>
      <c r="J347" s="78"/>
      <c r="K347" s="78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7"/>
      <c r="AA347" s="58"/>
      <c r="AB347" s="59"/>
    </row>
    <row r="348" ht="15.75" customHeight="1">
      <c r="A348" s="78"/>
      <c r="B348" s="78"/>
      <c r="C348" s="79"/>
      <c r="D348" s="79"/>
      <c r="E348" s="78"/>
      <c r="F348" s="78"/>
      <c r="G348" s="78"/>
      <c r="H348" s="78"/>
      <c r="I348" s="78"/>
      <c r="J348" s="78"/>
      <c r="K348" s="78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7"/>
      <c r="AA348" s="58"/>
      <c r="AB348" s="59"/>
    </row>
    <row r="349" ht="15.75" customHeight="1">
      <c r="A349" s="78"/>
      <c r="B349" s="78"/>
      <c r="C349" s="79"/>
      <c r="D349" s="79"/>
      <c r="E349" s="78"/>
      <c r="F349" s="78"/>
      <c r="G349" s="78"/>
      <c r="H349" s="78"/>
      <c r="I349" s="78"/>
      <c r="J349" s="78"/>
      <c r="K349" s="78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7"/>
      <c r="AA349" s="58"/>
      <c r="AB349" s="59"/>
    </row>
    <row r="350" ht="15.75" customHeight="1">
      <c r="A350" s="78"/>
      <c r="B350" s="78"/>
      <c r="C350" s="79"/>
      <c r="D350" s="79"/>
      <c r="E350" s="78"/>
      <c r="F350" s="78"/>
      <c r="G350" s="78"/>
      <c r="H350" s="78"/>
      <c r="I350" s="78"/>
      <c r="J350" s="78"/>
      <c r="K350" s="78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7"/>
      <c r="AA350" s="58"/>
      <c r="AB350" s="59"/>
    </row>
    <row r="351" ht="15.75" customHeight="1">
      <c r="A351" s="78"/>
      <c r="B351" s="78"/>
      <c r="C351" s="79"/>
      <c r="D351" s="79"/>
      <c r="E351" s="78"/>
      <c r="F351" s="78"/>
      <c r="G351" s="78"/>
      <c r="H351" s="78"/>
      <c r="I351" s="78"/>
      <c r="J351" s="78"/>
      <c r="K351" s="78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7"/>
      <c r="AA351" s="58"/>
      <c r="AB351" s="59"/>
    </row>
    <row r="352" ht="15.75" customHeight="1">
      <c r="A352" s="78"/>
      <c r="B352" s="78"/>
      <c r="C352" s="79"/>
      <c r="D352" s="79"/>
      <c r="E352" s="78"/>
      <c r="F352" s="78"/>
      <c r="G352" s="78"/>
      <c r="H352" s="78"/>
      <c r="I352" s="78"/>
      <c r="J352" s="78"/>
      <c r="K352" s="78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7"/>
      <c r="AA352" s="58"/>
      <c r="AB352" s="59"/>
    </row>
    <row r="353" ht="15.75" customHeight="1">
      <c r="A353" s="78"/>
      <c r="B353" s="78"/>
      <c r="C353" s="79"/>
      <c r="D353" s="79"/>
      <c r="E353" s="78"/>
      <c r="F353" s="78"/>
      <c r="G353" s="78"/>
      <c r="H353" s="78"/>
      <c r="I353" s="78"/>
      <c r="J353" s="78"/>
      <c r="K353" s="78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7"/>
      <c r="AA353" s="58"/>
      <c r="AB353" s="59"/>
    </row>
    <row r="354" ht="15.75" customHeight="1">
      <c r="A354" s="78"/>
      <c r="B354" s="78"/>
      <c r="C354" s="79"/>
      <c r="D354" s="79"/>
      <c r="E354" s="78"/>
      <c r="F354" s="78"/>
      <c r="G354" s="78"/>
      <c r="H354" s="78"/>
      <c r="I354" s="78"/>
      <c r="J354" s="78"/>
      <c r="K354" s="78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7"/>
      <c r="AA354" s="58"/>
      <c r="AB354" s="59"/>
    </row>
    <row r="355" ht="15.75" customHeight="1">
      <c r="A355" s="78"/>
      <c r="B355" s="78"/>
      <c r="C355" s="79"/>
      <c r="D355" s="79"/>
      <c r="E355" s="78"/>
      <c r="F355" s="78"/>
      <c r="G355" s="78"/>
      <c r="H355" s="78"/>
      <c r="I355" s="78"/>
      <c r="J355" s="78"/>
      <c r="K355" s="78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7"/>
      <c r="AA355" s="58"/>
      <c r="AB355" s="59"/>
    </row>
    <row r="356" ht="15.75" customHeight="1">
      <c r="A356" s="78"/>
      <c r="B356" s="78"/>
      <c r="C356" s="79"/>
      <c r="D356" s="79"/>
      <c r="E356" s="78"/>
      <c r="F356" s="78"/>
      <c r="G356" s="78"/>
      <c r="H356" s="78"/>
      <c r="I356" s="78"/>
      <c r="J356" s="78"/>
      <c r="K356" s="78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7"/>
      <c r="AA356" s="58"/>
      <c r="AB356" s="59"/>
    </row>
    <row r="357" ht="15.75" customHeight="1">
      <c r="A357" s="78"/>
      <c r="B357" s="78"/>
      <c r="C357" s="79"/>
      <c r="D357" s="79"/>
      <c r="E357" s="78"/>
      <c r="F357" s="78"/>
      <c r="G357" s="78"/>
      <c r="H357" s="78"/>
      <c r="I357" s="78"/>
      <c r="J357" s="78"/>
      <c r="K357" s="78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7"/>
      <c r="AA357" s="58"/>
      <c r="AB357" s="59"/>
    </row>
    <row r="358" ht="15.75" customHeight="1">
      <c r="A358" s="78"/>
      <c r="B358" s="78"/>
      <c r="C358" s="79"/>
      <c r="D358" s="79"/>
      <c r="E358" s="78"/>
      <c r="F358" s="78"/>
      <c r="G358" s="78"/>
      <c r="H358" s="78"/>
      <c r="I358" s="78"/>
      <c r="J358" s="78"/>
      <c r="K358" s="78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7"/>
      <c r="AA358" s="58"/>
      <c r="AB358" s="59"/>
    </row>
    <row r="359" ht="15.75" customHeight="1">
      <c r="A359" s="78"/>
      <c r="B359" s="78"/>
      <c r="C359" s="79"/>
      <c r="D359" s="79"/>
      <c r="E359" s="78"/>
      <c r="F359" s="78"/>
      <c r="G359" s="78"/>
      <c r="H359" s="78"/>
      <c r="I359" s="78"/>
      <c r="J359" s="78"/>
      <c r="K359" s="78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7"/>
      <c r="AA359" s="58"/>
      <c r="AB359" s="59"/>
    </row>
    <row r="360" ht="15.75" customHeight="1">
      <c r="A360" s="78"/>
      <c r="B360" s="78"/>
      <c r="C360" s="79"/>
      <c r="D360" s="79"/>
      <c r="E360" s="78"/>
      <c r="F360" s="78"/>
      <c r="G360" s="78"/>
      <c r="H360" s="78"/>
      <c r="I360" s="78"/>
      <c r="J360" s="78"/>
      <c r="K360" s="78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7"/>
      <c r="AA360" s="58"/>
      <c r="AB360" s="59"/>
    </row>
    <row r="361" ht="15.75" customHeight="1">
      <c r="A361" s="78"/>
      <c r="B361" s="78"/>
      <c r="C361" s="79"/>
      <c r="D361" s="79"/>
      <c r="E361" s="78"/>
      <c r="F361" s="78"/>
      <c r="G361" s="78"/>
      <c r="H361" s="78"/>
      <c r="I361" s="78"/>
      <c r="J361" s="78"/>
      <c r="K361" s="78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7"/>
      <c r="AA361" s="58"/>
      <c r="AB361" s="59"/>
    </row>
    <row r="362" ht="15.75" customHeight="1">
      <c r="A362" s="78"/>
      <c r="B362" s="78"/>
      <c r="C362" s="79"/>
      <c r="D362" s="79"/>
      <c r="E362" s="78"/>
      <c r="F362" s="78"/>
      <c r="G362" s="78"/>
      <c r="H362" s="78"/>
      <c r="I362" s="78"/>
      <c r="J362" s="78"/>
      <c r="K362" s="78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7"/>
      <c r="AA362" s="58"/>
      <c r="AB362" s="59"/>
    </row>
    <row r="363" ht="15.75" customHeight="1">
      <c r="A363" s="78"/>
      <c r="B363" s="78"/>
      <c r="C363" s="79"/>
      <c r="D363" s="79"/>
      <c r="E363" s="78"/>
      <c r="F363" s="78"/>
      <c r="G363" s="78"/>
      <c r="H363" s="78"/>
      <c r="I363" s="78"/>
      <c r="J363" s="78"/>
      <c r="K363" s="78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7"/>
      <c r="AA363" s="58"/>
      <c r="AB363" s="59"/>
    </row>
    <row r="364" ht="15.75" customHeight="1">
      <c r="A364" s="78"/>
      <c r="B364" s="78"/>
      <c r="C364" s="79"/>
      <c r="D364" s="79"/>
      <c r="E364" s="78"/>
      <c r="F364" s="78"/>
      <c r="G364" s="78"/>
      <c r="H364" s="78"/>
      <c r="I364" s="78"/>
      <c r="J364" s="78"/>
      <c r="K364" s="78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7"/>
      <c r="AA364" s="58"/>
      <c r="AB364" s="59"/>
    </row>
    <row r="365" ht="15.75" customHeight="1">
      <c r="A365" s="78"/>
      <c r="B365" s="78"/>
      <c r="C365" s="79"/>
      <c r="D365" s="79"/>
      <c r="E365" s="78"/>
      <c r="F365" s="78"/>
      <c r="G365" s="78"/>
      <c r="H365" s="78"/>
      <c r="I365" s="78"/>
      <c r="J365" s="78"/>
      <c r="K365" s="78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7"/>
      <c r="AA365" s="58"/>
      <c r="AB365" s="59"/>
    </row>
    <row r="366" ht="15.75" customHeight="1">
      <c r="A366" s="78"/>
      <c r="B366" s="78"/>
      <c r="C366" s="79"/>
      <c r="D366" s="79"/>
      <c r="E366" s="78"/>
      <c r="F366" s="78"/>
      <c r="G366" s="78"/>
      <c r="H366" s="78"/>
      <c r="I366" s="78"/>
      <c r="J366" s="78"/>
      <c r="K366" s="78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7"/>
      <c r="AA366" s="58"/>
      <c r="AB366" s="59"/>
    </row>
    <row r="367" ht="15.75" customHeight="1">
      <c r="A367" s="78"/>
      <c r="B367" s="78"/>
      <c r="C367" s="79"/>
      <c r="D367" s="79"/>
      <c r="E367" s="78"/>
      <c r="F367" s="78"/>
      <c r="G367" s="78"/>
      <c r="H367" s="78"/>
      <c r="I367" s="78"/>
      <c r="J367" s="78"/>
      <c r="K367" s="78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7"/>
      <c r="AA367" s="58"/>
      <c r="AB367" s="59"/>
    </row>
    <row r="368" ht="15.75" customHeight="1">
      <c r="A368" s="78"/>
      <c r="B368" s="78"/>
      <c r="C368" s="79"/>
      <c r="D368" s="79"/>
      <c r="E368" s="78"/>
      <c r="F368" s="78"/>
      <c r="G368" s="78"/>
      <c r="H368" s="78"/>
      <c r="I368" s="78"/>
      <c r="J368" s="78"/>
      <c r="K368" s="78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7"/>
      <c r="AA368" s="58"/>
      <c r="AB368" s="59"/>
    </row>
    <row r="369" ht="15.75" customHeight="1">
      <c r="A369" s="78"/>
      <c r="B369" s="78"/>
      <c r="C369" s="79"/>
      <c r="D369" s="79"/>
      <c r="E369" s="78"/>
      <c r="F369" s="78"/>
      <c r="G369" s="78"/>
      <c r="H369" s="78"/>
      <c r="I369" s="78"/>
      <c r="J369" s="78"/>
      <c r="K369" s="78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7"/>
      <c r="AA369" s="58"/>
      <c r="AB369" s="59"/>
    </row>
    <row r="370" ht="15.75" customHeight="1">
      <c r="A370" s="78"/>
      <c r="B370" s="78"/>
      <c r="C370" s="79"/>
      <c r="D370" s="79"/>
      <c r="E370" s="78"/>
      <c r="F370" s="78"/>
      <c r="G370" s="78"/>
      <c r="H370" s="78"/>
      <c r="I370" s="78"/>
      <c r="J370" s="78"/>
      <c r="K370" s="78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7"/>
      <c r="AA370" s="58"/>
      <c r="AB370" s="59"/>
    </row>
    <row r="371" ht="15.75" customHeight="1">
      <c r="A371" s="78"/>
      <c r="B371" s="78"/>
      <c r="C371" s="79"/>
      <c r="D371" s="79"/>
      <c r="E371" s="78"/>
      <c r="F371" s="78"/>
      <c r="G371" s="78"/>
      <c r="H371" s="78"/>
      <c r="I371" s="78"/>
      <c r="J371" s="78"/>
      <c r="K371" s="78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7"/>
      <c r="AA371" s="58"/>
      <c r="AB371" s="59"/>
    </row>
    <row r="372" ht="15.75" customHeight="1">
      <c r="A372" s="78"/>
      <c r="B372" s="78"/>
      <c r="C372" s="79"/>
      <c r="D372" s="79"/>
      <c r="E372" s="78"/>
      <c r="F372" s="78"/>
      <c r="G372" s="78"/>
      <c r="H372" s="78"/>
      <c r="I372" s="78"/>
      <c r="J372" s="78"/>
      <c r="K372" s="78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7"/>
      <c r="AA372" s="58"/>
      <c r="AB372" s="59"/>
    </row>
    <row r="373" ht="15.75" customHeight="1">
      <c r="A373" s="78"/>
      <c r="B373" s="78"/>
      <c r="C373" s="79"/>
      <c r="D373" s="79"/>
      <c r="E373" s="78"/>
      <c r="F373" s="78"/>
      <c r="G373" s="78"/>
      <c r="H373" s="78"/>
      <c r="I373" s="78"/>
      <c r="J373" s="78"/>
      <c r="K373" s="78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7"/>
      <c r="AA373" s="58"/>
      <c r="AB373" s="59"/>
    </row>
    <row r="374" ht="15.75" customHeight="1">
      <c r="A374" s="78"/>
      <c r="B374" s="78"/>
      <c r="C374" s="79"/>
      <c r="D374" s="79"/>
      <c r="E374" s="78"/>
      <c r="F374" s="78"/>
      <c r="G374" s="78"/>
      <c r="H374" s="78"/>
      <c r="I374" s="78"/>
      <c r="J374" s="78"/>
      <c r="K374" s="78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7"/>
      <c r="AA374" s="58"/>
      <c r="AB374" s="59"/>
    </row>
    <row r="375" ht="15.75" customHeight="1">
      <c r="A375" s="78"/>
      <c r="B375" s="78"/>
      <c r="C375" s="79"/>
      <c r="D375" s="79"/>
      <c r="E375" s="78"/>
      <c r="F375" s="78"/>
      <c r="G375" s="78"/>
      <c r="H375" s="78"/>
      <c r="I375" s="78"/>
      <c r="J375" s="78"/>
      <c r="K375" s="78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7"/>
      <c r="AA375" s="58"/>
      <c r="AB375" s="59"/>
    </row>
    <row r="376" ht="15.75" customHeight="1">
      <c r="A376" s="78"/>
      <c r="B376" s="78"/>
      <c r="C376" s="79"/>
      <c r="D376" s="79"/>
      <c r="E376" s="78"/>
      <c r="F376" s="78"/>
      <c r="G376" s="78"/>
      <c r="H376" s="78"/>
      <c r="I376" s="78"/>
      <c r="J376" s="78"/>
      <c r="K376" s="78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7"/>
      <c r="AA376" s="58"/>
      <c r="AB376" s="59"/>
    </row>
    <row r="377" ht="15.75" customHeight="1">
      <c r="A377" s="78"/>
      <c r="B377" s="78"/>
      <c r="C377" s="79"/>
      <c r="D377" s="79"/>
      <c r="E377" s="78"/>
      <c r="F377" s="78"/>
      <c r="G377" s="78"/>
      <c r="H377" s="78"/>
      <c r="I377" s="78"/>
      <c r="J377" s="78"/>
      <c r="K377" s="78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7"/>
      <c r="AA377" s="58"/>
      <c r="AB377" s="59"/>
    </row>
    <row r="378" ht="15.75" customHeight="1">
      <c r="A378" s="78"/>
      <c r="B378" s="78"/>
      <c r="C378" s="79"/>
      <c r="D378" s="79"/>
      <c r="E378" s="78"/>
      <c r="F378" s="78"/>
      <c r="G378" s="78"/>
      <c r="H378" s="78"/>
      <c r="I378" s="78"/>
      <c r="J378" s="78"/>
      <c r="K378" s="78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7"/>
      <c r="AA378" s="58"/>
      <c r="AB378" s="59"/>
    </row>
    <row r="379" ht="15.75" customHeight="1">
      <c r="A379" s="78"/>
      <c r="B379" s="78"/>
      <c r="C379" s="79"/>
      <c r="D379" s="79"/>
      <c r="E379" s="78"/>
      <c r="F379" s="78"/>
      <c r="G379" s="78"/>
      <c r="H379" s="78"/>
      <c r="I379" s="78"/>
      <c r="J379" s="78"/>
      <c r="K379" s="78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7"/>
      <c r="AA379" s="58"/>
      <c r="AB379" s="59"/>
    </row>
    <row r="380" ht="15.75" customHeight="1">
      <c r="A380" s="78"/>
      <c r="B380" s="78"/>
      <c r="C380" s="79"/>
      <c r="D380" s="79"/>
      <c r="E380" s="78"/>
      <c r="F380" s="78"/>
      <c r="G380" s="78"/>
      <c r="H380" s="78"/>
      <c r="I380" s="78"/>
      <c r="J380" s="78"/>
      <c r="K380" s="78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7"/>
      <c r="AA380" s="58"/>
      <c r="AB380" s="59"/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2:K180">
    <cfRule type="containsBlanks" dxfId="0" priority="1">
      <formula>LEN(TRIM(A2))=0</formula>
    </cfRule>
  </conditionalFormatting>
  <printOptions horizontalCentered="1"/>
  <pageMargins bottom="0.75" footer="0.0" header="0.0" left="0.7" right="0.7" top="0.75"/>
  <pageSetup paperSize="9" orientation="landscape"/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DC3E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5.63"/>
    <col customWidth="1" min="2" max="2" width="8.0"/>
    <col customWidth="1" min="3" max="3" width="17.75"/>
    <col customWidth="1" min="4" max="4" width="13.0"/>
    <col customWidth="1" min="5" max="6" width="5.38"/>
    <col customWidth="1" min="7" max="21" width="8.25"/>
    <col customWidth="1" min="22" max="28" width="7.0"/>
  </cols>
  <sheetData>
    <row r="1" ht="13.5" customHeight="1">
      <c r="A1" s="80" t="s">
        <v>0</v>
      </c>
      <c r="B1" s="80" t="s">
        <v>1</v>
      </c>
      <c r="C1" s="81" t="s">
        <v>2</v>
      </c>
      <c r="D1" s="81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41"/>
      <c r="M1" s="42"/>
      <c r="N1" s="42"/>
      <c r="O1" s="42"/>
      <c r="P1" s="42"/>
      <c r="Q1" s="42"/>
      <c r="R1" s="42"/>
      <c r="S1" s="42"/>
      <c r="T1" s="42"/>
      <c r="U1" s="42"/>
      <c r="V1" s="43"/>
      <c r="W1" s="43"/>
      <c r="X1" s="43"/>
      <c r="Y1" s="43"/>
      <c r="Z1" s="44"/>
      <c r="AA1" s="45"/>
      <c r="AB1" s="46"/>
    </row>
    <row r="2" ht="13.5" customHeight="1">
      <c r="A2" s="47">
        <f>IFERROR(__xludf.DUMMYFUNCTION("importrange(""https://docs.google.com/spreadsheets/d/1SneboWg5ForOUIMyz7kk7PNTpQ7WlnVISde0cc3ncMg/edit?gid=350079654#gid=350079654"",""Resultats_MH!A2:O180"")"),1.0)</f>
        <v>1</v>
      </c>
      <c r="B2" s="48" t="str">
        <f>IFERROR(__xludf.DUMMYFUNCTION("""COMPUTED_VALUE"""),"133")</f>
        <v>133</v>
      </c>
      <c r="C2" s="49" t="str">
        <f>IFERROR(__xludf.DUMMYFUNCTION("""COMPUTED_VALUE"""),"ROSANVALLON")</f>
        <v>ROSANVALLON</v>
      </c>
      <c r="D2" s="50" t="str">
        <f>IFERROR(__xludf.DUMMYFUNCTION("""COMPUTED_VALUE"""),"JÉRÉMIE")</f>
        <v>JÉRÉMIE</v>
      </c>
      <c r="E2" s="51" t="str">
        <f>IFERROR(__xludf.DUMMYFUNCTION("""COMPUTED_VALUE"""),"MH2")</f>
        <v>MH2</v>
      </c>
      <c r="F2" s="82">
        <f>IFERROR(__xludf.DUMMYFUNCTION("""COMPUTED_VALUE"""),1.0)</f>
        <v>1</v>
      </c>
      <c r="G2" s="52">
        <f>IFERROR(__xludf.DUMMYFUNCTION("""COMPUTED_VALUE"""),0.017974537292888285)</f>
        <v>0.01797453729</v>
      </c>
      <c r="H2" s="53">
        <f>IFERROR(__xludf.DUMMYFUNCTION("""COMPUTED_VALUE"""),0.0035995371434428677)</f>
        <v>0.003599537143</v>
      </c>
      <c r="I2" s="53">
        <f>IFERROR(__xludf.DUMMYFUNCTION("""COMPUTED_VALUE"""),0.006053240790774919)</f>
        <v>0.006053240791</v>
      </c>
      <c r="J2" s="53">
        <f>IFERROR(__xludf.DUMMYFUNCTION("""COMPUTED_VALUE"""),0.007743054866994234)</f>
        <v>0.007743054867</v>
      </c>
      <c r="K2" s="54">
        <f>IFERROR(__xludf.DUMMYFUNCTION("""COMPUTED_VALUE"""),5.787044916762641E-4)</f>
        <v>0.0005787044917</v>
      </c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6"/>
      <c r="X2" s="56"/>
      <c r="Y2" s="56"/>
      <c r="Z2" s="57"/>
      <c r="AA2" s="58"/>
      <c r="AB2" s="59"/>
    </row>
    <row r="3" ht="13.5" customHeight="1">
      <c r="A3" s="60">
        <f>IFERROR(__xludf.DUMMYFUNCTION("""COMPUTED_VALUE"""),2.0)</f>
        <v>2</v>
      </c>
      <c r="B3" s="61" t="str">
        <f>IFERROR(__xludf.DUMMYFUNCTION("""COMPUTED_VALUE"""),"205")</f>
        <v>205</v>
      </c>
      <c r="C3" s="62" t="str">
        <f>IFERROR(__xludf.DUMMYFUNCTION("""COMPUTED_VALUE"""),"MARTIN")</f>
        <v>MARTIN</v>
      </c>
      <c r="D3" s="63" t="str">
        <f>IFERROR(__xludf.DUMMYFUNCTION("""COMPUTED_VALUE"""),"NICOLAS")</f>
        <v>NICOLAS</v>
      </c>
      <c r="E3" s="51" t="str">
        <f>IFERROR(__xludf.DUMMYFUNCTION("""COMPUTED_VALUE"""),"MH1")</f>
        <v>MH1</v>
      </c>
      <c r="F3" s="82">
        <f>IFERROR(__xludf.DUMMYFUNCTION("""COMPUTED_VALUE"""),1.0)</f>
        <v>1</v>
      </c>
      <c r="G3" s="52">
        <f>IFERROR(__xludf.DUMMYFUNCTION("""COMPUTED_VALUE"""),0.018159722436965547)</f>
        <v>0.01815972244</v>
      </c>
      <c r="H3" s="53">
        <f>IFERROR(__xludf.DUMMYFUNCTION("""COMPUTED_VALUE"""),0.003078703808924521)</f>
        <v>0.003078703809</v>
      </c>
      <c r="I3" s="53">
        <f>IFERROR(__xludf.DUMMYFUNCTION("""COMPUTED_VALUE"""),0.007210648236009258)</f>
        <v>0.007210648236</v>
      </c>
      <c r="J3" s="53">
        <f>IFERROR(__xludf.DUMMYFUNCTION("""COMPUTED_VALUE"""),0.00739583331789034)</f>
        <v>0.007395833318</v>
      </c>
      <c r="K3" s="54">
        <f>IFERROR(__xludf.DUMMYFUNCTION("""COMPUTED_VALUE"""),4.745370741414275E-4)</f>
        <v>0.0004745370741</v>
      </c>
      <c r="L3" s="55"/>
      <c r="M3" s="55"/>
      <c r="N3" s="55"/>
      <c r="O3" s="55"/>
      <c r="P3" s="55"/>
      <c r="Q3" s="55"/>
      <c r="R3" s="55"/>
      <c r="S3" s="55"/>
      <c r="T3" s="55"/>
      <c r="U3" s="55"/>
      <c r="V3" s="56"/>
      <c r="W3" s="56"/>
      <c r="X3" s="56"/>
      <c r="Y3" s="56"/>
      <c r="Z3" s="57"/>
      <c r="AA3" s="58"/>
      <c r="AB3" s="59"/>
    </row>
    <row r="4" ht="13.5" customHeight="1">
      <c r="A4" s="60">
        <f>IFERROR(__xludf.DUMMYFUNCTION("""COMPUTED_VALUE"""),3.0)</f>
        <v>3</v>
      </c>
      <c r="B4" s="61" t="str">
        <f>IFERROR(__xludf.DUMMYFUNCTION("""COMPUTED_VALUE"""),"222")</f>
        <v>222</v>
      </c>
      <c r="C4" s="62" t="str">
        <f>IFERROR(__xludf.DUMMYFUNCTION("""COMPUTED_VALUE"""),"DECANTER")</f>
        <v>DECANTER</v>
      </c>
      <c r="D4" s="63" t="str">
        <f>IFERROR(__xludf.DUMMYFUNCTION("""COMPUTED_VALUE"""),"MATTHIAS")</f>
        <v>MATTHIAS</v>
      </c>
      <c r="E4" s="51" t="str">
        <f>IFERROR(__xludf.DUMMYFUNCTION("""COMPUTED_VALUE"""),"MH2")</f>
        <v>MH2</v>
      </c>
      <c r="F4" s="82">
        <f>IFERROR(__xludf.DUMMYFUNCTION("""COMPUTED_VALUE"""),2.0)</f>
        <v>2</v>
      </c>
      <c r="G4" s="52">
        <f>IFERROR(__xludf.DUMMYFUNCTION("""COMPUTED_VALUE"""),0.01831018621949648)</f>
        <v>0.01831018622</v>
      </c>
      <c r="H4" s="53">
        <f>IFERROR(__xludf.DUMMYFUNCTION("""COMPUTED_VALUE"""),0.002824074104806017)</f>
        <v>0.002824074105</v>
      </c>
      <c r="I4" s="53">
        <f>IFERROR(__xludf.DUMMYFUNCTION("""COMPUTED_VALUE"""),0.00694444451822039)</f>
        <v>0.006944444518</v>
      </c>
      <c r="J4" s="53">
        <f>IFERROR(__xludf.DUMMYFUNCTION("""COMPUTED_VALUE"""),0.007719907784390688)</f>
        <v>0.007719907784</v>
      </c>
      <c r="K4" s="54">
        <f>IFERROR(__xludf.DUMMYFUNCTION("""COMPUTED_VALUE"""),8.217598120793842E-4)</f>
        <v>0.0008217598121</v>
      </c>
      <c r="L4" s="55"/>
      <c r="M4" s="55"/>
      <c r="N4" s="55"/>
      <c r="O4" s="55"/>
      <c r="P4" s="55"/>
      <c r="Q4" s="55"/>
      <c r="R4" s="55"/>
      <c r="S4" s="55"/>
      <c r="T4" s="55"/>
      <c r="U4" s="55"/>
      <c r="V4" s="56"/>
      <c r="W4" s="56"/>
      <c r="X4" s="56"/>
      <c r="Y4" s="56"/>
      <c r="Z4" s="57"/>
      <c r="AA4" s="58"/>
      <c r="AB4" s="59"/>
    </row>
    <row r="5" ht="13.5" customHeight="1">
      <c r="A5" s="60">
        <f>IFERROR(__xludf.DUMMYFUNCTION("""COMPUTED_VALUE"""),4.0)</f>
        <v>4</v>
      </c>
      <c r="B5" s="61" t="str">
        <f>IFERROR(__xludf.DUMMYFUNCTION("""COMPUTED_VALUE"""),"179")</f>
        <v>179</v>
      </c>
      <c r="C5" s="62" t="str">
        <f>IFERROR(__xludf.DUMMYFUNCTION("""COMPUTED_VALUE"""),"ONALI")</f>
        <v>ONALI</v>
      </c>
      <c r="D5" s="63" t="str">
        <f>IFERROR(__xludf.DUMMYFUNCTION("""COMPUTED_VALUE"""),"GEORGES LUCIEN")</f>
        <v>GEORGES LUCIEN</v>
      </c>
      <c r="E5" s="51" t="str">
        <f>IFERROR(__xludf.DUMMYFUNCTION("""COMPUTED_VALUE"""),"MH4")</f>
        <v>MH4</v>
      </c>
      <c r="F5" s="82">
        <f>IFERROR(__xludf.DUMMYFUNCTION("""COMPUTED_VALUE"""),1.0)</f>
        <v>1</v>
      </c>
      <c r="G5" s="52">
        <f>IFERROR(__xludf.DUMMYFUNCTION("""COMPUTED_VALUE"""),0.01853009310707559)</f>
        <v>0.01853009311</v>
      </c>
      <c r="H5" s="53">
        <f>IFERROR(__xludf.DUMMYFUNCTION("""COMPUTED_VALUE"""),0.003321759336733525)</f>
        <v>0.003321759337</v>
      </c>
      <c r="I5" s="53">
        <f>IFERROR(__xludf.DUMMYFUNCTION("""COMPUTED_VALUE"""),0.006863425965849519)</f>
        <v>0.006863425966</v>
      </c>
      <c r="J5" s="53">
        <f>IFERROR(__xludf.DUMMYFUNCTION("""COMPUTED_VALUE"""),0.007511573884827746)</f>
        <v>0.007511573885</v>
      </c>
      <c r="K5" s="54">
        <f>IFERROR(__xludf.DUMMYFUNCTION("""COMPUTED_VALUE"""),8.333339196647991E-4)</f>
        <v>0.0008333339197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6"/>
      <c r="W5" s="56"/>
      <c r="X5" s="56"/>
      <c r="Y5" s="56"/>
      <c r="Z5" s="57"/>
      <c r="AA5" s="58"/>
      <c r="AB5" s="59"/>
    </row>
    <row r="6" ht="13.5" customHeight="1">
      <c r="A6" s="60">
        <f>IFERROR(__xludf.DUMMYFUNCTION("""COMPUTED_VALUE"""),5.0)</f>
        <v>5</v>
      </c>
      <c r="B6" s="61" t="str">
        <f>IFERROR(__xludf.DUMMYFUNCTION("""COMPUTED_VALUE"""),"136")</f>
        <v>136</v>
      </c>
      <c r="C6" s="62" t="str">
        <f>IFERROR(__xludf.DUMMYFUNCTION("""COMPUTED_VALUE"""),"PUISAIS-HEE")</f>
        <v>PUISAIS-HEE</v>
      </c>
      <c r="D6" s="63" t="str">
        <f>IFERROR(__xludf.DUMMYFUNCTION("""COMPUTED_VALUE"""),"LUC")</f>
        <v>LUC</v>
      </c>
      <c r="E6" s="51" t="str">
        <f>IFERROR(__xludf.DUMMYFUNCTION("""COMPUTED_VALUE"""),"MH1")</f>
        <v>MH1</v>
      </c>
      <c r="F6" s="82">
        <f>IFERROR(__xludf.DUMMYFUNCTION("""COMPUTED_VALUE"""),2.0)</f>
        <v>2</v>
      </c>
      <c r="G6" s="52">
        <f>IFERROR(__xludf.DUMMYFUNCTION("""COMPUTED_VALUE"""),0.018530093513289977)</f>
        <v>0.01853009351</v>
      </c>
      <c r="H6" s="53">
        <f>IFERROR(__xludf.DUMMYFUNCTION("""COMPUTED_VALUE"""),0.0037500000759284912)</f>
        <v>0.003750000076</v>
      </c>
      <c r="I6" s="53">
        <f>IFERROR(__xludf.DUMMYFUNCTION("""COMPUTED_VALUE"""),0.007916666762610694)</f>
        <v>0.007916666763</v>
      </c>
      <c r="J6" s="53">
        <f>IFERROR(__xludf.DUMMYFUNCTION("""COMPUTED_VALUE"""),0.006076389041790668)</f>
        <v>0.006076389042</v>
      </c>
      <c r="K6" s="54">
        <f>IFERROR(__xludf.DUMMYFUNCTION("""COMPUTED_VALUE"""),7.87037632960124E-4)</f>
        <v>0.000787037633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6"/>
      <c r="W6" s="56"/>
      <c r="X6" s="56"/>
      <c r="Y6" s="56"/>
      <c r="Z6" s="57"/>
      <c r="AA6" s="58"/>
      <c r="AB6" s="59"/>
    </row>
    <row r="7" ht="13.5" customHeight="1">
      <c r="A7" s="60">
        <f>IFERROR(__xludf.DUMMYFUNCTION("""COMPUTED_VALUE"""),6.0)</f>
        <v>6</v>
      </c>
      <c r="B7" s="61" t="str">
        <f>IFERROR(__xludf.DUMMYFUNCTION("""COMPUTED_VALUE"""),"202")</f>
        <v>202</v>
      </c>
      <c r="C7" s="62" t="str">
        <f>IFERROR(__xludf.DUMMYFUNCTION("""COMPUTED_VALUE"""),"CAYROU")</f>
        <v>CAYROU</v>
      </c>
      <c r="D7" s="63" t="str">
        <f>IFERROR(__xludf.DUMMYFUNCTION("""COMPUTED_VALUE"""),"BENJAMIN")</f>
        <v>BENJAMIN</v>
      </c>
      <c r="E7" s="51" t="str">
        <f>IFERROR(__xludf.DUMMYFUNCTION("""COMPUTED_VALUE"""),"MH2")</f>
        <v>MH2</v>
      </c>
      <c r="F7" s="82">
        <f>IFERROR(__xludf.DUMMYFUNCTION("""COMPUTED_VALUE"""),3.0)</f>
        <v>3</v>
      </c>
      <c r="G7" s="52">
        <f>IFERROR(__xludf.DUMMYFUNCTION("""COMPUTED_VALUE"""),0.01856481524108823)</f>
        <v>0.01856481524</v>
      </c>
      <c r="H7" s="53">
        <f>IFERROR(__xludf.DUMMYFUNCTION("""COMPUTED_VALUE"""),0.0034259260094017894)</f>
        <v>0.003425926009</v>
      </c>
      <c r="I7" s="53">
        <f>IFERROR(__xludf.DUMMYFUNCTION("""COMPUTED_VALUE"""),0.006840277792998613)</f>
        <v>0.006840277793</v>
      </c>
      <c r="J7" s="53">
        <f>IFERROR(__xludf.DUMMYFUNCTION("""COMPUTED_VALUE"""),0.007719907073908922)</f>
        <v>0.007719907074</v>
      </c>
      <c r="K7" s="54">
        <f>IFERROR(__xludf.DUMMYFUNCTION("""COMPUTED_VALUE"""),5.787043647789069E-4)</f>
        <v>0.0005787043648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6"/>
      <c r="W7" s="56"/>
      <c r="X7" s="56"/>
      <c r="Y7" s="56"/>
      <c r="Z7" s="57"/>
      <c r="AA7" s="58"/>
      <c r="AB7" s="59"/>
    </row>
    <row r="8" ht="13.5" customHeight="1">
      <c r="A8" s="60">
        <f>IFERROR(__xludf.DUMMYFUNCTION("""COMPUTED_VALUE"""),7.0)</f>
        <v>7</v>
      </c>
      <c r="B8" s="61" t="str">
        <f>IFERROR(__xludf.DUMMYFUNCTION("""COMPUTED_VALUE"""),"204")</f>
        <v>204</v>
      </c>
      <c r="C8" s="62" t="str">
        <f>IFERROR(__xludf.DUMMYFUNCTION("""COMPUTED_VALUE"""),"BULMAN")</f>
        <v>BULMAN</v>
      </c>
      <c r="D8" s="63" t="str">
        <f>IFERROR(__xludf.DUMMYFUNCTION("""COMPUTED_VALUE"""),"TIMOTHY")</f>
        <v>TIMOTHY</v>
      </c>
      <c r="E8" s="51" t="str">
        <f>IFERROR(__xludf.DUMMYFUNCTION("""COMPUTED_VALUE"""),"MH2")</f>
        <v>MH2</v>
      </c>
      <c r="F8" s="82">
        <f>IFERROR(__xludf.DUMMYFUNCTION("""COMPUTED_VALUE"""),4.0)</f>
        <v>4</v>
      </c>
      <c r="G8" s="52">
        <f>IFERROR(__xludf.DUMMYFUNCTION("""COMPUTED_VALUE"""),0.01864583417188145)</f>
        <v>0.01864583417</v>
      </c>
      <c r="H8" s="53">
        <f>IFERROR(__xludf.DUMMYFUNCTION("""COMPUTED_VALUE"""),0.003344907419976169)</f>
        <v>0.00334490742</v>
      </c>
      <c r="I8" s="53">
        <f>IFERROR(__xludf.DUMMYFUNCTION("""COMPUTED_VALUE"""),0.007280092704143038)</f>
        <v>0.007280092704</v>
      </c>
      <c r="J8" s="53">
        <f>IFERROR(__xludf.DUMMYFUNCTION("""COMPUTED_VALUE"""),0.007199074875754248)</f>
        <v>0.007199074876</v>
      </c>
      <c r="K8" s="54">
        <f>IFERROR(__xludf.DUMMYFUNCTION("""COMPUTED_VALUE"""),8.217591720079943E-4)</f>
        <v>0.000821759172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6"/>
      <c r="W8" s="56"/>
      <c r="X8" s="56"/>
      <c r="Y8" s="56"/>
      <c r="Z8" s="57"/>
      <c r="AA8" s="58"/>
      <c r="AB8" s="59"/>
    </row>
    <row r="9" ht="13.5" customHeight="1">
      <c r="A9" s="60">
        <f>IFERROR(__xludf.DUMMYFUNCTION("""COMPUTED_VALUE"""),8.0)</f>
        <v>8</v>
      </c>
      <c r="B9" s="61" t="str">
        <f>IFERROR(__xludf.DUMMYFUNCTION("""COMPUTED_VALUE"""),"224")</f>
        <v>224</v>
      </c>
      <c r="C9" s="62" t="str">
        <f>IFERROR(__xludf.DUMMYFUNCTION("""COMPUTED_VALUE"""),"TELLIER")</f>
        <v>TELLIER</v>
      </c>
      <c r="D9" s="63" t="str">
        <f>IFERROR(__xludf.DUMMYFUNCTION("""COMPUTED_VALUE"""),"MAXIME")</f>
        <v>MAXIME</v>
      </c>
      <c r="E9" s="51" t="str">
        <f>IFERROR(__xludf.DUMMYFUNCTION("""COMPUTED_VALUE"""),"MH1")</f>
        <v>MH1</v>
      </c>
      <c r="F9" s="82">
        <f>IFERROR(__xludf.DUMMYFUNCTION("""COMPUTED_VALUE"""),3.0)</f>
        <v>3</v>
      </c>
      <c r="G9" s="52">
        <f>IFERROR(__xludf.DUMMYFUNCTION("""COMPUTED_VALUE"""),0.018715278537950686)</f>
        <v>0.01871527854</v>
      </c>
      <c r="H9" s="53">
        <f>IFERROR(__xludf.DUMMYFUNCTION("""COMPUTED_VALUE"""),0.0027199074887920417)</f>
        <v>0.002719907489</v>
      </c>
      <c r="I9" s="53">
        <f>IFERROR(__xludf.DUMMYFUNCTION("""COMPUTED_VALUE"""),0.00730324080945092)</f>
        <v>0.007303240809</v>
      </c>
      <c r="J9" s="53">
        <f>IFERROR(__xludf.DUMMYFUNCTION("""COMPUTED_VALUE"""),0.007800925673427238)</f>
        <v>0.007800925673</v>
      </c>
      <c r="K9" s="54">
        <f>IFERROR(__xludf.DUMMYFUNCTION("""COMPUTED_VALUE"""),8.912045662804861E-4)</f>
        <v>0.0008912045663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6"/>
      <c r="W9" s="56"/>
      <c r="X9" s="56"/>
      <c r="Y9" s="56"/>
      <c r="Z9" s="57"/>
      <c r="AA9" s="58"/>
      <c r="AB9" s="59"/>
    </row>
    <row r="10" ht="13.5" customHeight="1">
      <c r="A10" s="60">
        <f>IFERROR(__xludf.DUMMYFUNCTION("""COMPUTED_VALUE"""),9.0)</f>
        <v>9</v>
      </c>
      <c r="B10" s="61" t="str">
        <f>IFERROR(__xludf.DUMMYFUNCTION("""COMPUTED_VALUE"""),"196")</f>
        <v>196</v>
      </c>
      <c r="C10" s="62" t="str">
        <f>IFERROR(__xludf.DUMMYFUNCTION("""COMPUTED_VALUE"""),"GIFFARD")</f>
        <v>GIFFARD</v>
      </c>
      <c r="D10" s="63" t="str">
        <f>IFERROR(__xludf.DUMMYFUNCTION("""COMPUTED_VALUE"""),"ROMAIN")</f>
        <v>ROMAIN</v>
      </c>
      <c r="E10" s="51" t="str">
        <f>IFERROR(__xludf.DUMMYFUNCTION("""COMPUTED_VALUE"""),"MH3")</f>
        <v>MH3</v>
      </c>
      <c r="F10" s="82">
        <f>IFERROR(__xludf.DUMMYFUNCTION("""COMPUTED_VALUE"""),1.0)</f>
        <v>1</v>
      </c>
      <c r="G10" s="52">
        <f>IFERROR(__xludf.DUMMYFUNCTION("""COMPUTED_VALUE"""),0.018981482623531262)</f>
        <v>0.01898148262</v>
      </c>
      <c r="H10" s="53">
        <f>IFERROR(__xludf.DUMMYFUNCTION("""COMPUTED_VALUE"""),0.003483796332700576)</f>
        <v>0.003483796333</v>
      </c>
      <c r="I10" s="53">
        <f>IFERROR(__xludf.DUMMYFUNCTION("""COMPUTED_VALUE"""),0.007326388895028072)</f>
        <v>0.007326388895</v>
      </c>
      <c r="J10" s="53">
        <f>IFERROR(__xludf.DUMMYFUNCTION("""COMPUTED_VALUE"""),0.0076967601122504975)</f>
        <v>0.007696760112</v>
      </c>
      <c r="K10" s="54">
        <f>IFERROR(__xludf.DUMMYFUNCTION("""COMPUTED_VALUE"""),4.745372835521168E-4)</f>
        <v>0.0004745372836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6"/>
      <c r="W10" s="56"/>
      <c r="X10" s="56"/>
      <c r="Y10" s="56"/>
      <c r="Z10" s="57"/>
      <c r="AA10" s="58"/>
      <c r="AB10" s="59"/>
    </row>
    <row r="11" ht="13.5" customHeight="1">
      <c r="A11" s="60">
        <f>IFERROR(__xludf.DUMMYFUNCTION("""COMPUTED_VALUE"""),10.0)</f>
        <v>10</v>
      </c>
      <c r="B11" s="61" t="str">
        <f>IFERROR(__xludf.DUMMYFUNCTION("""COMPUTED_VALUE"""),"131")</f>
        <v>131</v>
      </c>
      <c r="C11" s="62" t="str">
        <f>IFERROR(__xludf.DUMMYFUNCTION("""COMPUTED_VALUE"""),"TERRIER")</f>
        <v>TERRIER</v>
      </c>
      <c r="D11" s="63" t="str">
        <f>IFERROR(__xludf.DUMMYFUNCTION("""COMPUTED_VALUE"""),"EMMANUEL")</f>
        <v>EMMANUEL</v>
      </c>
      <c r="E11" s="51" t="str">
        <f>IFERROR(__xludf.DUMMYFUNCTION("""COMPUTED_VALUE"""),"MH4")</f>
        <v>MH4</v>
      </c>
      <c r="F11" s="82">
        <f>IFERROR(__xludf.DUMMYFUNCTION("""COMPUTED_VALUE"""),2.0)</f>
        <v>2</v>
      </c>
      <c r="G11" s="52">
        <f>IFERROR(__xludf.DUMMYFUNCTION("""COMPUTED_VALUE"""),0.019201389320085843)</f>
        <v>0.01920138932</v>
      </c>
      <c r="H11" s="53">
        <f>IFERROR(__xludf.DUMMYFUNCTION("""COMPUTED_VALUE"""),0.0034259259965479317)</f>
        <v>0.003425925997</v>
      </c>
      <c r="I11" s="53">
        <f>IFERROR(__xludf.DUMMYFUNCTION("""COMPUTED_VALUE"""),0.007152777874789598)</f>
        <v>0.007152777875</v>
      </c>
      <c r="J11" s="53">
        <f>IFERROR(__xludf.DUMMYFUNCTION("""COMPUTED_VALUE"""),0.007858796262918005)</f>
        <v>0.007858796263</v>
      </c>
      <c r="K11" s="54">
        <f>IFERROR(__xludf.DUMMYFUNCTION("""COMPUTED_VALUE"""),7.63889185830308E-4)</f>
        <v>0.0007638891858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6"/>
      <c r="W11" s="56"/>
      <c r="X11" s="56"/>
      <c r="Y11" s="56"/>
      <c r="Z11" s="57"/>
      <c r="AA11" s="58"/>
      <c r="AB11" s="59"/>
    </row>
    <row r="12" ht="13.5" customHeight="1">
      <c r="A12" s="60">
        <f>IFERROR(__xludf.DUMMYFUNCTION("""COMPUTED_VALUE"""),11.0)</f>
        <v>11</v>
      </c>
      <c r="B12" s="61" t="str">
        <f>IFERROR(__xludf.DUMMYFUNCTION("""COMPUTED_VALUE"""),"118")</f>
        <v>118</v>
      </c>
      <c r="C12" s="62" t="str">
        <f>IFERROR(__xludf.DUMMYFUNCTION("""COMPUTED_VALUE"""),"LEGROS")</f>
        <v>LEGROS</v>
      </c>
      <c r="D12" s="63" t="str">
        <f>IFERROR(__xludf.DUMMYFUNCTION("""COMPUTED_VALUE"""),"ANTOINE")</f>
        <v>ANTOINE</v>
      </c>
      <c r="E12" s="51" t="str">
        <f>IFERROR(__xludf.DUMMYFUNCTION("""COMPUTED_VALUE"""),"MH1")</f>
        <v>MH1</v>
      </c>
      <c r="F12" s="82">
        <f>IFERROR(__xludf.DUMMYFUNCTION("""COMPUTED_VALUE"""),4.0)</f>
        <v>4</v>
      </c>
      <c r="G12" s="52">
        <f>IFERROR(__xludf.DUMMYFUNCTION("""COMPUTED_VALUE"""),0.019201389825209504)</f>
        <v>0.01920138983</v>
      </c>
      <c r="H12" s="53">
        <f>IFERROR(__xludf.DUMMYFUNCTION("""COMPUTED_VALUE"""),0.0030092593497521463)</f>
        <v>0.00300925935</v>
      </c>
      <c r="I12" s="53">
        <f>IFERROR(__xludf.DUMMYFUNCTION("""COMPUTED_VALUE"""),0.006944444530552776)</f>
        <v>0.006944444531</v>
      </c>
      <c r="J12" s="53">
        <f>IFERROR(__xludf.DUMMYFUNCTION("""COMPUTED_VALUE"""),0.008344907424932803)</f>
        <v>0.008344907425</v>
      </c>
      <c r="K12" s="54">
        <f>IFERROR(__xludf.DUMMYFUNCTION("""COMPUTED_VALUE"""),9.027785199717787E-4)</f>
        <v>0.00090277852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6"/>
      <c r="W12" s="56"/>
      <c r="X12" s="56"/>
      <c r="Y12" s="56"/>
      <c r="Z12" s="57"/>
      <c r="AA12" s="58"/>
      <c r="AB12" s="59"/>
    </row>
    <row r="13" ht="13.5" customHeight="1">
      <c r="A13" s="60">
        <f>IFERROR(__xludf.DUMMYFUNCTION("""COMPUTED_VALUE"""),12.0)</f>
        <v>12</v>
      </c>
      <c r="B13" s="61" t="str">
        <f>IFERROR(__xludf.DUMMYFUNCTION("""COMPUTED_VALUE"""),"102")</f>
        <v>102</v>
      </c>
      <c r="C13" s="62" t="str">
        <f>IFERROR(__xludf.DUMMYFUNCTION("""COMPUTED_VALUE"""),"BRUNET")</f>
        <v>BRUNET</v>
      </c>
      <c r="D13" s="63" t="str">
        <f>IFERROR(__xludf.DUMMYFUNCTION("""COMPUTED_VALUE"""),"FRANCK")</f>
        <v>FRANCK</v>
      </c>
      <c r="E13" s="51" t="str">
        <f>IFERROR(__xludf.DUMMYFUNCTION("""COMPUTED_VALUE"""),"MH3")</f>
        <v>MH3</v>
      </c>
      <c r="F13" s="82">
        <f>IFERROR(__xludf.DUMMYFUNCTION("""COMPUTED_VALUE"""),2.0)</f>
        <v>2</v>
      </c>
      <c r="G13" s="52">
        <f>IFERROR(__xludf.DUMMYFUNCTION("""COMPUTED_VALUE"""),0.019386575192867052)</f>
        <v>0.01938657519</v>
      </c>
      <c r="H13" s="53">
        <f>IFERROR(__xludf.DUMMYFUNCTION("""COMPUTED_VALUE"""),0.0037847222673043717)</f>
        <v>0.003784722267</v>
      </c>
      <c r="I13" s="53">
        <f>IFERROR(__xludf.DUMMYFUNCTION("""COMPUTED_VALUE"""),0.007615740775335122)</f>
        <v>0.007615740775</v>
      </c>
      <c r="J13" s="53">
        <f>IFERROR(__xludf.DUMMYFUNCTION("""COMPUTED_VALUE"""),0.007291667048622889)</f>
        <v>0.007291667049</v>
      </c>
      <c r="K13" s="54">
        <f>IFERROR(__xludf.DUMMYFUNCTION("""COMPUTED_VALUE"""),6.944451016046697E-4)</f>
        <v>0.0006944451016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6"/>
      <c r="W13" s="56"/>
      <c r="X13" s="56"/>
      <c r="Y13" s="56"/>
      <c r="Z13" s="57"/>
      <c r="AA13" s="58"/>
      <c r="AB13" s="59"/>
    </row>
    <row r="14" ht="13.5" customHeight="1">
      <c r="A14" s="60">
        <f>IFERROR(__xludf.DUMMYFUNCTION("""COMPUTED_VALUE"""),13.0)</f>
        <v>13</v>
      </c>
      <c r="B14" s="61" t="str">
        <f>IFERROR(__xludf.DUMMYFUNCTION("""COMPUTED_VALUE"""),"173")</f>
        <v>173</v>
      </c>
      <c r="C14" s="62" t="str">
        <f>IFERROR(__xludf.DUMMYFUNCTION("""COMPUTED_VALUE"""),"BENALI KAHLOUL")</f>
        <v>BENALI KAHLOUL</v>
      </c>
      <c r="D14" s="63" t="str">
        <f>IFERROR(__xludf.DUMMYFUNCTION("""COMPUTED_VALUE"""),"ABDELLAH")</f>
        <v>ABDELLAH</v>
      </c>
      <c r="E14" s="51" t="str">
        <f>IFERROR(__xludf.DUMMYFUNCTION("""COMPUTED_VALUE"""),"MH3")</f>
        <v>MH3</v>
      </c>
      <c r="F14" s="82">
        <f>IFERROR(__xludf.DUMMYFUNCTION("""COMPUTED_VALUE"""),3.0)</f>
        <v>3</v>
      </c>
      <c r="G14" s="52">
        <f>IFERROR(__xludf.DUMMYFUNCTION("""COMPUTED_VALUE"""),0.019722222985463094)</f>
        <v>0.01972222299</v>
      </c>
      <c r="H14" s="53">
        <f>IFERROR(__xludf.DUMMYFUNCTION("""COMPUTED_VALUE"""),0.0038541666899286112)</f>
        <v>0.00385416669</v>
      </c>
      <c r="I14" s="53">
        <f>IFERROR(__xludf.DUMMYFUNCTION("""COMPUTED_VALUE"""),0.006979166710565356)</f>
        <v>0.006979166711</v>
      </c>
      <c r="J14" s="53">
        <f>IFERROR(__xludf.DUMMYFUNCTION("""COMPUTED_VALUE"""),0.008344907592024609)</f>
        <v>0.008344907592</v>
      </c>
      <c r="K14" s="54">
        <f>IFERROR(__xludf.DUMMYFUNCTION("""COMPUTED_VALUE"""),5.439819929445185E-4)</f>
        <v>0.0005439819929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6"/>
      <c r="W14" s="56"/>
      <c r="X14" s="56"/>
      <c r="Y14" s="56"/>
      <c r="Z14" s="57"/>
      <c r="AA14" s="58"/>
      <c r="AB14" s="59"/>
    </row>
    <row r="15" ht="13.5" customHeight="1">
      <c r="A15" s="60">
        <f>IFERROR(__xludf.DUMMYFUNCTION("""COMPUTED_VALUE"""),14.0)</f>
        <v>14</v>
      </c>
      <c r="B15" s="61" t="str">
        <f>IFERROR(__xludf.DUMMYFUNCTION("""COMPUTED_VALUE"""),"119")</f>
        <v>119</v>
      </c>
      <c r="C15" s="62" t="str">
        <f>IFERROR(__xludf.DUMMYFUNCTION("""COMPUTED_VALUE"""),"BOUISSET")</f>
        <v>BOUISSET</v>
      </c>
      <c r="D15" s="63" t="str">
        <f>IFERROR(__xludf.DUMMYFUNCTION("""COMPUTED_VALUE"""),"LUDOVIC")</f>
        <v>LUDOVIC</v>
      </c>
      <c r="E15" s="51" t="str">
        <f>IFERROR(__xludf.DUMMYFUNCTION("""COMPUTED_VALUE"""),"MH1")</f>
        <v>MH1</v>
      </c>
      <c r="F15" s="82">
        <f>IFERROR(__xludf.DUMMYFUNCTION("""COMPUTED_VALUE"""),5.0)</f>
        <v>5</v>
      </c>
      <c r="G15" s="52">
        <f>IFERROR(__xludf.DUMMYFUNCTION("""COMPUTED_VALUE"""),0.01993055556130249)</f>
        <v>0.01993055556</v>
      </c>
      <c r="H15" s="53">
        <f>IFERROR(__xludf.DUMMYFUNCTION("""COMPUTED_VALUE"""),0.003043981593506543)</f>
        <v>0.003043981594</v>
      </c>
      <c r="I15" s="53">
        <f>IFERROR(__xludf.DUMMYFUNCTION("""COMPUTED_VALUE"""),0.007731481552912405)</f>
        <v>0.007731481553</v>
      </c>
      <c r="J15" s="53">
        <f>IFERROR(__xludf.DUMMYFUNCTION("""COMPUTED_VALUE"""),0.008379629332695473)</f>
        <v>0.008379629333</v>
      </c>
      <c r="K15" s="54">
        <f>IFERROR(__xludf.DUMMYFUNCTION("""COMPUTED_VALUE"""),7.754630821880685E-4)</f>
        <v>0.0007754630822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6"/>
      <c r="W15" s="56"/>
      <c r="X15" s="56"/>
      <c r="Y15" s="56"/>
      <c r="Z15" s="57"/>
      <c r="AA15" s="58"/>
      <c r="AB15" s="59"/>
    </row>
    <row r="16" ht="13.5" customHeight="1">
      <c r="A16" s="60">
        <f>IFERROR(__xludf.DUMMYFUNCTION("""COMPUTED_VALUE"""),15.0)</f>
        <v>15</v>
      </c>
      <c r="B16" s="61" t="str">
        <f>IFERROR(__xludf.DUMMYFUNCTION("""COMPUTED_VALUE"""),"137")</f>
        <v>137</v>
      </c>
      <c r="C16" s="62" t="str">
        <f>IFERROR(__xludf.DUMMYFUNCTION("""COMPUTED_VALUE"""),"DAVOUST")</f>
        <v>DAVOUST</v>
      </c>
      <c r="D16" s="63" t="str">
        <f>IFERROR(__xludf.DUMMYFUNCTION("""COMPUTED_VALUE"""),"FRÉDÉRIC")</f>
        <v>FRÉDÉRIC</v>
      </c>
      <c r="E16" s="51" t="str">
        <f>IFERROR(__xludf.DUMMYFUNCTION("""COMPUTED_VALUE"""),"MH2")</f>
        <v>MH2</v>
      </c>
      <c r="F16" s="82">
        <f>IFERROR(__xludf.DUMMYFUNCTION("""COMPUTED_VALUE"""),5.0)</f>
        <v>5</v>
      </c>
      <c r="G16" s="52">
        <f>IFERROR(__xludf.DUMMYFUNCTION("""COMPUTED_VALUE"""),0.020057870873821784)</f>
        <v>0.02005787087</v>
      </c>
      <c r="H16" s="53">
        <f>IFERROR(__xludf.DUMMYFUNCTION("""COMPUTED_VALUE"""),0.0031250000980364715)</f>
        <v>0.003125000098</v>
      </c>
      <c r="I16" s="53">
        <f>IFERROR(__xludf.DUMMYFUNCTION("""COMPUTED_VALUE"""),0.007002314884065881)</f>
        <v>0.007002314884</v>
      </c>
      <c r="J16" s="53">
        <f>IFERROR(__xludf.DUMMYFUNCTION("""COMPUTED_VALUE"""),0.008703703643071572)</f>
        <v>0.008703703643</v>
      </c>
      <c r="K16" s="54">
        <f>IFERROR(__xludf.DUMMYFUNCTION("""COMPUTED_VALUE"""),0.0012268522486478597)</f>
        <v>0.001226852249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6"/>
      <c r="W16" s="56"/>
      <c r="X16" s="56"/>
      <c r="Y16" s="56"/>
      <c r="Z16" s="57"/>
      <c r="AA16" s="58"/>
      <c r="AB16" s="59"/>
    </row>
    <row r="17" ht="13.5" customHeight="1">
      <c r="A17" s="60">
        <f>IFERROR(__xludf.DUMMYFUNCTION("""COMPUTED_VALUE"""),16.0)</f>
        <v>16</v>
      </c>
      <c r="B17" s="61" t="str">
        <f>IFERROR(__xludf.DUMMYFUNCTION("""COMPUTED_VALUE"""),"89")</f>
        <v>89</v>
      </c>
      <c r="C17" s="62" t="str">
        <f>IFERROR(__xludf.DUMMYFUNCTION("""COMPUTED_VALUE"""),"CHAZY")</f>
        <v>CHAZY</v>
      </c>
      <c r="D17" s="63" t="str">
        <f>IFERROR(__xludf.DUMMYFUNCTION("""COMPUTED_VALUE"""),"FRANÇOIS")</f>
        <v>FRANÇOIS</v>
      </c>
      <c r="E17" s="51" t="str">
        <f>IFERROR(__xludf.DUMMYFUNCTION("""COMPUTED_VALUE"""),"MH5")</f>
        <v>MH5</v>
      </c>
      <c r="F17" s="82">
        <f>IFERROR(__xludf.DUMMYFUNCTION("""COMPUTED_VALUE"""),1.0)</f>
        <v>1</v>
      </c>
      <c r="G17" s="52">
        <f>IFERROR(__xludf.DUMMYFUNCTION("""COMPUTED_VALUE"""),0.020451389324410152)</f>
        <v>0.02045138932</v>
      </c>
      <c r="H17" s="53">
        <f>IFERROR(__xludf.DUMMYFUNCTION("""COMPUTED_VALUE"""),0.00396990741702607)</f>
        <v>0.003969907417</v>
      </c>
      <c r="I17" s="53">
        <f>IFERROR(__xludf.DUMMYFUNCTION("""COMPUTED_VALUE"""),0.007106481515820638)</f>
        <v>0.007106481516</v>
      </c>
      <c r="J17" s="53">
        <f>IFERROR(__xludf.DUMMYFUNCTION("""COMPUTED_VALUE"""),0.008564814541898051)</f>
        <v>0.008564814542</v>
      </c>
      <c r="K17" s="54">
        <f>IFERROR(__xludf.DUMMYFUNCTION("""COMPUTED_VALUE"""),8.101858496653925E-4)</f>
        <v>0.0008101858497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6"/>
      <c r="W17" s="56"/>
      <c r="X17" s="56"/>
      <c r="Y17" s="56"/>
      <c r="Z17" s="57"/>
      <c r="AA17" s="58"/>
      <c r="AB17" s="59"/>
    </row>
    <row r="18" ht="13.5" customHeight="1">
      <c r="A18" s="60">
        <f>IFERROR(__xludf.DUMMYFUNCTION("""COMPUTED_VALUE"""),17.0)</f>
        <v>17</v>
      </c>
      <c r="B18" s="61" t="str">
        <f>IFERROR(__xludf.DUMMYFUNCTION("""COMPUTED_VALUE"""),"109")</f>
        <v>109</v>
      </c>
      <c r="C18" s="62" t="str">
        <f>IFERROR(__xludf.DUMMYFUNCTION("""COMPUTED_VALUE"""),"HEROGUEZ")</f>
        <v>HEROGUEZ</v>
      </c>
      <c r="D18" s="63" t="str">
        <f>IFERROR(__xludf.DUMMYFUNCTION("""COMPUTED_VALUE"""),"NICOLAS")</f>
        <v>NICOLAS</v>
      </c>
      <c r="E18" s="51" t="str">
        <f>IFERROR(__xludf.DUMMYFUNCTION("""COMPUTED_VALUE"""),"MH3")</f>
        <v>MH3</v>
      </c>
      <c r="F18" s="82">
        <f>IFERROR(__xludf.DUMMYFUNCTION("""COMPUTED_VALUE"""),4.0)</f>
        <v>4</v>
      </c>
      <c r="G18" s="52">
        <f>IFERROR(__xludf.DUMMYFUNCTION("""COMPUTED_VALUE"""),0.020625000349576705)</f>
        <v>0.02062500035</v>
      </c>
      <c r="H18" s="53">
        <f>IFERROR(__xludf.DUMMYFUNCTION("""COMPUTED_VALUE"""),0.004421296305886976)</f>
        <v>0.004421296306</v>
      </c>
      <c r="I18" s="53">
        <f>IFERROR(__xludf.DUMMYFUNCTION("""COMPUTED_VALUE"""),0.007372685207393592)</f>
        <v>0.007372685207</v>
      </c>
      <c r="J18" s="53">
        <f>IFERROR(__xludf.DUMMYFUNCTION("""COMPUTED_VALUE"""),0.007951388957402161)</f>
        <v>0.007951388957</v>
      </c>
      <c r="K18" s="54">
        <f>IFERROR(__xludf.DUMMYFUNCTION("""COMPUTED_VALUE"""),8.796298788939757E-4)</f>
        <v>0.0008796298789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6"/>
      <c r="W18" s="56"/>
      <c r="X18" s="56"/>
      <c r="Y18" s="56"/>
      <c r="Z18" s="57"/>
      <c r="AA18" s="58"/>
      <c r="AB18" s="59"/>
    </row>
    <row r="19" ht="13.5" customHeight="1">
      <c r="A19" s="60">
        <f>IFERROR(__xludf.DUMMYFUNCTION("""COMPUTED_VALUE"""),18.0)</f>
        <v>18</v>
      </c>
      <c r="B19" s="61" t="str">
        <f>IFERROR(__xludf.DUMMYFUNCTION("""COMPUTED_VALUE"""),"81")</f>
        <v>81</v>
      </c>
      <c r="C19" s="62" t="str">
        <f>IFERROR(__xludf.DUMMYFUNCTION("""COMPUTED_VALUE"""),"ANSELMI")</f>
        <v>ANSELMI</v>
      </c>
      <c r="D19" s="63" t="str">
        <f>IFERROR(__xludf.DUMMYFUNCTION("""COMPUTED_VALUE"""),"AURELIEN")</f>
        <v>AURELIEN</v>
      </c>
      <c r="E19" s="51" t="str">
        <f>IFERROR(__xludf.DUMMYFUNCTION("""COMPUTED_VALUE"""),"MH1")</f>
        <v>MH1</v>
      </c>
      <c r="F19" s="82">
        <f>IFERROR(__xludf.DUMMYFUNCTION("""COMPUTED_VALUE"""),6.0)</f>
        <v>6</v>
      </c>
      <c r="G19" s="52">
        <f>IFERROR(__xludf.DUMMYFUNCTION("""COMPUTED_VALUE"""),0.021099537302999474)</f>
        <v>0.0210995373</v>
      </c>
      <c r="H19" s="53">
        <f>IFERROR(__xludf.DUMMYFUNCTION("""COMPUTED_VALUE"""),0.003912037049258412)</f>
        <v>0.003912037049</v>
      </c>
      <c r="I19" s="53">
        <f>IFERROR(__xludf.DUMMYFUNCTION("""COMPUTED_VALUE"""),0.007997685211200263)</f>
        <v>0.007997685211</v>
      </c>
      <c r="J19" s="53">
        <f>IFERROR(__xludf.DUMMYFUNCTION("""COMPUTED_VALUE"""),0.008287036941292392)</f>
        <v>0.008287036941</v>
      </c>
      <c r="K19" s="54">
        <f>IFERROR(__xludf.DUMMYFUNCTION("""COMPUTED_VALUE"""),9.027781012484071E-4)</f>
        <v>0.0009027781012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6"/>
      <c r="W19" s="56"/>
      <c r="X19" s="56"/>
      <c r="Y19" s="56"/>
      <c r="Z19" s="57"/>
      <c r="AA19" s="58"/>
      <c r="AB19" s="59"/>
    </row>
    <row r="20" ht="13.5" customHeight="1">
      <c r="A20" s="60">
        <f>IFERROR(__xludf.DUMMYFUNCTION("""COMPUTED_VALUE"""),19.0)</f>
        <v>19</v>
      </c>
      <c r="B20" s="61" t="str">
        <f>IFERROR(__xludf.DUMMYFUNCTION("""COMPUTED_VALUE"""),"126")</f>
        <v>126</v>
      </c>
      <c r="C20" s="62" t="str">
        <f>IFERROR(__xludf.DUMMYFUNCTION("""COMPUTED_VALUE"""),"MAZIERE")</f>
        <v>MAZIERE</v>
      </c>
      <c r="D20" s="63" t="str">
        <f>IFERROR(__xludf.DUMMYFUNCTION("""COMPUTED_VALUE"""),"CHRISTOPHE")</f>
        <v>CHRISTOPHE</v>
      </c>
      <c r="E20" s="51" t="str">
        <f>IFERROR(__xludf.DUMMYFUNCTION("""COMPUTED_VALUE"""),"MH2")</f>
        <v>MH2</v>
      </c>
      <c r="F20" s="82">
        <f>IFERROR(__xludf.DUMMYFUNCTION("""COMPUTED_VALUE"""),6.0)</f>
        <v>6</v>
      </c>
      <c r="G20" s="52">
        <f>IFERROR(__xludf.DUMMYFUNCTION("""COMPUTED_VALUE"""),0.021203704255504868)</f>
        <v>0.02120370426</v>
      </c>
      <c r="H20" s="53">
        <f>IFERROR(__xludf.DUMMYFUNCTION("""COMPUTED_VALUE"""),0.004363425985820657)</f>
        <v>0.004363425986</v>
      </c>
      <c r="I20" s="53">
        <f>IFERROR(__xludf.DUMMYFUNCTION("""COMPUTED_VALUE"""),0.007928240850627542)</f>
        <v>0.007928240851</v>
      </c>
      <c r="J20" s="53">
        <f>IFERROR(__xludf.DUMMYFUNCTION("""COMPUTED_VALUE"""),0.00799768563926872)</f>
        <v>0.007997685639</v>
      </c>
      <c r="K20" s="54">
        <f>IFERROR(__xludf.DUMMYFUNCTION("""COMPUTED_VALUE"""),9.143517797879485E-4)</f>
        <v>0.0009143517798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6"/>
      <c r="W20" s="56"/>
      <c r="X20" s="56"/>
      <c r="Y20" s="56"/>
      <c r="Z20" s="57"/>
      <c r="AA20" s="58"/>
      <c r="AB20" s="59"/>
    </row>
    <row r="21" ht="13.5" customHeight="1">
      <c r="A21" s="60">
        <f>IFERROR(__xludf.DUMMYFUNCTION("""COMPUTED_VALUE"""),20.0)</f>
        <v>20</v>
      </c>
      <c r="B21" s="61" t="str">
        <f>IFERROR(__xludf.DUMMYFUNCTION("""COMPUTED_VALUE"""),"122")</f>
        <v>122</v>
      </c>
      <c r="C21" s="62" t="str">
        <f>IFERROR(__xludf.DUMMYFUNCTION("""COMPUTED_VALUE"""),"PERETTI")</f>
        <v>PERETTI</v>
      </c>
      <c r="D21" s="63" t="str">
        <f>IFERROR(__xludf.DUMMYFUNCTION("""COMPUTED_VALUE"""),"MAXIME")</f>
        <v>MAXIME</v>
      </c>
      <c r="E21" s="51" t="str">
        <f>IFERROR(__xludf.DUMMYFUNCTION("""COMPUTED_VALUE"""),"MH1")</f>
        <v>MH1</v>
      </c>
      <c r="F21" s="82">
        <f>IFERROR(__xludf.DUMMYFUNCTION("""COMPUTED_VALUE"""),7.0)</f>
        <v>7</v>
      </c>
      <c r="G21" s="52">
        <f>IFERROR(__xludf.DUMMYFUNCTION("""COMPUTED_VALUE"""),0.021585649224822034)</f>
        <v>0.02158564922</v>
      </c>
      <c r="H21" s="53">
        <f>IFERROR(__xludf.DUMMYFUNCTION("""COMPUTED_VALUE"""),0.004143518587560433)</f>
        <v>0.004143518588</v>
      </c>
      <c r="I21" s="53">
        <f>IFERROR(__xludf.DUMMYFUNCTION("""COMPUTED_VALUE"""),0.008090277839638716)</f>
        <v>0.00809027784</v>
      </c>
      <c r="J21" s="53">
        <f>IFERROR(__xludf.DUMMYFUNCTION("""COMPUTED_VALUE"""),0.007800925952901017)</f>
        <v>0.007800925953</v>
      </c>
      <c r="K21" s="54">
        <f>IFERROR(__xludf.DUMMYFUNCTION("""COMPUTED_VALUE"""),0.0015509268447218682)</f>
        <v>0.001550926845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6"/>
      <c r="W21" s="56"/>
      <c r="X21" s="56"/>
      <c r="Y21" s="56"/>
      <c r="Z21" s="57"/>
      <c r="AA21" s="58"/>
      <c r="AB21" s="59"/>
    </row>
    <row r="22" ht="13.5" customHeight="1">
      <c r="A22" s="60">
        <f>IFERROR(__xludf.DUMMYFUNCTION("""COMPUTED_VALUE"""),21.0)</f>
        <v>21</v>
      </c>
      <c r="B22" s="61" t="str">
        <f>IFERROR(__xludf.DUMMYFUNCTION("""COMPUTED_VALUE"""),"93")</f>
        <v>93</v>
      </c>
      <c r="C22" s="62" t="str">
        <f>IFERROR(__xludf.DUMMYFUNCTION("""COMPUTED_VALUE"""),"CHARMAIL")</f>
        <v>CHARMAIL</v>
      </c>
      <c r="D22" s="63" t="str">
        <f>IFERROR(__xludf.DUMMYFUNCTION("""COMPUTED_VALUE"""),"NICOLAS")</f>
        <v>NICOLAS</v>
      </c>
      <c r="E22" s="51" t="str">
        <f>IFERROR(__xludf.DUMMYFUNCTION("""COMPUTED_VALUE"""),"MH2")</f>
        <v>MH2</v>
      </c>
      <c r="F22" s="82">
        <f>IFERROR(__xludf.DUMMYFUNCTION("""COMPUTED_VALUE"""),7.0)</f>
        <v>7</v>
      </c>
      <c r="G22" s="52">
        <f>IFERROR(__xludf.DUMMYFUNCTION("""COMPUTED_VALUE"""),0.021631945457623057)</f>
        <v>0.02163194546</v>
      </c>
      <c r="H22" s="53">
        <f>IFERROR(__xludf.DUMMYFUNCTION("""COMPUTED_VALUE"""),0.0036574074626364397)</f>
        <v>0.003657407463</v>
      </c>
      <c r="I22" s="53">
        <f>IFERROR(__xludf.DUMMYFUNCTION("""COMPUTED_VALUE"""),0.007893518533823526)</f>
        <v>0.007893518534</v>
      </c>
      <c r="J22" s="53">
        <f>IFERROR(__xludf.DUMMYFUNCTION("""COMPUTED_VALUE"""),0.009143518837772532)</f>
        <v>0.009143518838</v>
      </c>
      <c r="K22" s="54">
        <f>IFERROR(__xludf.DUMMYFUNCTION("""COMPUTED_VALUE"""),9.375006233905601E-4)</f>
        <v>0.0009375006234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6"/>
      <c r="W22" s="56"/>
      <c r="X22" s="56"/>
      <c r="Y22" s="56"/>
      <c r="Z22" s="57"/>
      <c r="AA22" s="58"/>
      <c r="AB22" s="59"/>
    </row>
    <row r="23" ht="13.5" customHeight="1">
      <c r="A23" s="60">
        <f>IFERROR(__xludf.DUMMYFUNCTION("""COMPUTED_VALUE"""),22.0)</f>
        <v>22</v>
      </c>
      <c r="B23" s="61" t="str">
        <f>IFERROR(__xludf.DUMMYFUNCTION("""COMPUTED_VALUE"""),"143")</f>
        <v>143</v>
      </c>
      <c r="C23" s="62" t="str">
        <f>IFERROR(__xludf.DUMMYFUNCTION("""COMPUTED_VALUE"""),"RONCERAY")</f>
        <v>RONCERAY</v>
      </c>
      <c r="D23" s="63" t="str">
        <f>IFERROR(__xludf.DUMMYFUNCTION("""COMPUTED_VALUE"""),"JEAN-RENÉ")</f>
        <v>JEAN-RENÉ</v>
      </c>
      <c r="E23" s="51" t="str">
        <f>IFERROR(__xludf.DUMMYFUNCTION("""COMPUTED_VALUE"""),"MH3")</f>
        <v>MH3</v>
      </c>
      <c r="F23" s="82">
        <f>IFERROR(__xludf.DUMMYFUNCTION("""COMPUTED_VALUE"""),5.0)</f>
        <v>5</v>
      </c>
      <c r="G23" s="52">
        <f>IFERROR(__xludf.DUMMYFUNCTION("""COMPUTED_VALUE"""),0.022025463639068623)</f>
        <v>0.02202546364</v>
      </c>
      <c r="H23" s="53">
        <f>IFERROR(__xludf.DUMMYFUNCTION("""COMPUTED_VALUE"""),0.004131944458021272)</f>
        <v>0.004131944458</v>
      </c>
      <c r="I23" s="53">
        <f>IFERROR(__xludf.DUMMYFUNCTION("""COMPUTED_VALUE"""),0.007974537114138461)</f>
        <v>0.007974537114</v>
      </c>
      <c r="J23" s="53">
        <f>IFERROR(__xludf.DUMMYFUNCTION("""COMPUTED_VALUE"""),0.0087152784011626)</f>
        <v>0.008715278401</v>
      </c>
      <c r="K23" s="54">
        <f>IFERROR(__xludf.DUMMYFUNCTION("""COMPUTED_VALUE"""),0.00120370366574629)</f>
        <v>0.001203703666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6"/>
      <c r="W23" s="56"/>
      <c r="X23" s="56"/>
      <c r="Y23" s="56"/>
      <c r="Z23" s="57"/>
      <c r="AA23" s="58"/>
      <c r="AB23" s="59"/>
    </row>
    <row r="24" ht="13.5" customHeight="1">
      <c r="A24" s="60">
        <f>IFERROR(__xludf.DUMMYFUNCTION("""COMPUTED_VALUE"""),23.0)</f>
        <v>23</v>
      </c>
      <c r="B24" s="61" t="str">
        <f>IFERROR(__xludf.DUMMYFUNCTION("""COMPUTED_VALUE"""),"177")</f>
        <v>177</v>
      </c>
      <c r="C24" s="62" t="str">
        <f>IFERROR(__xludf.DUMMYFUNCTION("""COMPUTED_VALUE"""),"THIERRY")</f>
        <v>THIERRY</v>
      </c>
      <c r="D24" s="63" t="str">
        <f>IFERROR(__xludf.DUMMYFUNCTION("""COMPUTED_VALUE"""),"GABRIEL")</f>
        <v>GABRIEL</v>
      </c>
      <c r="E24" s="51" t="str">
        <f>IFERROR(__xludf.DUMMYFUNCTION("""COMPUTED_VALUE"""),"MH1")</f>
        <v>MH1</v>
      </c>
      <c r="F24" s="82">
        <f>IFERROR(__xludf.DUMMYFUNCTION("""COMPUTED_VALUE"""),8.0)</f>
        <v>8</v>
      </c>
      <c r="G24" s="52">
        <f>IFERROR(__xludf.DUMMYFUNCTION("""COMPUTED_VALUE"""),0.022175926299625937)</f>
        <v>0.0221759263</v>
      </c>
      <c r="H24" s="53">
        <f>IFERROR(__xludf.DUMMYFUNCTION("""COMPUTED_VALUE"""),0.004259259291521997)</f>
        <v>0.004259259292</v>
      </c>
      <c r="I24" s="53">
        <f>IFERROR(__xludf.DUMMYFUNCTION("""COMPUTED_VALUE"""),0.007361111225340421)</f>
        <v>0.007361111225</v>
      </c>
      <c r="J24" s="53">
        <f>IFERROR(__xludf.DUMMYFUNCTION("""COMPUTED_VALUE"""),0.008715277806130533)</f>
        <v>0.008715277806</v>
      </c>
      <c r="K24" s="54">
        <f>IFERROR(__xludf.DUMMYFUNCTION("""COMPUTED_VALUE"""),0.0018402779766329867)</f>
        <v>0.001840277977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6"/>
      <c r="W24" s="56"/>
      <c r="X24" s="56"/>
      <c r="Y24" s="56"/>
      <c r="Z24" s="57"/>
      <c r="AA24" s="58"/>
      <c r="AB24" s="59"/>
    </row>
    <row r="25" ht="13.5" customHeight="1">
      <c r="A25" s="60">
        <f>IFERROR(__xludf.DUMMYFUNCTION("""COMPUTED_VALUE"""),24.0)</f>
        <v>24</v>
      </c>
      <c r="B25" s="61" t="str">
        <f>IFERROR(__xludf.DUMMYFUNCTION("""COMPUTED_VALUE"""),"90")</f>
        <v>90</v>
      </c>
      <c r="C25" s="62" t="str">
        <f>IFERROR(__xludf.DUMMYFUNCTION("""COMPUTED_VALUE"""),"FRADETAL")</f>
        <v>FRADETAL</v>
      </c>
      <c r="D25" s="63" t="str">
        <f>IFERROR(__xludf.DUMMYFUNCTION("""COMPUTED_VALUE"""),"DENIS")</f>
        <v>DENIS</v>
      </c>
      <c r="E25" s="51" t="str">
        <f>IFERROR(__xludf.DUMMYFUNCTION("""COMPUTED_VALUE"""),"MH5")</f>
        <v>MH5</v>
      </c>
      <c r="F25" s="82">
        <f>IFERROR(__xludf.DUMMYFUNCTION("""COMPUTED_VALUE"""),2.0)</f>
        <v>2</v>
      </c>
      <c r="G25" s="52">
        <f>IFERROR(__xludf.DUMMYFUNCTION("""COMPUTED_VALUE"""),0.022685185315202975)</f>
        <v>0.02268518532</v>
      </c>
      <c r="H25" s="53">
        <f>IFERROR(__xludf.DUMMYFUNCTION("""COMPUTED_VALUE"""),0.004432870438904311)</f>
        <v>0.004432870439</v>
      </c>
      <c r="I25" s="53">
        <f>IFERROR(__xludf.DUMMYFUNCTION("""COMPUTED_VALUE"""),0.007766203712213502)</f>
        <v>0.007766203712</v>
      </c>
      <c r="J25" s="53">
        <f>IFERROR(__xludf.DUMMYFUNCTION("""COMPUTED_VALUE"""),0.009629629373143527)</f>
        <v>0.009629629373</v>
      </c>
      <c r="K25" s="54">
        <f>IFERROR(__xludf.DUMMYFUNCTION("""COMPUTED_VALUE"""),8.564817909416352E-4)</f>
        <v>0.0008564817909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6"/>
      <c r="W25" s="56"/>
      <c r="X25" s="56"/>
      <c r="Y25" s="56"/>
      <c r="Z25" s="57"/>
      <c r="AA25" s="58"/>
      <c r="AB25" s="59"/>
    </row>
    <row r="26" ht="13.5" customHeight="1">
      <c r="A26" s="60">
        <f>IFERROR(__xludf.DUMMYFUNCTION("""COMPUTED_VALUE"""),25.0)</f>
        <v>25</v>
      </c>
      <c r="B26" s="61" t="str">
        <f>IFERROR(__xludf.DUMMYFUNCTION("""COMPUTED_VALUE"""),"186")</f>
        <v>186</v>
      </c>
      <c r="C26" s="62" t="str">
        <f>IFERROR(__xludf.DUMMYFUNCTION("""COMPUTED_VALUE"""),"GUINEFORT")</f>
        <v>GUINEFORT</v>
      </c>
      <c r="D26" s="63" t="str">
        <f>IFERROR(__xludf.DUMMYFUNCTION("""COMPUTED_VALUE"""),"ALEXANDRE")</f>
        <v>ALEXANDRE</v>
      </c>
      <c r="E26" s="51" t="str">
        <f>IFERROR(__xludf.DUMMYFUNCTION("""COMPUTED_VALUE"""),"MH2")</f>
        <v>MH2</v>
      </c>
      <c r="F26" s="82">
        <f>IFERROR(__xludf.DUMMYFUNCTION("""COMPUTED_VALUE"""),8.0)</f>
        <v>8</v>
      </c>
      <c r="G26" s="52">
        <f>IFERROR(__xludf.DUMMYFUNCTION("""COMPUTED_VALUE"""),0.022812500136498465)</f>
        <v>0.02281250014</v>
      </c>
      <c r="H26" s="53">
        <f>IFERROR(__xludf.DUMMYFUNCTION("""COMPUTED_VALUE"""),0.0036805555798948768)</f>
        <v>0.00368055558</v>
      </c>
      <c r="I26" s="53">
        <f>IFERROR(__xludf.DUMMYFUNCTION("""COMPUTED_VALUE"""),0.008657407415563166)</f>
        <v>0.008657407416</v>
      </c>
      <c r="J26" s="53">
        <f>IFERROR(__xludf.DUMMYFUNCTION("""COMPUTED_VALUE"""),0.009479165963625665)</f>
        <v>0.009479165964</v>
      </c>
      <c r="K26" s="54">
        <f>IFERROR(__xludf.DUMMYFUNCTION("""COMPUTED_VALUE"""),9.95371177414757E-4)</f>
        <v>0.0009953711774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6"/>
      <c r="W26" s="56"/>
      <c r="X26" s="56"/>
      <c r="Y26" s="56"/>
      <c r="Z26" s="57"/>
      <c r="AA26" s="58"/>
      <c r="AB26" s="59"/>
    </row>
    <row r="27" ht="13.5" customHeight="1">
      <c r="A27" s="60">
        <f>IFERROR(__xludf.DUMMYFUNCTION("""COMPUTED_VALUE"""),26.0)</f>
        <v>26</v>
      </c>
      <c r="B27" s="61" t="str">
        <f>IFERROR(__xludf.DUMMYFUNCTION("""COMPUTED_VALUE"""),"160")</f>
        <v>160</v>
      </c>
      <c r="C27" s="62" t="str">
        <f>IFERROR(__xludf.DUMMYFUNCTION("""COMPUTED_VALUE"""),"HALGAND")</f>
        <v>HALGAND</v>
      </c>
      <c r="D27" s="63" t="str">
        <f>IFERROR(__xludf.DUMMYFUNCTION("""COMPUTED_VALUE"""),"RÉMY")</f>
        <v>RÉMY</v>
      </c>
      <c r="E27" s="51" t="str">
        <f>IFERROR(__xludf.DUMMYFUNCTION("""COMPUTED_VALUE"""),"MH2")</f>
        <v>MH2</v>
      </c>
      <c r="F27" s="82">
        <f>IFERROR(__xludf.DUMMYFUNCTION("""COMPUTED_VALUE"""),9.0)</f>
        <v>9</v>
      </c>
      <c r="G27" s="52">
        <f>IFERROR(__xludf.DUMMYFUNCTION("""COMPUTED_VALUE"""),0.022858797020813906)</f>
        <v>0.02285879702</v>
      </c>
      <c r="H27" s="53">
        <f>IFERROR(__xludf.DUMMYFUNCTION("""COMPUTED_VALUE"""),0.003935185195073664)</f>
        <v>0.003935185195</v>
      </c>
      <c r="I27" s="53">
        <f>IFERROR(__xludf.DUMMYFUNCTION("""COMPUTED_VALUE"""),0.007696759305434657)</f>
        <v>0.007696759305</v>
      </c>
      <c r="J27" s="53">
        <f>IFERROR(__xludf.DUMMYFUNCTION("""COMPUTED_VALUE"""),0.00964120404375251)</f>
        <v>0.009641204044</v>
      </c>
      <c r="K27" s="54">
        <f>IFERROR(__xludf.DUMMYFUNCTION("""COMPUTED_VALUE"""),0.001585648476553075)</f>
        <v>0.001585648477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6"/>
      <c r="W27" s="56"/>
      <c r="X27" s="56"/>
      <c r="Y27" s="56"/>
      <c r="Z27" s="57"/>
      <c r="AA27" s="58"/>
      <c r="AB27" s="59"/>
    </row>
    <row r="28" ht="13.5" customHeight="1">
      <c r="A28" s="60">
        <f>IFERROR(__xludf.DUMMYFUNCTION("""COMPUTED_VALUE"""),27.0)</f>
        <v>27</v>
      </c>
      <c r="B28" s="61" t="str">
        <f>IFERROR(__xludf.DUMMYFUNCTION("""COMPUTED_VALUE"""),"144")</f>
        <v>144</v>
      </c>
      <c r="C28" s="62" t="str">
        <f>IFERROR(__xludf.DUMMYFUNCTION("""COMPUTED_VALUE"""),"CAUVIN")</f>
        <v>CAUVIN</v>
      </c>
      <c r="D28" s="63" t="str">
        <f>IFERROR(__xludf.DUMMYFUNCTION("""COMPUTED_VALUE"""),"CHRISTOPHE")</f>
        <v>CHRISTOPHE</v>
      </c>
      <c r="E28" s="51" t="str">
        <f>IFERROR(__xludf.DUMMYFUNCTION("""COMPUTED_VALUE"""),"MH4")</f>
        <v>MH4</v>
      </c>
      <c r="F28" s="82">
        <f>IFERROR(__xludf.DUMMYFUNCTION("""COMPUTED_VALUE"""),3.0)</f>
        <v>3</v>
      </c>
      <c r="G28" s="52">
        <f>IFERROR(__xludf.DUMMYFUNCTION("""COMPUTED_VALUE"""),0.022974537770969992)</f>
        <v>0.02297453777</v>
      </c>
      <c r="H28" s="53">
        <f>IFERROR(__xludf.DUMMYFUNCTION("""COMPUTED_VALUE"""),0.004328703769333694)</f>
        <v>0.004328703769</v>
      </c>
      <c r="I28" s="53">
        <f>IFERROR(__xludf.DUMMYFUNCTION("""COMPUTED_VALUE"""),0.008761574174808464)</f>
        <v>0.008761574175</v>
      </c>
      <c r="J28" s="53">
        <f>IFERROR(__xludf.DUMMYFUNCTION("""COMPUTED_VALUE"""),0.008715278298046466)</f>
        <v>0.008715278298</v>
      </c>
      <c r="K28" s="54">
        <f>IFERROR(__xludf.DUMMYFUNCTION("""COMPUTED_VALUE"""),0.0011689815287813689)</f>
        <v>0.001168981529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6"/>
      <c r="W28" s="56"/>
      <c r="X28" s="56"/>
      <c r="Y28" s="56"/>
      <c r="Z28" s="57"/>
      <c r="AA28" s="58"/>
      <c r="AB28" s="59"/>
    </row>
    <row r="29" ht="13.5" customHeight="1">
      <c r="A29" s="60">
        <f>IFERROR(__xludf.DUMMYFUNCTION("""COMPUTED_VALUE"""),28.0)</f>
        <v>28</v>
      </c>
      <c r="B29" s="61" t="str">
        <f>IFERROR(__xludf.DUMMYFUNCTION("""COMPUTED_VALUE"""),"147")</f>
        <v>147</v>
      </c>
      <c r="C29" s="62" t="str">
        <f>IFERROR(__xludf.DUMMYFUNCTION("""COMPUTED_VALUE"""),"GAVINI")</f>
        <v>GAVINI</v>
      </c>
      <c r="D29" s="63" t="str">
        <f>IFERROR(__xludf.DUMMYFUNCTION("""COMPUTED_VALUE"""),"JEAN")</f>
        <v>JEAN</v>
      </c>
      <c r="E29" s="51" t="str">
        <f>IFERROR(__xludf.DUMMYFUNCTION("""COMPUTED_VALUE"""),"MH4")</f>
        <v>MH4</v>
      </c>
      <c r="F29" s="82">
        <f>IFERROR(__xludf.DUMMYFUNCTION("""COMPUTED_VALUE"""),4.0)</f>
        <v>4</v>
      </c>
      <c r="G29" s="52">
        <f>IFERROR(__xludf.DUMMYFUNCTION("""COMPUTED_VALUE"""),0.023009259614527575)</f>
        <v>0.02300925961</v>
      </c>
      <c r="H29" s="53">
        <f>IFERROR(__xludf.DUMMYFUNCTION("""COMPUTED_VALUE"""),0.004375000040624424)</f>
        <v>0.004375000041</v>
      </c>
      <c r="I29" s="53">
        <f>IFERROR(__xludf.DUMMYFUNCTION("""COMPUTED_VALUE"""),0.009201388905148874)</f>
        <v>0.009201388905</v>
      </c>
      <c r="J29" s="53">
        <f>IFERROR(__xludf.DUMMYFUNCTION("""COMPUTED_VALUE"""),0.00752314738925932)</f>
        <v>0.007523147389</v>
      </c>
      <c r="K29" s="54">
        <f>IFERROR(__xludf.DUMMYFUNCTION("""COMPUTED_VALUE"""),0.001909723279494957)</f>
        <v>0.001909723279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6"/>
      <c r="W29" s="56"/>
      <c r="X29" s="56"/>
      <c r="Y29" s="56"/>
      <c r="Z29" s="57"/>
      <c r="AA29" s="58"/>
      <c r="AB29" s="59"/>
    </row>
    <row r="30" ht="13.5" customHeight="1">
      <c r="A30" s="60">
        <f>IFERROR(__xludf.DUMMYFUNCTION("""COMPUTED_VALUE"""),29.0)</f>
        <v>29</v>
      </c>
      <c r="B30" s="61" t="str">
        <f>IFERROR(__xludf.DUMMYFUNCTION("""COMPUTED_VALUE"""),"107")</f>
        <v>107</v>
      </c>
      <c r="C30" s="62" t="str">
        <f>IFERROR(__xludf.DUMMYFUNCTION("""COMPUTED_VALUE"""),"YVART")</f>
        <v>YVART</v>
      </c>
      <c r="D30" s="63" t="str">
        <f>IFERROR(__xludf.DUMMYFUNCTION("""COMPUTED_VALUE"""),"JÉRÔME")</f>
        <v>JÉRÔME</v>
      </c>
      <c r="E30" s="51" t="str">
        <f>IFERROR(__xludf.DUMMYFUNCTION("""COMPUTED_VALUE"""),"MH1")</f>
        <v>MH1</v>
      </c>
      <c r="F30" s="82">
        <f>IFERROR(__xludf.DUMMYFUNCTION("""COMPUTED_VALUE"""),9.0)</f>
        <v>9</v>
      </c>
      <c r="G30" s="52">
        <f>IFERROR(__xludf.DUMMYFUNCTION("""COMPUTED_VALUE"""),0.02317129687806523)</f>
        <v>0.02317129688</v>
      </c>
      <c r="H30" s="53">
        <f>IFERROR(__xludf.DUMMYFUNCTION("""COMPUTED_VALUE"""),0.0047222222547489414)</f>
        <v>0.004722222255</v>
      </c>
      <c r="I30" s="53">
        <f>IFERROR(__xludf.DUMMYFUNCTION("""COMPUTED_VALUE"""),0.008587963065303425)</f>
        <v>0.008587963065</v>
      </c>
      <c r="J30" s="53">
        <f>IFERROR(__xludf.DUMMYFUNCTION("""COMPUTED_VALUE"""),0.008425925756761054)</f>
        <v>0.008425925757</v>
      </c>
      <c r="K30" s="54">
        <f>IFERROR(__xludf.DUMMYFUNCTION("""COMPUTED_VALUE"""),0.001435185801251809)</f>
        <v>0.001435185801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6"/>
      <c r="W30" s="56"/>
      <c r="X30" s="56"/>
      <c r="Y30" s="56"/>
      <c r="Z30" s="57"/>
      <c r="AA30" s="58"/>
      <c r="AB30" s="59"/>
    </row>
    <row r="31" ht="13.5" customHeight="1">
      <c r="A31" s="60">
        <f>IFERROR(__xludf.DUMMYFUNCTION("""COMPUTED_VALUE"""),30.0)</f>
        <v>30</v>
      </c>
      <c r="B31" s="61" t="str">
        <f>IFERROR(__xludf.DUMMYFUNCTION("""COMPUTED_VALUE"""),"163")</f>
        <v>163</v>
      </c>
      <c r="C31" s="62" t="str">
        <f>IFERROR(__xludf.DUMMYFUNCTION("""COMPUTED_VALUE"""),"BETH")</f>
        <v>BETH</v>
      </c>
      <c r="D31" s="63" t="str">
        <f>IFERROR(__xludf.DUMMYFUNCTION("""COMPUTED_VALUE"""),"VICTOR")</f>
        <v>VICTOR</v>
      </c>
      <c r="E31" s="51" t="str">
        <f>IFERROR(__xludf.DUMMYFUNCTION("""COMPUTED_VALUE"""),"MH2")</f>
        <v>MH2</v>
      </c>
      <c r="F31" s="82">
        <f>IFERROR(__xludf.DUMMYFUNCTION("""COMPUTED_VALUE"""),10.0)</f>
        <v>10</v>
      </c>
      <c r="G31" s="52">
        <f>IFERROR(__xludf.DUMMYFUNCTION("""COMPUTED_VALUE"""),0.02320601899466702)</f>
        <v>0.02320601899</v>
      </c>
      <c r="H31" s="53">
        <f>IFERROR(__xludf.DUMMYFUNCTION("""COMPUTED_VALUE"""),0.004618055568775145)</f>
        <v>0.004618055569</v>
      </c>
      <c r="I31" s="53">
        <f>IFERROR(__xludf.DUMMYFUNCTION("""COMPUTED_VALUE"""),0.008113426025742167)</f>
        <v>0.008113426026</v>
      </c>
      <c r="J31" s="53">
        <f>IFERROR(__xludf.DUMMYFUNCTION("""COMPUTED_VALUE"""),0.009062500412030123)</f>
        <v>0.009062500412</v>
      </c>
      <c r="K31" s="54">
        <f>IFERROR(__xludf.DUMMYFUNCTION("""COMPUTED_VALUE"""),0.0014120369881195855)</f>
        <v>0.001412036988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6"/>
      <c r="W31" s="56"/>
      <c r="X31" s="56"/>
      <c r="Y31" s="56"/>
      <c r="Z31" s="57"/>
      <c r="AA31" s="58"/>
      <c r="AB31" s="59"/>
    </row>
    <row r="32" ht="13.5" customHeight="1">
      <c r="A32" s="60">
        <f>IFERROR(__xludf.DUMMYFUNCTION("""COMPUTED_VALUE"""),31.0)</f>
        <v>31</v>
      </c>
      <c r="B32" s="61" t="str">
        <f>IFERROR(__xludf.DUMMYFUNCTION("""COMPUTED_VALUE"""),"56")</f>
        <v>56</v>
      </c>
      <c r="C32" s="62" t="str">
        <f>IFERROR(__xludf.DUMMYFUNCTION("""COMPUTED_VALUE"""),"LAUTROU")</f>
        <v>LAUTROU</v>
      </c>
      <c r="D32" s="63" t="str">
        <f>IFERROR(__xludf.DUMMYFUNCTION("""COMPUTED_VALUE"""),"JEAN-PAUL")</f>
        <v>JEAN-PAUL</v>
      </c>
      <c r="E32" s="51" t="str">
        <f>IFERROR(__xludf.DUMMYFUNCTION("""COMPUTED_VALUE"""),"MH5")</f>
        <v>MH5</v>
      </c>
      <c r="F32" s="82">
        <f>IFERROR(__xludf.DUMMYFUNCTION("""COMPUTED_VALUE"""),3.0)</f>
        <v>3</v>
      </c>
      <c r="G32" s="52">
        <f>IFERROR(__xludf.DUMMYFUNCTION("""COMPUTED_VALUE"""),0.0235416676705876)</f>
        <v>0.02354166767</v>
      </c>
      <c r="H32" s="53">
        <f>IFERROR(__xludf.DUMMYFUNCTION("""COMPUTED_VALUE"""),0.004502314827404847)</f>
        <v>0.004502314827</v>
      </c>
      <c r="I32" s="53">
        <f>IFERROR(__xludf.DUMMYFUNCTION("""COMPUTED_VALUE"""),0.008206018624891908)</f>
        <v>0.008206018625</v>
      </c>
      <c r="J32" s="53">
        <f>IFERROR(__xludf.DUMMYFUNCTION("""COMPUTED_VALUE"""),0.009120370936537716)</f>
        <v>0.009120370937</v>
      </c>
      <c r="K32" s="54">
        <f>IFERROR(__xludf.DUMMYFUNCTION("""COMPUTED_VALUE"""),0.00171296328175313)</f>
        <v>0.001712963282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6"/>
      <c r="W32" s="56"/>
      <c r="X32" s="56"/>
      <c r="Y32" s="56"/>
      <c r="Z32" s="57"/>
      <c r="AA32" s="58"/>
      <c r="AB32" s="59"/>
    </row>
    <row r="33" ht="13.5" customHeight="1">
      <c r="A33" s="60">
        <f>IFERROR(__xludf.DUMMYFUNCTION("""COMPUTED_VALUE"""),32.0)</f>
        <v>32</v>
      </c>
      <c r="B33" s="61" t="str">
        <f>IFERROR(__xludf.DUMMYFUNCTION("""COMPUTED_VALUE"""),"117")</f>
        <v>117</v>
      </c>
      <c r="C33" s="62" t="str">
        <f>IFERROR(__xludf.DUMMYFUNCTION("""COMPUTED_VALUE"""),"BARBEAU")</f>
        <v>BARBEAU</v>
      </c>
      <c r="D33" s="63" t="str">
        <f>IFERROR(__xludf.DUMMYFUNCTION("""COMPUTED_VALUE"""),"REMY")</f>
        <v>REMY</v>
      </c>
      <c r="E33" s="51" t="str">
        <f>IFERROR(__xludf.DUMMYFUNCTION("""COMPUTED_VALUE"""),"MH1")</f>
        <v>MH1</v>
      </c>
      <c r="F33" s="82">
        <f>IFERROR(__xludf.DUMMYFUNCTION("""COMPUTED_VALUE"""),10.0)</f>
        <v>10</v>
      </c>
      <c r="G33" s="52">
        <f>IFERROR(__xludf.DUMMYFUNCTION("""COMPUTED_VALUE"""),0.023738426122137724)</f>
        <v>0.02373842612</v>
      </c>
      <c r="H33" s="53">
        <f>IFERROR(__xludf.DUMMYFUNCTION("""COMPUTED_VALUE"""),0.004108796333266494)</f>
        <v>0.004108796333</v>
      </c>
      <c r="I33" s="53">
        <f>IFERROR(__xludf.DUMMYFUNCTION("""COMPUTED_VALUE"""),0.007199074165689098)</f>
        <v>0.007199074166</v>
      </c>
      <c r="J33" s="53">
        <f>IFERROR(__xludf.DUMMYFUNCTION("""COMPUTED_VALUE"""),0.011469907009536899)</f>
        <v>0.01146990701</v>
      </c>
      <c r="K33" s="54">
        <f>IFERROR(__xludf.DUMMYFUNCTION("""COMPUTED_VALUE"""),9.606486136452333E-4)</f>
        <v>0.0009606486136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  <c r="W33" s="56"/>
      <c r="X33" s="56"/>
      <c r="Y33" s="56"/>
      <c r="Z33" s="57"/>
      <c r="AA33" s="58"/>
      <c r="AB33" s="59"/>
    </row>
    <row r="34" ht="13.5" customHeight="1">
      <c r="A34" s="60">
        <f>IFERROR(__xludf.DUMMYFUNCTION("""COMPUTED_VALUE"""),33.0)</f>
        <v>33</v>
      </c>
      <c r="B34" s="61" t="str">
        <f>IFERROR(__xludf.DUMMYFUNCTION("""COMPUTED_VALUE"""),"174")</f>
        <v>174</v>
      </c>
      <c r="C34" s="62" t="str">
        <f>IFERROR(__xludf.DUMMYFUNCTION("""COMPUTED_VALUE"""),"MARIAT")</f>
        <v>MARIAT</v>
      </c>
      <c r="D34" s="63" t="str">
        <f>IFERROR(__xludf.DUMMYFUNCTION("""COMPUTED_VALUE"""),"ALEXANDRE")</f>
        <v>ALEXANDRE</v>
      </c>
      <c r="E34" s="51" t="str">
        <f>IFERROR(__xludf.DUMMYFUNCTION("""COMPUTED_VALUE"""),"MH2")</f>
        <v>MH2</v>
      </c>
      <c r="F34" s="82">
        <f>IFERROR(__xludf.DUMMYFUNCTION("""COMPUTED_VALUE"""),11.0)</f>
        <v>11</v>
      </c>
      <c r="G34" s="52">
        <f>IFERROR(__xludf.DUMMYFUNCTION("""COMPUTED_VALUE"""),0.024375000619461473)</f>
        <v>0.02437500062</v>
      </c>
      <c r="H34" s="53">
        <f>IFERROR(__xludf.DUMMYFUNCTION("""COMPUTED_VALUE"""),0.004097222308793983)</f>
        <v>0.004097222309</v>
      </c>
      <c r="I34" s="53">
        <f>IFERROR(__xludf.DUMMYFUNCTION("""COMPUTED_VALUE"""),0.00866898151445987)</f>
        <v>0.008668981514</v>
      </c>
      <c r="J34" s="53">
        <f>IFERROR(__xludf.DUMMYFUNCTION("""COMPUTED_VALUE"""),0.010115740334949318)</f>
        <v>0.01011574033</v>
      </c>
      <c r="K34" s="54">
        <f>IFERROR(__xludf.DUMMYFUNCTION("""COMPUTED_VALUE"""),0.001493056461258302)</f>
        <v>0.001493056461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56"/>
      <c r="X34" s="56"/>
      <c r="Y34" s="56"/>
      <c r="Z34" s="57"/>
      <c r="AA34" s="58"/>
      <c r="AB34" s="59"/>
    </row>
    <row r="35" ht="13.5" customHeight="1">
      <c r="A35" s="60">
        <f>IFERROR(__xludf.DUMMYFUNCTION("""COMPUTED_VALUE"""),34.0)</f>
        <v>34</v>
      </c>
      <c r="B35" s="61" t="str">
        <f>IFERROR(__xludf.DUMMYFUNCTION("""COMPUTED_VALUE"""),"79")</f>
        <v>79</v>
      </c>
      <c r="C35" s="62" t="str">
        <f>IFERROR(__xludf.DUMMYFUNCTION("""COMPUTED_VALUE"""),"RAFFRAY")</f>
        <v>RAFFRAY</v>
      </c>
      <c r="D35" s="63" t="str">
        <f>IFERROR(__xludf.DUMMYFUNCTION("""COMPUTED_VALUE"""),"SYLVAIN")</f>
        <v>SYLVAIN</v>
      </c>
      <c r="E35" s="51" t="str">
        <f>IFERROR(__xludf.DUMMYFUNCTION("""COMPUTED_VALUE"""),"MH2")</f>
        <v>MH2</v>
      </c>
      <c r="F35" s="82">
        <f>IFERROR(__xludf.DUMMYFUNCTION("""COMPUTED_VALUE"""),12.0)</f>
        <v>12</v>
      </c>
      <c r="G35" s="52">
        <f>IFERROR(__xludf.DUMMYFUNCTION("""COMPUTED_VALUE"""),0.024583334245657822)</f>
        <v>0.02458333425</v>
      </c>
      <c r="H35" s="53">
        <f>IFERROR(__xludf.DUMMYFUNCTION("""COMPUTED_VALUE"""),0.004027777843302037)</f>
        <v>0.004027777843</v>
      </c>
      <c r="I35" s="53">
        <f>IFERROR(__xludf.DUMMYFUNCTION("""COMPUTED_VALUE"""),0.007662037077595987)</f>
        <v>0.007662037078</v>
      </c>
      <c r="J35" s="53">
        <f>IFERROR(__xludf.DUMMYFUNCTION("""COMPUTED_VALUE"""),0.0113541671487176)</f>
        <v>0.01135416715</v>
      </c>
      <c r="K35" s="54">
        <f>IFERROR(__xludf.DUMMYFUNCTION("""COMPUTED_VALUE"""),0.0015393521760421972)</f>
        <v>0.001539352176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6"/>
      <c r="W35" s="56"/>
      <c r="X35" s="56"/>
      <c r="Y35" s="56"/>
      <c r="Z35" s="57"/>
      <c r="AA35" s="58"/>
      <c r="AB35" s="59"/>
    </row>
    <row r="36" ht="13.5" customHeight="1">
      <c r="A36" s="60">
        <f>IFERROR(__xludf.DUMMYFUNCTION("""COMPUTED_VALUE"""),35.0)</f>
        <v>35</v>
      </c>
      <c r="B36" s="61" t="str">
        <f>IFERROR(__xludf.DUMMYFUNCTION("""COMPUTED_VALUE"""),"121")</f>
        <v>121</v>
      </c>
      <c r="C36" s="62" t="str">
        <f>IFERROR(__xludf.DUMMYFUNCTION("""COMPUTED_VALUE"""),"BENSARI")</f>
        <v>BENSARI</v>
      </c>
      <c r="D36" s="63" t="str">
        <f>IFERROR(__xludf.DUMMYFUNCTION("""COMPUTED_VALUE"""),"RYAD")</f>
        <v>RYAD</v>
      </c>
      <c r="E36" s="51" t="str">
        <f>IFERROR(__xludf.DUMMYFUNCTION("""COMPUTED_VALUE"""),"MH1")</f>
        <v>MH1</v>
      </c>
      <c r="F36" s="82">
        <f>IFERROR(__xludf.DUMMYFUNCTION("""COMPUTED_VALUE"""),11.0)</f>
        <v>11</v>
      </c>
      <c r="G36" s="52">
        <f>IFERROR(__xludf.DUMMYFUNCTION("""COMPUTED_VALUE"""),0.024618056398743406)</f>
        <v>0.0246180564</v>
      </c>
      <c r="H36" s="53">
        <f>IFERROR(__xludf.DUMMYFUNCTION("""COMPUTED_VALUE"""),0.005405092705894518)</f>
        <v>0.005405092706</v>
      </c>
      <c r="I36" s="53">
        <f>IFERROR(__xludf.DUMMYFUNCTION("""COMPUTED_VALUE"""),0.007766203819145763)</f>
        <v>0.007766203819</v>
      </c>
      <c r="J36" s="53">
        <f>IFERROR(__xludf.DUMMYFUNCTION("""COMPUTED_VALUE"""),0.009710648171603277)</f>
        <v>0.009710648172</v>
      </c>
      <c r="K36" s="54">
        <f>IFERROR(__xludf.DUMMYFUNCTION("""COMPUTED_VALUE"""),0.0017361117020998473)</f>
        <v>0.001736111702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6"/>
      <c r="W36" s="56"/>
      <c r="X36" s="56"/>
      <c r="Y36" s="56"/>
      <c r="Z36" s="57"/>
      <c r="AA36" s="58"/>
      <c r="AB36" s="59"/>
    </row>
    <row r="37" ht="13.5" customHeight="1">
      <c r="A37" s="60">
        <f>IFERROR(__xludf.DUMMYFUNCTION("""COMPUTED_VALUE"""),36.0)</f>
        <v>36</v>
      </c>
      <c r="B37" s="61" t="str">
        <f>IFERROR(__xludf.DUMMYFUNCTION("""COMPUTED_VALUE"""),"123")</f>
        <v>123</v>
      </c>
      <c r="C37" s="62" t="str">
        <f>IFERROR(__xludf.DUMMYFUNCTION("""COMPUTED_VALUE"""),"SATKUNANANTHAN")</f>
        <v>SATKUNANANTHAN</v>
      </c>
      <c r="D37" s="63" t="str">
        <f>IFERROR(__xludf.DUMMYFUNCTION("""COMPUTED_VALUE"""),"SASIHARAN")</f>
        <v>SASIHARAN</v>
      </c>
      <c r="E37" s="51" t="str">
        <f>IFERROR(__xludf.DUMMYFUNCTION("""COMPUTED_VALUE"""),"MH1")</f>
        <v>MH1</v>
      </c>
      <c r="F37" s="82">
        <f>IFERROR(__xludf.DUMMYFUNCTION("""COMPUTED_VALUE"""),12.0)</f>
        <v>12</v>
      </c>
      <c r="G37" s="52">
        <f>IFERROR(__xludf.DUMMYFUNCTION("""COMPUTED_VALUE"""),0.024652778020674476)</f>
        <v>0.02465277802</v>
      </c>
      <c r="H37" s="53">
        <f>IFERROR(__xludf.DUMMYFUNCTION("""COMPUTED_VALUE"""),0.005289351947609584)</f>
        <v>0.005289351948</v>
      </c>
      <c r="I37" s="53">
        <f>IFERROR(__xludf.DUMMYFUNCTION("""COMPUTED_VALUE"""),0.00902777788617769)</f>
        <v>0.009027777886</v>
      </c>
      <c r="J37" s="53">
        <f>IFERROR(__xludf.DUMMYFUNCTION("""COMPUTED_VALUE"""),0.00906250014828194)</f>
        <v>0.009062500148</v>
      </c>
      <c r="K37" s="54">
        <f>IFERROR(__xludf.DUMMYFUNCTION("""COMPUTED_VALUE"""),0.001273148038605263)</f>
        <v>0.001273148039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6"/>
      <c r="W37" s="56"/>
      <c r="X37" s="56"/>
      <c r="Y37" s="56"/>
      <c r="Z37" s="57"/>
      <c r="AA37" s="58"/>
      <c r="AB37" s="59"/>
    </row>
    <row r="38" ht="13.5" customHeight="1">
      <c r="A38" s="60">
        <f>IFERROR(__xludf.DUMMYFUNCTION("""COMPUTED_VALUE"""),37.0)</f>
        <v>37</v>
      </c>
      <c r="B38" s="61" t="str">
        <f>IFERROR(__xludf.DUMMYFUNCTION("""COMPUTED_VALUE"""),"106")</f>
        <v>106</v>
      </c>
      <c r="C38" s="62" t="str">
        <f>IFERROR(__xludf.DUMMYFUNCTION("""COMPUTED_VALUE"""),"VOUILLEMET")</f>
        <v>VOUILLEMET</v>
      </c>
      <c r="D38" s="63" t="str">
        <f>IFERROR(__xludf.DUMMYFUNCTION("""COMPUTED_VALUE"""),"MAXIMILIEN")</f>
        <v>MAXIMILIEN</v>
      </c>
      <c r="E38" s="51" t="str">
        <f>IFERROR(__xludf.DUMMYFUNCTION("""COMPUTED_VALUE"""),"MH2")</f>
        <v>MH2</v>
      </c>
      <c r="F38" s="82">
        <f>IFERROR(__xludf.DUMMYFUNCTION("""COMPUTED_VALUE"""),13.0)</f>
        <v>13</v>
      </c>
      <c r="G38" s="52">
        <f>IFERROR(__xludf.DUMMYFUNCTION("""COMPUTED_VALUE"""),0.025081019644149747)</f>
        <v>0.02508101964</v>
      </c>
      <c r="H38" s="53">
        <f>IFERROR(__xludf.DUMMYFUNCTION("""COMPUTED_VALUE"""),0.004837963063030363)</f>
        <v>0.004837963063</v>
      </c>
      <c r="I38" s="53">
        <f>IFERROR(__xludf.DUMMYFUNCTION("""COMPUTED_VALUE"""),0.007581018632700535)</f>
        <v>0.007581018633</v>
      </c>
      <c r="J38" s="53">
        <f>IFERROR(__xludf.DUMMYFUNCTION("""COMPUTED_VALUE"""),0.011412037156855244)</f>
        <v>0.01141203716</v>
      </c>
      <c r="K38" s="54">
        <f>IFERROR(__xludf.DUMMYFUNCTION("""COMPUTED_VALUE"""),0.0012500007915636048)</f>
        <v>0.001250000792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6"/>
      <c r="W38" s="56"/>
      <c r="X38" s="56"/>
      <c r="Y38" s="56"/>
      <c r="Z38" s="57"/>
      <c r="AA38" s="58"/>
      <c r="AB38" s="59"/>
    </row>
    <row r="39" ht="13.5" customHeight="1">
      <c r="A39" s="60">
        <f>IFERROR(__xludf.DUMMYFUNCTION("""COMPUTED_VALUE"""),38.0)</f>
        <v>38</v>
      </c>
      <c r="B39" s="61" t="str">
        <f>IFERROR(__xludf.DUMMYFUNCTION("""COMPUTED_VALUE"""),"86")</f>
        <v>86</v>
      </c>
      <c r="C39" s="62" t="str">
        <f>IFERROR(__xludf.DUMMYFUNCTION("""COMPUTED_VALUE"""),"FUCHS")</f>
        <v>FUCHS</v>
      </c>
      <c r="D39" s="63" t="str">
        <f>IFERROR(__xludf.DUMMYFUNCTION("""COMPUTED_VALUE"""),"PATRICK")</f>
        <v>PATRICK</v>
      </c>
      <c r="E39" s="51" t="str">
        <f>IFERROR(__xludf.DUMMYFUNCTION("""COMPUTED_VALUE"""),"MH3")</f>
        <v>MH3</v>
      </c>
      <c r="F39" s="82">
        <f>IFERROR(__xludf.DUMMYFUNCTION("""COMPUTED_VALUE"""),6.0)</f>
        <v>6</v>
      </c>
      <c r="G39" s="52">
        <f>IFERROR(__xludf.DUMMYFUNCTION("""COMPUTED_VALUE"""),0.02521990830810679)</f>
        <v>0.02521990831</v>
      </c>
      <c r="H39" s="53">
        <f>IFERROR(__xludf.DUMMYFUNCTION("""COMPUTED_VALUE"""),0.004976851854244616)</f>
        <v>0.004976851854</v>
      </c>
      <c r="I39" s="53">
        <f>IFERROR(__xludf.DUMMYFUNCTION("""COMPUTED_VALUE"""),0.007881944513375849)</f>
        <v>0.007881944513</v>
      </c>
      <c r="J39" s="53">
        <f>IFERROR(__xludf.DUMMYFUNCTION("""COMPUTED_VALUE"""),0.010231481592981238)</f>
        <v>0.01023148159</v>
      </c>
      <c r="K39" s="54">
        <f>IFERROR(__xludf.DUMMYFUNCTION("""COMPUTED_VALUE"""),0.0021296303475050868)</f>
        <v>0.002129630348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6"/>
      <c r="W39" s="56"/>
      <c r="X39" s="56"/>
      <c r="Y39" s="56"/>
      <c r="Z39" s="57"/>
      <c r="AA39" s="58"/>
      <c r="AB39" s="59"/>
    </row>
    <row r="40" ht="13.5" customHeight="1">
      <c r="A40" s="60">
        <f>IFERROR(__xludf.DUMMYFUNCTION("""COMPUTED_VALUE"""),39.0)</f>
        <v>39</v>
      </c>
      <c r="B40" s="61" t="str">
        <f>IFERROR(__xludf.DUMMYFUNCTION("""COMPUTED_VALUE"""),"157")</f>
        <v>157</v>
      </c>
      <c r="C40" s="62" t="str">
        <f>IFERROR(__xludf.DUMMYFUNCTION("""COMPUTED_VALUE"""),"BENISTY")</f>
        <v>BENISTY</v>
      </c>
      <c r="D40" s="63" t="str">
        <f>IFERROR(__xludf.DUMMYFUNCTION("""COMPUTED_VALUE"""),"YONATHAN")</f>
        <v>YONATHAN</v>
      </c>
      <c r="E40" s="51" t="str">
        <f>IFERROR(__xludf.DUMMYFUNCTION("""COMPUTED_VALUE"""),"MH1")</f>
        <v>MH1</v>
      </c>
      <c r="F40" s="82">
        <f>IFERROR(__xludf.DUMMYFUNCTION("""COMPUTED_VALUE"""),13.0)</f>
        <v>13</v>
      </c>
      <c r="G40" s="52">
        <f>IFERROR(__xludf.DUMMYFUNCTION("""COMPUTED_VALUE"""),0.025324074385238954)</f>
        <v>0.02532407439</v>
      </c>
      <c r="H40" s="53">
        <f>IFERROR(__xludf.DUMMYFUNCTION("""COMPUTED_VALUE"""),0.004849537122877032)</f>
        <v>0.004849537123</v>
      </c>
      <c r="I40" s="53">
        <f>IFERROR(__xludf.DUMMYFUNCTION("""COMPUTED_VALUE"""),0.008599537066233096)</f>
        <v>0.008599537066</v>
      </c>
      <c r="J40" s="53">
        <f>IFERROR(__xludf.DUMMYFUNCTION("""COMPUTED_VALUE"""),0.010266203236104613)</f>
        <v>0.01026620324</v>
      </c>
      <c r="K40" s="54">
        <f>IFERROR(__xludf.DUMMYFUNCTION("""COMPUTED_VALUE"""),0.001608796960024213)</f>
        <v>0.00160879696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6"/>
      <c r="W40" s="56"/>
      <c r="X40" s="56"/>
      <c r="Y40" s="56"/>
      <c r="Z40" s="57"/>
      <c r="AA40" s="58"/>
      <c r="AB40" s="59"/>
    </row>
    <row r="41" ht="13.5" customHeight="1">
      <c r="A41" s="60">
        <f>IFERROR(__xludf.DUMMYFUNCTION("""COMPUTED_VALUE"""),40.0)</f>
        <v>40</v>
      </c>
      <c r="B41" s="61" t="str">
        <f>IFERROR(__xludf.DUMMYFUNCTION("""COMPUTED_VALUE"""),"52")</f>
        <v>52</v>
      </c>
      <c r="C41" s="62" t="str">
        <f>IFERROR(__xludf.DUMMYFUNCTION("""COMPUTED_VALUE"""),"BUREAU")</f>
        <v>BUREAU</v>
      </c>
      <c r="D41" s="63" t="str">
        <f>IFERROR(__xludf.DUMMYFUNCTION("""COMPUTED_VALUE"""),"ALBAN")</f>
        <v>ALBAN</v>
      </c>
      <c r="E41" s="51" t="str">
        <f>IFERROR(__xludf.DUMMYFUNCTION("""COMPUTED_VALUE"""),"MH1")</f>
        <v>MH1</v>
      </c>
      <c r="F41" s="82">
        <f>IFERROR(__xludf.DUMMYFUNCTION("""COMPUTED_VALUE"""),14.0)</f>
        <v>14</v>
      </c>
      <c r="G41" s="52">
        <f>IFERROR(__xludf.DUMMYFUNCTION("""COMPUTED_VALUE"""),0.0254745370821722)</f>
        <v>0.02547453708</v>
      </c>
      <c r="H41" s="53">
        <f>IFERROR(__xludf.DUMMYFUNCTION("""COMPUTED_VALUE"""),0.004930555611564586)</f>
        <v>0.004930555612</v>
      </c>
      <c r="I41" s="53">
        <f>IFERROR(__xludf.DUMMYFUNCTION("""COMPUTED_VALUE"""),0.009004629681936145)</f>
        <v>0.009004629682</v>
      </c>
      <c r="J41" s="53">
        <f>IFERROR(__xludf.DUMMYFUNCTION("""COMPUTED_VALUE"""),0.009675925358851072)</f>
        <v>0.009675925359</v>
      </c>
      <c r="K41" s="54">
        <f>IFERROR(__xludf.DUMMYFUNCTION("""COMPUTED_VALUE"""),0.0018634264298203985)</f>
        <v>0.00186342643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6"/>
      <c r="W41" s="56"/>
      <c r="X41" s="56"/>
      <c r="Y41" s="56"/>
      <c r="Z41" s="57"/>
      <c r="AA41" s="58"/>
      <c r="AB41" s="59"/>
    </row>
    <row r="42" ht="13.5" customHeight="1">
      <c r="A42" s="60">
        <f>IFERROR(__xludf.DUMMYFUNCTION("""COMPUTED_VALUE"""),41.0)</f>
        <v>41</v>
      </c>
      <c r="B42" s="61" t="str">
        <f>IFERROR(__xludf.DUMMYFUNCTION("""COMPUTED_VALUE"""),"145")</f>
        <v>145</v>
      </c>
      <c r="C42" s="62" t="str">
        <f>IFERROR(__xludf.DUMMYFUNCTION("""COMPUTED_VALUE"""),"PAQUEREAU")</f>
        <v>PAQUEREAU</v>
      </c>
      <c r="D42" s="63" t="str">
        <f>IFERROR(__xludf.DUMMYFUNCTION("""COMPUTED_VALUE"""),"SIMON")</f>
        <v>SIMON</v>
      </c>
      <c r="E42" s="51" t="str">
        <f>IFERROR(__xludf.DUMMYFUNCTION("""COMPUTED_VALUE"""),"MH5")</f>
        <v>MH5</v>
      </c>
      <c r="F42" s="82">
        <f>IFERROR(__xludf.DUMMYFUNCTION("""COMPUTED_VALUE"""),4.0)</f>
        <v>4</v>
      </c>
      <c r="G42" s="52">
        <f>IFERROR(__xludf.DUMMYFUNCTION("""COMPUTED_VALUE"""),0.026527777884811848)</f>
        <v>0.02652777788</v>
      </c>
      <c r="H42" s="53">
        <f>IFERROR(__xludf.DUMMYFUNCTION("""COMPUTED_VALUE"""),0.005324074084810287)</f>
        <v>0.005324074085</v>
      </c>
      <c r="I42" s="53">
        <f>IFERROR(__xludf.DUMMYFUNCTION("""COMPUTED_VALUE"""),0.008229166672634361)</f>
        <v>0.008229166673</v>
      </c>
      <c r="J42" s="53">
        <f>IFERROR(__xludf.DUMMYFUNCTION("""COMPUTED_VALUE"""),0.011747685048372316)</f>
        <v>0.01174768505</v>
      </c>
      <c r="K42" s="54">
        <f>IFERROR(__xludf.DUMMYFUNCTION("""COMPUTED_VALUE"""),0.001226852078994884)</f>
        <v>0.001226852079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6"/>
      <c r="W42" s="56"/>
      <c r="X42" s="56"/>
      <c r="Y42" s="56"/>
      <c r="Z42" s="57"/>
      <c r="AA42" s="58"/>
      <c r="AB42" s="59"/>
    </row>
    <row r="43" ht="13.5" customHeight="1">
      <c r="A43" s="60">
        <f>IFERROR(__xludf.DUMMYFUNCTION("""COMPUTED_VALUE"""),42.0)</f>
        <v>42</v>
      </c>
      <c r="B43" s="61" t="str">
        <f>IFERROR(__xludf.DUMMYFUNCTION("""COMPUTED_VALUE"""),"62")</f>
        <v>62</v>
      </c>
      <c r="C43" s="62" t="str">
        <f>IFERROR(__xludf.DUMMYFUNCTION("""COMPUTED_VALUE"""),"TANNER")</f>
        <v>TANNER</v>
      </c>
      <c r="D43" s="63" t="str">
        <f>IFERROR(__xludf.DUMMYFUNCTION("""COMPUTED_VALUE"""),"RENAUD")</f>
        <v>RENAUD</v>
      </c>
      <c r="E43" s="51" t="str">
        <f>IFERROR(__xludf.DUMMYFUNCTION("""COMPUTED_VALUE"""),"MH1")</f>
        <v>MH1</v>
      </c>
      <c r="F43" s="82">
        <f>IFERROR(__xludf.DUMMYFUNCTION("""COMPUTED_VALUE"""),15.0)</f>
        <v>15</v>
      </c>
      <c r="G43" s="52">
        <f>IFERROR(__xludf.DUMMYFUNCTION("""COMPUTED_VALUE"""),0.02821759265430833)</f>
        <v>0.02821759265</v>
      </c>
      <c r="H43" s="53">
        <f>IFERROR(__xludf.DUMMYFUNCTION("""COMPUTED_VALUE"""),0.004930555598018108)</f>
        <v>0.004930555598</v>
      </c>
      <c r="I43" s="53">
        <f>IFERROR(__xludf.DUMMYFUNCTION("""COMPUTED_VALUE"""),0.008599537101484724)</f>
        <v>0.008599537101</v>
      </c>
      <c r="J43" s="53">
        <f>IFERROR(__xludf.DUMMYFUNCTION("""COMPUTED_VALUE"""),0.012812499982810095)</f>
        <v>0.01281249998</v>
      </c>
      <c r="K43" s="54">
        <f>IFERROR(__xludf.DUMMYFUNCTION("""COMPUTED_VALUE"""),0.0018749999719954022)</f>
        <v>0.001874999972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6"/>
      <c r="W43" s="56"/>
      <c r="X43" s="56"/>
      <c r="Y43" s="56"/>
      <c r="Z43" s="57"/>
      <c r="AA43" s="58"/>
      <c r="AB43" s="59"/>
    </row>
    <row r="44" ht="13.5" customHeight="1">
      <c r="A44" s="60">
        <f>IFERROR(__xludf.DUMMYFUNCTION("""COMPUTED_VALUE"""),43.0)</f>
        <v>43</v>
      </c>
      <c r="B44" s="61" t="str">
        <f>IFERROR(__xludf.DUMMYFUNCTION("""COMPUTED_VALUE"""),"59")</f>
        <v>59</v>
      </c>
      <c r="C44" s="62" t="str">
        <f>IFERROR(__xludf.DUMMYFUNCTION("""COMPUTED_VALUE"""),"TANNER")</f>
        <v>TANNER</v>
      </c>
      <c r="D44" s="63" t="str">
        <f>IFERROR(__xludf.DUMMYFUNCTION("""COMPUTED_VALUE"""),"MICHEL")</f>
        <v>MICHEL</v>
      </c>
      <c r="E44" s="51" t="str">
        <f>IFERROR(__xludf.DUMMYFUNCTION("""COMPUTED_VALUE"""),"MH6")</f>
        <v>MH6</v>
      </c>
      <c r="F44" s="82">
        <f>IFERROR(__xludf.DUMMYFUNCTION("""COMPUTED_VALUE"""),1.0)</f>
        <v>1</v>
      </c>
      <c r="G44" s="52">
        <f>IFERROR(__xludf.DUMMYFUNCTION("""COMPUTED_VALUE"""),0.0317939816343476)</f>
        <v>0.03179398163</v>
      </c>
      <c r="H44" s="53">
        <f>IFERROR(__xludf.DUMMYFUNCTION("""COMPUTED_VALUE"""),0.008356481523017581)</f>
        <v>0.008356481523</v>
      </c>
      <c r="I44" s="53">
        <f>IFERROR(__xludf.DUMMYFUNCTION("""COMPUTED_VALUE"""),0.009479166698375393)</f>
        <v>0.009479166698</v>
      </c>
      <c r="J44" s="53">
        <f>IFERROR(__xludf.DUMMYFUNCTION("""COMPUTED_VALUE"""),0.011527777852628613)</f>
        <v>0.01152777785</v>
      </c>
      <c r="K44" s="54">
        <f>IFERROR(__xludf.DUMMYFUNCTION("""COMPUTED_VALUE"""),0.002430555560326014)</f>
        <v>0.00243055556</v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6"/>
      <c r="W44" s="56"/>
      <c r="X44" s="56"/>
      <c r="Y44" s="56"/>
      <c r="Z44" s="57"/>
      <c r="AA44" s="58"/>
      <c r="AB44" s="59"/>
    </row>
    <row r="45" ht="13.5" customHeight="1">
      <c r="A45" s="60">
        <f>IFERROR(__xludf.DUMMYFUNCTION("""COMPUTED_VALUE"""),44.0)</f>
        <v>44</v>
      </c>
      <c r="B45" s="61" t="str">
        <f>IFERROR(__xludf.DUMMYFUNCTION("""COMPUTED_VALUE"""),"68")</f>
        <v>68</v>
      </c>
      <c r="C45" s="62" t="str">
        <f>IFERROR(__xludf.DUMMYFUNCTION("""COMPUTED_VALUE"""),"URSULET")</f>
        <v>URSULET</v>
      </c>
      <c r="D45" s="63" t="str">
        <f>IFERROR(__xludf.DUMMYFUNCTION("""COMPUTED_VALUE"""),"BRUNO")</f>
        <v>BRUNO</v>
      </c>
      <c r="E45" s="51" t="str">
        <f>IFERROR(__xludf.DUMMYFUNCTION("""COMPUTED_VALUE"""),"MH5")</f>
        <v>MH5</v>
      </c>
      <c r="F45" s="82">
        <f>IFERROR(__xludf.DUMMYFUNCTION("""COMPUTED_VALUE"""),5.0)</f>
        <v>5</v>
      </c>
      <c r="G45" s="52">
        <f>IFERROR(__xludf.DUMMYFUNCTION("""COMPUTED_VALUE"""),0.03780092628991552)</f>
        <v>0.03780092629</v>
      </c>
      <c r="H45" s="53">
        <f>IFERROR(__xludf.DUMMYFUNCTION("""COMPUTED_VALUE"""),0.006793981577697487)</f>
        <v>0.006793981578</v>
      </c>
      <c r="I45" s="53">
        <f>IFERROR(__xludf.DUMMYFUNCTION("""COMPUTED_VALUE"""),0.009780092701226546)</f>
        <v>0.009780092701</v>
      </c>
      <c r="J45" s="53">
        <f>IFERROR(__xludf.DUMMYFUNCTION("""COMPUTED_VALUE"""),0.018032407109976455)</f>
        <v>0.01803240711</v>
      </c>
      <c r="K45" s="54">
        <f>IFERROR(__xludf.DUMMYFUNCTION("""COMPUTED_VALUE"""),0.003194444901015032)</f>
        <v>0.003194444901</v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6"/>
      <c r="W45" s="56"/>
      <c r="X45" s="56"/>
      <c r="Y45" s="56"/>
      <c r="Z45" s="57"/>
      <c r="AA45" s="58"/>
      <c r="AB45" s="59"/>
    </row>
    <row r="46" ht="13.5" customHeight="1">
      <c r="A46" s="60" t="str">
        <f>IFERROR(__xludf.DUMMYFUNCTION("""COMPUTED_VALUE"""),"")</f>
        <v/>
      </c>
      <c r="B46" s="64" t="str">
        <f>IFERROR(__xludf.DUMMYFUNCTION("""COMPUTED_VALUE"""),"")</f>
        <v/>
      </c>
      <c r="C46" s="63" t="str">
        <f>IFERROR(__xludf.DUMMYFUNCTION("""COMPUTED_VALUE"""),"")</f>
        <v/>
      </c>
      <c r="D46" s="63" t="str">
        <f>IFERROR(__xludf.DUMMYFUNCTION("""COMPUTED_VALUE"""),"")</f>
        <v/>
      </c>
      <c r="E46" s="51" t="str">
        <f>IFERROR(__xludf.DUMMYFUNCTION("""COMPUTED_VALUE"""),"")</f>
        <v/>
      </c>
      <c r="F46" s="82" t="str">
        <f>IFERROR(__xludf.DUMMYFUNCTION("""COMPUTED_VALUE"""),"")</f>
        <v/>
      </c>
      <c r="G46" s="52" t="str">
        <f>IFERROR(__xludf.DUMMYFUNCTION("""COMPUTED_VALUE"""),"")</f>
        <v/>
      </c>
      <c r="H46" s="53" t="str">
        <f>IFERROR(__xludf.DUMMYFUNCTION("""COMPUTED_VALUE"""),"")</f>
        <v/>
      </c>
      <c r="I46" s="53" t="str">
        <f>IFERROR(__xludf.DUMMYFUNCTION("""COMPUTED_VALUE"""),"")</f>
        <v/>
      </c>
      <c r="J46" s="53" t="str">
        <f>IFERROR(__xludf.DUMMYFUNCTION("""COMPUTED_VALUE"""),"")</f>
        <v/>
      </c>
      <c r="K46" s="54" t="str">
        <f>IFERROR(__xludf.DUMMYFUNCTION("""COMPUTED_VALUE"""),"")</f>
        <v/>
      </c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6"/>
      <c r="W46" s="56"/>
      <c r="X46" s="56"/>
      <c r="Y46" s="56"/>
      <c r="Z46" s="57"/>
      <c r="AA46" s="58"/>
      <c r="AB46" s="59"/>
    </row>
    <row r="47" ht="13.5" customHeight="1">
      <c r="A47" s="60" t="str">
        <f>IFERROR(__xludf.DUMMYFUNCTION("""COMPUTED_VALUE"""),"")</f>
        <v/>
      </c>
      <c r="B47" s="64" t="str">
        <f>IFERROR(__xludf.DUMMYFUNCTION("""COMPUTED_VALUE"""),"")</f>
        <v/>
      </c>
      <c r="C47" s="63" t="str">
        <f>IFERROR(__xludf.DUMMYFUNCTION("""COMPUTED_VALUE"""),"")</f>
        <v/>
      </c>
      <c r="D47" s="63" t="str">
        <f>IFERROR(__xludf.DUMMYFUNCTION("""COMPUTED_VALUE"""),"")</f>
        <v/>
      </c>
      <c r="E47" s="51" t="str">
        <f>IFERROR(__xludf.DUMMYFUNCTION("""COMPUTED_VALUE"""),"")</f>
        <v/>
      </c>
      <c r="F47" s="82" t="str">
        <f>IFERROR(__xludf.DUMMYFUNCTION("""COMPUTED_VALUE"""),"")</f>
        <v/>
      </c>
      <c r="G47" s="52" t="str">
        <f>IFERROR(__xludf.DUMMYFUNCTION("""COMPUTED_VALUE"""),"")</f>
        <v/>
      </c>
      <c r="H47" s="53" t="str">
        <f>IFERROR(__xludf.DUMMYFUNCTION("""COMPUTED_VALUE"""),"")</f>
        <v/>
      </c>
      <c r="I47" s="53" t="str">
        <f>IFERROR(__xludf.DUMMYFUNCTION("""COMPUTED_VALUE"""),"")</f>
        <v/>
      </c>
      <c r="J47" s="53" t="str">
        <f>IFERROR(__xludf.DUMMYFUNCTION("""COMPUTED_VALUE"""),"")</f>
        <v/>
      </c>
      <c r="K47" s="54" t="str">
        <f>IFERROR(__xludf.DUMMYFUNCTION("""COMPUTED_VALUE"""),"")</f>
        <v/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6"/>
      <c r="W47" s="56"/>
      <c r="X47" s="56"/>
      <c r="Y47" s="56"/>
      <c r="Z47" s="57"/>
      <c r="AA47" s="58"/>
      <c r="AB47" s="59"/>
    </row>
    <row r="48" ht="13.5" customHeight="1">
      <c r="A48" s="60" t="str">
        <f>IFERROR(__xludf.DUMMYFUNCTION("""COMPUTED_VALUE"""),"")</f>
        <v/>
      </c>
      <c r="B48" s="64" t="str">
        <f>IFERROR(__xludf.DUMMYFUNCTION("""COMPUTED_VALUE"""),"")</f>
        <v/>
      </c>
      <c r="C48" s="63" t="str">
        <f>IFERROR(__xludf.DUMMYFUNCTION("""COMPUTED_VALUE"""),"")</f>
        <v/>
      </c>
      <c r="D48" s="63" t="str">
        <f>IFERROR(__xludf.DUMMYFUNCTION("""COMPUTED_VALUE"""),"")</f>
        <v/>
      </c>
      <c r="E48" s="51" t="str">
        <f>IFERROR(__xludf.DUMMYFUNCTION("""COMPUTED_VALUE"""),"")</f>
        <v/>
      </c>
      <c r="F48" s="82" t="str">
        <f>IFERROR(__xludf.DUMMYFUNCTION("""COMPUTED_VALUE"""),"")</f>
        <v/>
      </c>
      <c r="G48" s="52" t="str">
        <f>IFERROR(__xludf.DUMMYFUNCTION("""COMPUTED_VALUE"""),"")</f>
        <v/>
      </c>
      <c r="H48" s="53" t="str">
        <f>IFERROR(__xludf.DUMMYFUNCTION("""COMPUTED_VALUE"""),"")</f>
        <v/>
      </c>
      <c r="I48" s="53" t="str">
        <f>IFERROR(__xludf.DUMMYFUNCTION("""COMPUTED_VALUE"""),"")</f>
        <v/>
      </c>
      <c r="J48" s="53" t="str">
        <f>IFERROR(__xludf.DUMMYFUNCTION("""COMPUTED_VALUE"""),"")</f>
        <v/>
      </c>
      <c r="K48" s="54" t="str">
        <f>IFERROR(__xludf.DUMMYFUNCTION("""COMPUTED_VALUE"""),"")</f>
        <v/>
      </c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6"/>
      <c r="W48" s="56"/>
      <c r="X48" s="56"/>
      <c r="Y48" s="56"/>
      <c r="Z48" s="57"/>
      <c r="AA48" s="58"/>
      <c r="AB48" s="59"/>
    </row>
    <row r="49" ht="13.5" customHeight="1">
      <c r="A49" s="60" t="str">
        <f>IFERROR(__xludf.DUMMYFUNCTION("""COMPUTED_VALUE"""),"")</f>
        <v/>
      </c>
      <c r="B49" s="64" t="str">
        <f>IFERROR(__xludf.DUMMYFUNCTION("""COMPUTED_VALUE"""),"")</f>
        <v/>
      </c>
      <c r="C49" s="63" t="str">
        <f>IFERROR(__xludf.DUMMYFUNCTION("""COMPUTED_VALUE"""),"")</f>
        <v/>
      </c>
      <c r="D49" s="63" t="str">
        <f>IFERROR(__xludf.DUMMYFUNCTION("""COMPUTED_VALUE"""),"")</f>
        <v/>
      </c>
      <c r="E49" s="51" t="str">
        <f>IFERROR(__xludf.DUMMYFUNCTION("""COMPUTED_VALUE"""),"")</f>
        <v/>
      </c>
      <c r="F49" s="82" t="str">
        <f>IFERROR(__xludf.DUMMYFUNCTION("""COMPUTED_VALUE"""),"")</f>
        <v/>
      </c>
      <c r="G49" s="52" t="str">
        <f>IFERROR(__xludf.DUMMYFUNCTION("""COMPUTED_VALUE"""),"")</f>
        <v/>
      </c>
      <c r="H49" s="53" t="str">
        <f>IFERROR(__xludf.DUMMYFUNCTION("""COMPUTED_VALUE"""),"")</f>
        <v/>
      </c>
      <c r="I49" s="53" t="str">
        <f>IFERROR(__xludf.DUMMYFUNCTION("""COMPUTED_VALUE"""),"")</f>
        <v/>
      </c>
      <c r="J49" s="53" t="str">
        <f>IFERROR(__xludf.DUMMYFUNCTION("""COMPUTED_VALUE"""),"")</f>
        <v/>
      </c>
      <c r="K49" s="54" t="str">
        <f>IFERROR(__xludf.DUMMYFUNCTION("""COMPUTED_VALUE"""),"")</f>
        <v/>
      </c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6"/>
      <c r="W49" s="56"/>
      <c r="X49" s="56"/>
      <c r="Y49" s="56"/>
      <c r="Z49" s="57"/>
      <c r="AA49" s="58"/>
      <c r="AB49" s="59"/>
    </row>
    <row r="50" ht="13.5" customHeight="1">
      <c r="A50" s="60" t="str">
        <f>IFERROR(__xludf.DUMMYFUNCTION("""COMPUTED_VALUE"""),"")</f>
        <v/>
      </c>
      <c r="B50" s="64" t="str">
        <f>IFERROR(__xludf.DUMMYFUNCTION("""COMPUTED_VALUE"""),"")</f>
        <v/>
      </c>
      <c r="C50" s="63" t="str">
        <f>IFERROR(__xludf.DUMMYFUNCTION("""COMPUTED_VALUE"""),"")</f>
        <v/>
      </c>
      <c r="D50" s="63" t="str">
        <f>IFERROR(__xludf.DUMMYFUNCTION("""COMPUTED_VALUE"""),"")</f>
        <v/>
      </c>
      <c r="E50" s="51" t="str">
        <f>IFERROR(__xludf.DUMMYFUNCTION("""COMPUTED_VALUE"""),"")</f>
        <v/>
      </c>
      <c r="F50" s="82" t="str">
        <f>IFERROR(__xludf.DUMMYFUNCTION("""COMPUTED_VALUE"""),"")</f>
        <v/>
      </c>
      <c r="G50" s="52" t="str">
        <f>IFERROR(__xludf.DUMMYFUNCTION("""COMPUTED_VALUE"""),"")</f>
        <v/>
      </c>
      <c r="H50" s="53" t="str">
        <f>IFERROR(__xludf.DUMMYFUNCTION("""COMPUTED_VALUE"""),"")</f>
        <v/>
      </c>
      <c r="I50" s="53" t="str">
        <f>IFERROR(__xludf.DUMMYFUNCTION("""COMPUTED_VALUE"""),"")</f>
        <v/>
      </c>
      <c r="J50" s="53" t="str">
        <f>IFERROR(__xludf.DUMMYFUNCTION("""COMPUTED_VALUE"""),"")</f>
        <v/>
      </c>
      <c r="K50" s="54" t="str">
        <f>IFERROR(__xludf.DUMMYFUNCTION("""COMPUTED_VALUE"""),"")</f>
        <v/>
      </c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6"/>
      <c r="W50" s="56"/>
      <c r="X50" s="56"/>
      <c r="Y50" s="56"/>
      <c r="Z50" s="57"/>
      <c r="AA50" s="58"/>
      <c r="AB50" s="59"/>
    </row>
    <row r="51" ht="13.5" customHeight="1">
      <c r="A51" s="60" t="str">
        <f>IFERROR(__xludf.DUMMYFUNCTION("""COMPUTED_VALUE"""),"")</f>
        <v/>
      </c>
      <c r="B51" s="64" t="str">
        <f>IFERROR(__xludf.DUMMYFUNCTION("""COMPUTED_VALUE"""),"")</f>
        <v/>
      </c>
      <c r="C51" s="63" t="str">
        <f>IFERROR(__xludf.DUMMYFUNCTION("""COMPUTED_VALUE"""),"")</f>
        <v/>
      </c>
      <c r="D51" s="63" t="str">
        <f>IFERROR(__xludf.DUMMYFUNCTION("""COMPUTED_VALUE"""),"")</f>
        <v/>
      </c>
      <c r="E51" s="51" t="str">
        <f>IFERROR(__xludf.DUMMYFUNCTION("""COMPUTED_VALUE"""),"")</f>
        <v/>
      </c>
      <c r="F51" s="82" t="str">
        <f>IFERROR(__xludf.DUMMYFUNCTION("""COMPUTED_VALUE"""),"")</f>
        <v/>
      </c>
      <c r="G51" s="52" t="str">
        <f>IFERROR(__xludf.DUMMYFUNCTION("""COMPUTED_VALUE"""),"")</f>
        <v/>
      </c>
      <c r="H51" s="53" t="str">
        <f>IFERROR(__xludf.DUMMYFUNCTION("""COMPUTED_VALUE"""),"")</f>
        <v/>
      </c>
      <c r="I51" s="53" t="str">
        <f>IFERROR(__xludf.DUMMYFUNCTION("""COMPUTED_VALUE"""),"")</f>
        <v/>
      </c>
      <c r="J51" s="53" t="str">
        <f>IFERROR(__xludf.DUMMYFUNCTION("""COMPUTED_VALUE"""),"")</f>
        <v/>
      </c>
      <c r="K51" s="54" t="str">
        <f>IFERROR(__xludf.DUMMYFUNCTION("""COMPUTED_VALUE"""),"")</f>
        <v/>
      </c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6"/>
      <c r="W51" s="56"/>
      <c r="X51" s="56"/>
      <c r="Y51" s="56"/>
      <c r="Z51" s="57"/>
      <c r="AA51" s="58"/>
      <c r="AB51" s="59"/>
    </row>
    <row r="52" ht="13.5" customHeight="1">
      <c r="A52" s="60" t="str">
        <f>IFERROR(__xludf.DUMMYFUNCTION("""COMPUTED_VALUE"""),"")</f>
        <v/>
      </c>
      <c r="B52" s="64" t="str">
        <f>IFERROR(__xludf.DUMMYFUNCTION("""COMPUTED_VALUE"""),"")</f>
        <v/>
      </c>
      <c r="C52" s="63" t="str">
        <f>IFERROR(__xludf.DUMMYFUNCTION("""COMPUTED_VALUE"""),"")</f>
        <v/>
      </c>
      <c r="D52" s="63" t="str">
        <f>IFERROR(__xludf.DUMMYFUNCTION("""COMPUTED_VALUE"""),"")</f>
        <v/>
      </c>
      <c r="E52" s="51" t="str">
        <f>IFERROR(__xludf.DUMMYFUNCTION("""COMPUTED_VALUE"""),"")</f>
        <v/>
      </c>
      <c r="F52" s="82" t="str">
        <f>IFERROR(__xludf.DUMMYFUNCTION("""COMPUTED_VALUE"""),"")</f>
        <v/>
      </c>
      <c r="G52" s="52" t="str">
        <f>IFERROR(__xludf.DUMMYFUNCTION("""COMPUTED_VALUE"""),"")</f>
        <v/>
      </c>
      <c r="H52" s="53" t="str">
        <f>IFERROR(__xludf.DUMMYFUNCTION("""COMPUTED_VALUE"""),"")</f>
        <v/>
      </c>
      <c r="I52" s="53" t="str">
        <f>IFERROR(__xludf.DUMMYFUNCTION("""COMPUTED_VALUE"""),"")</f>
        <v/>
      </c>
      <c r="J52" s="53" t="str">
        <f>IFERROR(__xludf.DUMMYFUNCTION("""COMPUTED_VALUE"""),"")</f>
        <v/>
      </c>
      <c r="K52" s="54" t="str">
        <f>IFERROR(__xludf.DUMMYFUNCTION("""COMPUTED_VALUE"""),"")</f>
        <v/>
      </c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6"/>
      <c r="W52" s="56"/>
      <c r="X52" s="56"/>
      <c r="Y52" s="56"/>
      <c r="Z52" s="57"/>
      <c r="AA52" s="58"/>
      <c r="AB52" s="59"/>
    </row>
    <row r="53" ht="13.5" customHeight="1">
      <c r="A53" s="60" t="str">
        <f>IFERROR(__xludf.DUMMYFUNCTION("""COMPUTED_VALUE"""),"")</f>
        <v/>
      </c>
      <c r="B53" s="64" t="str">
        <f>IFERROR(__xludf.DUMMYFUNCTION("""COMPUTED_VALUE"""),"")</f>
        <v/>
      </c>
      <c r="C53" s="63" t="str">
        <f>IFERROR(__xludf.DUMMYFUNCTION("""COMPUTED_VALUE"""),"")</f>
        <v/>
      </c>
      <c r="D53" s="63" t="str">
        <f>IFERROR(__xludf.DUMMYFUNCTION("""COMPUTED_VALUE"""),"")</f>
        <v/>
      </c>
      <c r="E53" s="51" t="str">
        <f>IFERROR(__xludf.DUMMYFUNCTION("""COMPUTED_VALUE"""),"")</f>
        <v/>
      </c>
      <c r="F53" s="82" t="str">
        <f>IFERROR(__xludf.DUMMYFUNCTION("""COMPUTED_VALUE"""),"")</f>
        <v/>
      </c>
      <c r="G53" s="52" t="str">
        <f>IFERROR(__xludf.DUMMYFUNCTION("""COMPUTED_VALUE"""),"")</f>
        <v/>
      </c>
      <c r="H53" s="53" t="str">
        <f>IFERROR(__xludf.DUMMYFUNCTION("""COMPUTED_VALUE"""),"")</f>
        <v/>
      </c>
      <c r="I53" s="53" t="str">
        <f>IFERROR(__xludf.DUMMYFUNCTION("""COMPUTED_VALUE"""),"")</f>
        <v/>
      </c>
      <c r="J53" s="53" t="str">
        <f>IFERROR(__xludf.DUMMYFUNCTION("""COMPUTED_VALUE"""),"")</f>
        <v/>
      </c>
      <c r="K53" s="54" t="str">
        <f>IFERROR(__xludf.DUMMYFUNCTION("""COMPUTED_VALUE"""),"")</f>
        <v/>
      </c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6"/>
      <c r="W53" s="56"/>
      <c r="X53" s="56"/>
      <c r="Y53" s="56"/>
      <c r="Z53" s="57"/>
      <c r="AA53" s="58"/>
      <c r="AB53" s="59"/>
    </row>
    <row r="54" ht="13.5" customHeight="1">
      <c r="A54" s="60" t="str">
        <f>IFERROR(__xludf.DUMMYFUNCTION("""COMPUTED_VALUE"""),"")</f>
        <v/>
      </c>
      <c r="B54" s="64" t="str">
        <f>IFERROR(__xludf.DUMMYFUNCTION("""COMPUTED_VALUE"""),"")</f>
        <v/>
      </c>
      <c r="C54" s="63" t="str">
        <f>IFERROR(__xludf.DUMMYFUNCTION("""COMPUTED_VALUE"""),"")</f>
        <v/>
      </c>
      <c r="D54" s="63" t="str">
        <f>IFERROR(__xludf.DUMMYFUNCTION("""COMPUTED_VALUE"""),"")</f>
        <v/>
      </c>
      <c r="E54" s="51" t="str">
        <f>IFERROR(__xludf.DUMMYFUNCTION("""COMPUTED_VALUE"""),"")</f>
        <v/>
      </c>
      <c r="F54" s="82" t="str">
        <f>IFERROR(__xludf.DUMMYFUNCTION("""COMPUTED_VALUE"""),"")</f>
        <v/>
      </c>
      <c r="G54" s="52" t="str">
        <f>IFERROR(__xludf.DUMMYFUNCTION("""COMPUTED_VALUE"""),"")</f>
        <v/>
      </c>
      <c r="H54" s="53" t="str">
        <f>IFERROR(__xludf.DUMMYFUNCTION("""COMPUTED_VALUE"""),"")</f>
        <v/>
      </c>
      <c r="I54" s="53" t="str">
        <f>IFERROR(__xludf.DUMMYFUNCTION("""COMPUTED_VALUE"""),"")</f>
        <v/>
      </c>
      <c r="J54" s="53" t="str">
        <f>IFERROR(__xludf.DUMMYFUNCTION("""COMPUTED_VALUE"""),"")</f>
        <v/>
      </c>
      <c r="K54" s="54" t="str">
        <f>IFERROR(__xludf.DUMMYFUNCTION("""COMPUTED_VALUE"""),"")</f>
        <v/>
      </c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6"/>
      <c r="W54" s="56"/>
      <c r="X54" s="56"/>
      <c r="Y54" s="56"/>
      <c r="Z54" s="57"/>
      <c r="AA54" s="58"/>
      <c r="AB54" s="59"/>
    </row>
    <row r="55" ht="13.5" customHeight="1">
      <c r="A55" s="60" t="str">
        <f>IFERROR(__xludf.DUMMYFUNCTION("""COMPUTED_VALUE"""),"")</f>
        <v/>
      </c>
      <c r="B55" s="64" t="str">
        <f>IFERROR(__xludf.DUMMYFUNCTION("""COMPUTED_VALUE"""),"")</f>
        <v/>
      </c>
      <c r="C55" s="63" t="str">
        <f>IFERROR(__xludf.DUMMYFUNCTION("""COMPUTED_VALUE"""),"")</f>
        <v/>
      </c>
      <c r="D55" s="63" t="str">
        <f>IFERROR(__xludf.DUMMYFUNCTION("""COMPUTED_VALUE"""),"")</f>
        <v/>
      </c>
      <c r="E55" s="51" t="str">
        <f>IFERROR(__xludf.DUMMYFUNCTION("""COMPUTED_VALUE"""),"")</f>
        <v/>
      </c>
      <c r="F55" s="82" t="str">
        <f>IFERROR(__xludf.DUMMYFUNCTION("""COMPUTED_VALUE"""),"")</f>
        <v/>
      </c>
      <c r="G55" s="52" t="str">
        <f>IFERROR(__xludf.DUMMYFUNCTION("""COMPUTED_VALUE"""),"")</f>
        <v/>
      </c>
      <c r="H55" s="53" t="str">
        <f>IFERROR(__xludf.DUMMYFUNCTION("""COMPUTED_VALUE"""),"")</f>
        <v/>
      </c>
      <c r="I55" s="53" t="str">
        <f>IFERROR(__xludf.DUMMYFUNCTION("""COMPUTED_VALUE"""),"")</f>
        <v/>
      </c>
      <c r="J55" s="53" t="str">
        <f>IFERROR(__xludf.DUMMYFUNCTION("""COMPUTED_VALUE"""),"")</f>
        <v/>
      </c>
      <c r="K55" s="54" t="str">
        <f>IFERROR(__xludf.DUMMYFUNCTION("""COMPUTED_VALUE"""),"")</f>
        <v/>
      </c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6"/>
      <c r="W55" s="56"/>
      <c r="X55" s="56"/>
      <c r="Y55" s="56"/>
      <c r="Z55" s="57"/>
      <c r="AA55" s="58"/>
      <c r="AB55" s="59"/>
    </row>
    <row r="56" ht="13.5" customHeight="1">
      <c r="A56" s="60" t="str">
        <f>IFERROR(__xludf.DUMMYFUNCTION("""COMPUTED_VALUE"""),"")</f>
        <v/>
      </c>
      <c r="B56" s="64" t="str">
        <f>IFERROR(__xludf.DUMMYFUNCTION("""COMPUTED_VALUE"""),"")</f>
        <v/>
      </c>
      <c r="C56" s="63" t="str">
        <f>IFERROR(__xludf.DUMMYFUNCTION("""COMPUTED_VALUE"""),"")</f>
        <v/>
      </c>
      <c r="D56" s="63" t="str">
        <f>IFERROR(__xludf.DUMMYFUNCTION("""COMPUTED_VALUE"""),"")</f>
        <v/>
      </c>
      <c r="E56" s="51" t="str">
        <f>IFERROR(__xludf.DUMMYFUNCTION("""COMPUTED_VALUE"""),"")</f>
        <v/>
      </c>
      <c r="F56" s="82" t="str">
        <f>IFERROR(__xludf.DUMMYFUNCTION("""COMPUTED_VALUE"""),"")</f>
        <v/>
      </c>
      <c r="G56" s="52" t="str">
        <f>IFERROR(__xludf.DUMMYFUNCTION("""COMPUTED_VALUE"""),"")</f>
        <v/>
      </c>
      <c r="H56" s="53" t="str">
        <f>IFERROR(__xludf.DUMMYFUNCTION("""COMPUTED_VALUE"""),"")</f>
        <v/>
      </c>
      <c r="I56" s="53" t="str">
        <f>IFERROR(__xludf.DUMMYFUNCTION("""COMPUTED_VALUE"""),"")</f>
        <v/>
      </c>
      <c r="J56" s="53" t="str">
        <f>IFERROR(__xludf.DUMMYFUNCTION("""COMPUTED_VALUE"""),"")</f>
        <v/>
      </c>
      <c r="K56" s="54" t="str">
        <f>IFERROR(__xludf.DUMMYFUNCTION("""COMPUTED_VALUE"""),"")</f>
        <v/>
      </c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6"/>
      <c r="W56" s="56"/>
      <c r="X56" s="56"/>
      <c r="Y56" s="56"/>
      <c r="Z56" s="57"/>
      <c r="AA56" s="58"/>
      <c r="AB56" s="59"/>
    </row>
    <row r="57" ht="13.5" customHeight="1">
      <c r="A57" s="60" t="str">
        <f>IFERROR(__xludf.DUMMYFUNCTION("""COMPUTED_VALUE"""),"")</f>
        <v/>
      </c>
      <c r="B57" s="64" t="str">
        <f>IFERROR(__xludf.DUMMYFUNCTION("""COMPUTED_VALUE"""),"")</f>
        <v/>
      </c>
      <c r="C57" s="63" t="str">
        <f>IFERROR(__xludf.DUMMYFUNCTION("""COMPUTED_VALUE"""),"")</f>
        <v/>
      </c>
      <c r="D57" s="63" t="str">
        <f>IFERROR(__xludf.DUMMYFUNCTION("""COMPUTED_VALUE"""),"")</f>
        <v/>
      </c>
      <c r="E57" s="51" t="str">
        <f>IFERROR(__xludf.DUMMYFUNCTION("""COMPUTED_VALUE"""),"")</f>
        <v/>
      </c>
      <c r="F57" s="82" t="str">
        <f>IFERROR(__xludf.DUMMYFUNCTION("""COMPUTED_VALUE"""),"")</f>
        <v/>
      </c>
      <c r="G57" s="52" t="str">
        <f>IFERROR(__xludf.DUMMYFUNCTION("""COMPUTED_VALUE"""),"")</f>
        <v/>
      </c>
      <c r="H57" s="53" t="str">
        <f>IFERROR(__xludf.DUMMYFUNCTION("""COMPUTED_VALUE"""),"")</f>
        <v/>
      </c>
      <c r="I57" s="53" t="str">
        <f>IFERROR(__xludf.DUMMYFUNCTION("""COMPUTED_VALUE"""),"")</f>
        <v/>
      </c>
      <c r="J57" s="53" t="str">
        <f>IFERROR(__xludf.DUMMYFUNCTION("""COMPUTED_VALUE"""),"")</f>
        <v/>
      </c>
      <c r="K57" s="54" t="str">
        <f>IFERROR(__xludf.DUMMYFUNCTION("""COMPUTED_VALUE"""),"")</f>
        <v/>
      </c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6"/>
      <c r="W57" s="56"/>
      <c r="X57" s="56"/>
      <c r="Y57" s="56"/>
      <c r="Z57" s="57"/>
      <c r="AA57" s="58"/>
      <c r="AB57" s="59"/>
    </row>
    <row r="58" ht="13.5" customHeight="1">
      <c r="A58" s="60" t="str">
        <f>IFERROR(__xludf.DUMMYFUNCTION("""COMPUTED_VALUE"""),"")</f>
        <v/>
      </c>
      <c r="B58" s="64" t="str">
        <f>IFERROR(__xludf.DUMMYFUNCTION("""COMPUTED_VALUE"""),"")</f>
        <v/>
      </c>
      <c r="C58" s="63" t="str">
        <f>IFERROR(__xludf.DUMMYFUNCTION("""COMPUTED_VALUE"""),"")</f>
        <v/>
      </c>
      <c r="D58" s="63" t="str">
        <f>IFERROR(__xludf.DUMMYFUNCTION("""COMPUTED_VALUE"""),"")</f>
        <v/>
      </c>
      <c r="E58" s="51" t="str">
        <f>IFERROR(__xludf.DUMMYFUNCTION("""COMPUTED_VALUE"""),"")</f>
        <v/>
      </c>
      <c r="F58" s="82" t="str">
        <f>IFERROR(__xludf.DUMMYFUNCTION("""COMPUTED_VALUE"""),"")</f>
        <v/>
      </c>
      <c r="G58" s="52" t="str">
        <f>IFERROR(__xludf.DUMMYFUNCTION("""COMPUTED_VALUE"""),"")</f>
        <v/>
      </c>
      <c r="H58" s="53" t="str">
        <f>IFERROR(__xludf.DUMMYFUNCTION("""COMPUTED_VALUE"""),"")</f>
        <v/>
      </c>
      <c r="I58" s="53" t="str">
        <f>IFERROR(__xludf.DUMMYFUNCTION("""COMPUTED_VALUE"""),"")</f>
        <v/>
      </c>
      <c r="J58" s="53" t="str">
        <f>IFERROR(__xludf.DUMMYFUNCTION("""COMPUTED_VALUE"""),"")</f>
        <v/>
      </c>
      <c r="K58" s="54" t="str">
        <f>IFERROR(__xludf.DUMMYFUNCTION("""COMPUTED_VALUE"""),"")</f>
        <v/>
      </c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6"/>
      <c r="W58" s="56"/>
      <c r="X58" s="56"/>
      <c r="Y58" s="56"/>
      <c r="Z58" s="57"/>
      <c r="AA58" s="58"/>
      <c r="AB58" s="59"/>
    </row>
    <row r="59" ht="13.5" customHeight="1">
      <c r="A59" s="60" t="str">
        <f>IFERROR(__xludf.DUMMYFUNCTION("""COMPUTED_VALUE"""),"")</f>
        <v/>
      </c>
      <c r="B59" s="64" t="str">
        <f>IFERROR(__xludf.DUMMYFUNCTION("""COMPUTED_VALUE"""),"")</f>
        <v/>
      </c>
      <c r="C59" s="63" t="str">
        <f>IFERROR(__xludf.DUMMYFUNCTION("""COMPUTED_VALUE"""),"")</f>
        <v/>
      </c>
      <c r="D59" s="63" t="str">
        <f>IFERROR(__xludf.DUMMYFUNCTION("""COMPUTED_VALUE"""),"")</f>
        <v/>
      </c>
      <c r="E59" s="51" t="str">
        <f>IFERROR(__xludf.DUMMYFUNCTION("""COMPUTED_VALUE"""),"")</f>
        <v/>
      </c>
      <c r="F59" s="82" t="str">
        <f>IFERROR(__xludf.DUMMYFUNCTION("""COMPUTED_VALUE"""),"")</f>
        <v/>
      </c>
      <c r="G59" s="52" t="str">
        <f>IFERROR(__xludf.DUMMYFUNCTION("""COMPUTED_VALUE"""),"")</f>
        <v/>
      </c>
      <c r="H59" s="53" t="str">
        <f>IFERROR(__xludf.DUMMYFUNCTION("""COMPUTED_VALUE"""),"")</f>
        <v/>
      </c>
      <c r="I59" s="53" t="str">
        <f>IFERROR(__xludf.DUMMYFUNCTION("""COMPUTED_VALUE"""),"")</f>
        <v/>
      </c>
      <c r="J59" s="53" t="str">
        <f>IFERROR(__xludf.DUMMYFUNCTION("""COMPUTED_VALUE"""),"")</f>
        <v/>
      </c>
      <c r="K59" s="54" t="str">
        <f>IFERROR(__xludf.DUMMYFUNCTION("""COMPUTED_VALUE"""),"")</f>
        <v/>
      </c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6"/>
      <c r="W59" s="56"/>
      <c r="X59" s="56"/>
      <c r="Y59" s="56"/>
      <c r="Z59" s="57"/>
      <c r="AA59" s="58"/>
      <c r="AB59" s="59"/>
    </row>
    <row r="60" ht="13.5" customHeight="1">
      <c r="A60" s="60" t="str">
        <f>IFERROR(__xludf.DUMMYFUNCTION("""COMPUTED_VALUE"""),"")</f>
        <v/>
      </c>
      <c r="B60" s="64" t="str">
        <f>IFERROR(__xludf.DUMMYFUNCTION("""COMPUTED_VALUE"""),"")</f>
        <v/>
      </c>
      <c r="C60" s="63" t="str">
        <f>IFERROR(__xludf.DUMMYFUNCTION("""COMPUTED_VALUE"""),"")</f>
        <v/>
      </c>
      <c r="D60" s="63" t="str">
        <f>IFERROR(__xludf.DUMMYFUNCTION("""COMPUTED_VALUE"""),"")</f>
        <v/>
      </c>
      <c r="E60" s="51" t="str">
        <f>IFERROR(__xludf.DUMMYFUNCTION("""COMPUTED_VALUE"""),"")</f>
        <v/>
      </c>
      <c r="F60" s="82" t="str">
        <f>IFERROR(__xludf.DUMMYFUNCTION("""COMPUTED_VALUE"""),"")</f>
        <v/>
      </c>
      <c r="G60" s="52" t="str">
        <f>IFERROR(__xludf.DUMMYFUNCTION("""COMPUTED_VALUE"""),"")</f>
        <v/>
      </c>
      <c r="H60" s="53" t="str">
        <f>IFERROR(__xludf.DUMMYFUNCTION("""COMPUTED_VALUE"""),"")</f>
        <v/>
      </c>
      <c r="I60" s="53" t="str">
        <f>IFERROR(__xludf.DUMMYFUNCTION("""COMPUTED_VALUE"""),"")</f>
        <v/>
      </c>
      <c r="J60" s="53" t="str">
        <f>IFERROR(__xludf.DUMMYFUNCTION("""COMPUTED_VALUE"""),"")</f>
        <v/>
      </c>
      <c r="K60" s="54" t="str">
        <f>IFERROR(__xludf.DUMMYFUNCTION("""COMPUTED_VALUE"""),"")</f>
        <v/>
      </c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6"/>
      <c r="W60" s="56"/>
      <c r="X60" s="56"/>
      <c r="Y60" s="56"/>
      <c r="Z60" s="57"/>
      <c r="AA60" s="58"/>
      <c r="AB60" s="59"/>
    </row>
    <row r="61" ht="13.5" customHeight="1">
      <c r="A61" s="60" t="str">
        <f>IFERROR(__xludf.DUMMYFUNCTION("""COMPUTED_VALUE"""),"")</f>
        <v/>
      </c>
      <c r="B61" s="64" t="str">
        <f>IFERROR(__xludf.DUMMYFUNCTION("""COMPUTED_VALUE"""),"")</f>
        <v/>
      </c>
      <c r="C61" s="63" t="str">
        <f>IFERROR(__xludf.DUMMYFUNCTION("""COMPUTED_VALUE"""),"")</f>
        <v/>
      </c>
      <c r="D61" s="63" t="str">
        <f>IFERROR(__xludf.DUMMYFUNCTION("""COMPUTED_VALUE"""),"")</f>
        <v/>
      </c>
      <c r="E61" s="51" t="str">
        <f>IFERROR(__xludf.DUMMYFUNCTION("""COMPUTED_VALUE"""),"")</f>
        <v/>
      </c>
      <c r="F61" s="82" t="str">
        <f>IFERROR(__xludf.DUMMYFUNCTION("""COMPUTED_VALUE"""),"")</f>
        <v/>
      </c>
      <c r="G61" s="52" t="str">
        <f>IFERROR(__xludf.DUMMYFUNCTION("""COMPUTED_VALUE"""),"")</f>
        <v/>
      </c>
      <c r="H61" s="53" t="str">
        <f>IFERROR(__xludf.DUMMYFUNCTION("""COMPUTED_VALUE"""),"")</f>
        <v/>
      </c>
      <c r="I61" s="53" t="str">
        <f>IFERROR(__xludf.DUMMYFUNCTION("""COMPUTED_VALUE"""),"")</f>
        <v/>
      </c>
      <c r="J61" s="53" t="str">
        <f>IFERROR(__xludf.DUMMYFUNCTION("""COMPUTED_VALUE"""),"")</f>
        <v/>
      </c>
      <c r="K61" s="54" t="str">
        <f>IFERROR(__xludf.DUMMYFUNCTION("""COMPUTED_VALUE"""),"")</f>
        <v/>
      </c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6"/>
      <c r="W61" s="56"/>
      <c r="X61" s="56"/>
      <c r="Y61" s="56"/>
      <c r="Z61" s="57"/>
      <c r="AA61" s="58"/>
      <c r="AB61" s="59"/>
    </row>
    <row r="62" ht="13.5" customHeight="1">
      <c r="A62" s="60" t="str">
        <f>IFERROR(__xludf.DUMMYFUNCTION("""COMPUTED_VALUE"""),"")</f>
        <v/>
      </c>
      <c r="B62" s="64" t="str">
        <f>IFERROR(__xludf.DUMMYFUNCTION("""COMPUTED_VALUE"""),"")</f>
        <v/>
      </c>
      <c r="C62" s="63" t="str">
        <f>IFERROR(__xludf.DUMMYFUNCTION("""COMPUTED_VALUE"""),"")</f>
        <v/>
      </c>
      <c r="D62" s="63" t="str">
        <f>IFERROR(__xludf.DUMMYFUNCTION("""COMPUTED_VALUE"""),"")</f>
        <v/>
      </c>
      <c r="E62" s="51" t="str">
        <f>IFERROR(__xludf.DUMMYFUNCTION("""COMPUTED_VALUE"""),"")</f>
        <v/>
      </c>
      <c r="F62" s="82" t="str">
        <f>IFERROR(__xludf.DUMMYFUNCTION("""COMPUTED_VALUE"""),"")</f>
        <v/>
      </c>
      <c r="G62" s="52" t="str">
        <f>IFERROR(__xludf.DUMMYFUNCTION("""COMPUTED_VALUE"""),"")</f>
        <v/>
      </c>
      <c r="H62" s="53" t="str">
        <f>IFERROR(__xludf.DUMMYFUNCTION("""COMPUTED_VALUE"""),"")</f>
        <v/>
      </c>
      <c r="I62" s="53" t="str">
        <f>IFERROR(__xludf.DUMMYFUNCTION("""COMPUTED_VALUE"""),"")</f>
        <v/>
      </c>
      <c r="J62" s="53" t="str">
        <f>IFERROR(__xludf.DUMMYFUNCTION("""COMPUTED_VALUE"""),"")</f>
        <v/>
      </c>
      <c r="K62" s="54" t="str">
        <f>IFERROR(__xludf.DUMMYFUNCTION("""COMPUTED_VALUE"""),"")</f>
        <v/>
      </c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6"/>
      <c r="W62" s="56"/>
      <c r="X62" s="56"/>
      <c r="Y62" s="56"/>
      <c r="Z62" s="57"/>
      <c r="AA62" s="58"/>
      <c r="AB62" s="59"/>
    </row>
    <row r="63" ht="13.5" customHeight="1">
      <c r="A63" s="60" t="str">
        <f>IFERROR(__xludf.DUMMYFUNCTION("""COMPUTED_VALUE"""),"")</f>
        <v/>
      </c>
      <c r="B63" s="64" t="str">
        <f>IFERROR(__xludf.DUMMYFUNCTION("""COMPUTED_VALUE"""),"")</f>
        <v/>
      </c>
      <c r="C63" s="63" t="str">
        <f>IFERROR(__xludf.DUMMYFUNCTION("""COMPUTED_VALUE"""),"")</f>
        <v/>
      </c>
      <c r="D63" s="63" t="str">
        <f>IFERROR(__xludf.DUMMYFUNCTION("""COMPUTED_VALUE"""),"")</f>
        <v/>
      </c>
      <c r="E63" s="51" t="str">
        <f>IFERROR(__xludf.DUMMYFUNCTION("""COMPUTED_VALUE"""),"")</f>
        <v/>
      </c>
      <c r="F63" s="82" t="str">
        <f>IFERROR(__xludf.DUMMYFUNCTION("""COMPUTED_VALUE"""),"")</f>
        <v/>
      </c>
      <c r="G63" s="52" t="str">
        <f>IFERROR(__xludf.DUMMYFUNCTION("""COMPUTED_VALUE"""),"")</f>
        <v/>
      </c>
      <c r="H63" s="53" t="str">
        <f>IFERROR(__xludf.DUMMYFUNCTION("""COMPUTED_VALUE"""),"")</f>
        <v/>
      </c>
      <c r="I63" s="53" t="str">
        <f>IFERROR(__xludf.DUMMYFUNCTION("""COMPUTED_VALUE"""),"")</f>
        <v/>
      </c>
      <c r="J63" s="53" t="str">
        <f>IFERROR(__xludf.DUMMYFUNCTION("""COMPUTED_VALUE"""),"")</f>
        <v/>
      </c>
      <c r="K63" s="54" t="str">
        <f>IFERROR(__xludf.DUMMYFUNCTION("""COMPUTED_VALUE"""),"")</f>
        <v/>
      </c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6"/>
      <c r="W63" s="56"/>
      <c r="X63" s="56"/>
      <c r="Y63" s="56"/>
      <c r="Z63" s="57"/>
      <c r="AA63" s="58"/>
      <c r="AB63" s="59"/>
    </row>
    <row r="64" ht="13.5" customHeight="1">
      <c r="A64" s="60" t="str">
        <f>IFERROR(__xludf.DUMMYFUNCTION("""COMPUTED_VALUE"""),"")</f>
        <v/>
      </c>
      <c r="B64" s="64" t="str">
        <f>IFERROR(__xludf.DUMMYFUNCTION("""COMPUTED_VALUE"""),"")</f>
        <v/>
      </c>
      <c r="C64" s="63" t="str">
        <f>IFERROR(__xludf.DUMMYFUNCTION("""COMPUTED_VALUE"""),"")</f>
        <v/>
      </c>
      <c r="D64" s="63" t="str">
        <f>IFERROR(__xludf.DUMMYFUNCTION("""COMPUTED_VALUE"""),"")</f>
        <v/>
      </c>
      <c r="E64" s="51" t="str">
        <f>IFERROR(__xludf.DUMMYFUNCTION("""COMPUTED_VALUE"""),"")</f>
        <v/>
      </c>
      <c r="F64" s="82" t="str">
        <f>IFERROR(__xludf.DUMMYFUNCTION("""COMPUTED_VALUE"""),"")</f>
        <v/>
      </c>
      <c r="G64" s="52" t="str">
        <f>IFERROR(__xludf.DUMMYFUNCTION("""COMPUTED_VALUE"""),"")</f>
        <v/>
      </c>
      <c r="H64" s="53" t="str">
        <f>IFERROR(__xludf.DUMMYFUNCTION("""COMPUTED_VALUE"""),"")</f>
        <v/>
      </c>
      <c r="I64" s="53" t="str">
        <f>IFERROR(__xludf.DUMMYFUNCTION("""COMPUTED_VALUE"""),"")</f>
        <v/>
      </c>
      <c r="J64" s="53" t="str">
        <f>IFERROR(__xludf.DUMMYFUNCTION("""COMPUTED_VALUE"""),"")</f>
        <v/>
      </c>
      <c r="K64" s="54" t="str">
        <f>IFERROR(__xludf.DUMMYFUNCTION("""COMPUTED_VALUE"""),"")</f>
        <v/>
      </c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6"/>
      <c r="W64" s="56"/>
      <c r="X64" s="56"/>
      <c r="Y64" s="56"/>
      <c r="Z64" s="57"/>
      <c r="AA64" s="58"/>
      <c r="AB64" s="59"/>
    </row>
    <row r="65" ht="13.5" customHeight="1">
      <c r="A65" s="60" t="str">
        <f>IFERROR(__xludf.DUMMYFUNCTION("""COMPUTED_VALUE"""),"")</f>
        <v/>
      </c>
      <c r="B65" s="64" t="str">
        <f>IFERROR(__xludf.DUMMYFUNCTION("""COMPUTED_VALUE"""),"")</f>
        <v/>
      </c>
      <c r="C65" s="63" t="str">
        <f>IFERROR(__xludf.DUMMYFUNCTION("""COMPUTED_VALUE"""),"")</f>
        <v/>
      </c>
      <c r="D65" s="63" t="str">
        <f>IFERROR(__xludf.DUMMYFUNCTION("""COMPUTED_VALUE"""),"")</f>
        <v/>
      </c>
      <c r="E65" s="51" t="str">
        <f>IFERROR(__xludf.DUMMYFUNCTION("""COMPUTED_VALUE"""),"")</f>
        <v/>
      </c>
      <c r="F65" s="82" t="str">
        <f>IFERROR(__xludf.DUMMYFUNCTION("""COMPUTED_VALUE"""),"")</f>
        <v/>
      </c>
      <c r="G65" s="52" t="str">
        <f>IFERROR(__xludf.DUMMYFUNCTION("""COMPUTED_VALUE"""),"")</f>
        <v/>
      </c>
      <c r="H65" s="53" t="str">
        <f>IFERROR(__xludf.DUMMYFUNCTION("""COMPUTED_VALUE"""),"")</f>
        <v/>
      </c>
      <c r="I65" s="53" t="str">
        <f>IFERROR(__xludf.DUMMYFUNCTION("""COMPUTED_VALUE"""),"")</f>
        <v/>
      </c>
      <c r="J65" s="53" t="str">
        <f>IFERROR(__xludf.DUMMYFUNCTION("""COMPUTED_VALUE"""),"")</f>
        <v/>
      </c>
      <c r="K65" s="54" t="str">
        <f>IFERROR(__xludf.DUMMYFUNCTION("""COMPUTED_VALUE"""),"")</f>
        <v/>
      </c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6"/>
      <c r="W65" s="56"/>
      <c r="X65" s="56"/>
      <c r="Y65" s="56"/>
      <c r="Z65" s="57"/>
      <c r="AA65" s="58"/>
      <c r="AB65" s="59"/>
    </row>
    <row r="66" ht="13.5" customHeight="1">
      <c r="A66" s="60" t="str">
        <f>IFERROR(__xludf.DUMMYFUNCTION("""COMPUTED_VALUE"""),"")</f>
        <v/>
      </c>
      <c r="B66" s="64" t="str">
        <f>IFERROR(__xludf.DUMMYFUNCTION("""COMPUTED_VALUE"""),"")</f>
        <v/>
      </c>
      <c r="C66" s="63" t="str">
        <f>IFERROR(__xludf.DUMMYFUNCTION("""COMPUTED_VALUE"""),"")</f>
        <v/>
      </c>
      <c r="D66" s="63" t="str">
        <f>IFERROR(__xludf.DUMMYFUNCTION("""COMPUTED_VALUE"""),"")</f>
        <v/>
      </c>
      <c r="E66" s="51" t="str">
        <f>IFERROR(__xludf.DUMMYFUNCTION("""COMPUTED_VALUE"""),"")</f>
        <v/>
      </c>
      <c r="F66" s="82" t="str">
        <f>IFERROR(__xludf.DUMMYFUNCTION("""COMPUTED_VALUE"""),"")</f>
        <v/>
      </c>
      <c r="G66" s="52" t="str">
        <f>IFERROR(__xludf.DUMMYFUNCTION("""COMPUTED_VALUE"""),"")</f>
        <v/>
      </c>
      <c r="H66" s="53" t="str">
        <f>IFERROR(__xludf.DUMMYFUNCTION("""COMPUTED_VALUE"""),"")</f>
        <v/>
      </c>
      <c r="I66" s="53" t="str">
        <f>IFERROR(__xludf.DUMMYFUNCTION("""COMPUTED_VALUE"""),"")</f>
        <v/>
      </c>
      <c r="J66" s="53" t="str">
        <f>IFERROR(__xludf.DUMMYFUNCTION("""COMPUTED_VALUE"""),"")</f>
        <v/>
      </c>
      <c r="K66" s="54" t="str">
        <f>IFERROR(__xludf.DUMMYFUNCTION("""COMPUTED_VALUE"""),"")</f>
        <v/>
      </c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6"/>
      <c r="W66" s="56"/>
      <c r="X66" s="56"/>
      <c r="Y66" s="56"/>
      <c r="Z66" s="57"/>
      <c r="AA66" s="58"/>
      <c r="AB66" s="59"/>
    </row>
    <row r="67" ht="13.5" customHeight="1">
      <c r="A67" s="60" t="str">
        <f>IFERROR(__xludf.DUMMYFUNCTION("""COMPUTED_VALUE"""),"")</f>
        <v/>
      </c>
      <c r="B67" s="64" t="str">
        <f>IFERROR(__xludf.DUMMYFUNCTION("""COMPUTED_VALUE"""),"")</f>
        <v/>
      </c>
      <c r="C67" s="63" t="str">
        <f>IFERROR(__xludf.DUMMYFUNCTION("""COMPUTED_VALUE"""),"")</f>
        <v/>
      </c>
      <c r="D67" s="63" t="str">
        <f>IFERROR(__xludf.DUMMYFUNCTION("""COMPUTED_VALUE"""),"")</f>
        <v/>
      </c>
      <c r="E67" s="51" t="str">
        <f>IFERROR(__xludf.DUMMYFUNCTION("""COMPUTED_VALUE"""),"")</f>
        <v/>
      </c>
      <c r="F67" s="82" t="str">
        <f>IFERROR(__xludf.DUMMYFUNCTION("""COMPUTED_VALUE"""),"")</f>
        <v/>
      </c>
      <c r="G67" s="52" t="str">
        <f>IFERROR(__xludf.DUMMYFUNCTION("""COMPUTED_VALUE"""),"")</f>
        <v/>
      </c>
      <c r="H67" s="53" t="str">
        <f>IFERROR(__xludf.DUMMYFUNCTION("""COMPUTED_VALUE"""),"")</f>
        <v/>
      </c>
      <c r="I67" s="53" t="str">
        <f>IFERROR(__xludf.DUMMYFUNCTION("""COMPUTED_VALUE"""),"")</f>
        <v/>
      </c>
      <c r="J67" s="53" t="str">
        <f>IFERROR(__xludf.DUMMYFUNCTION("""COMPUTED_VALUE"""),"")</f>
        <v/>
      </c>
      <c r="K67" s="54" t="str">
        <f>IFERROR(__xludf.DUMMYFUNCTION("""COMPUTED_VALUE"""),"")</f>
        <v/>
      </c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6"/>
      <c r="W67" s="56"/>
      <c r="X67" s="56"/>
      <c r="Y67" s="56"/>
      <c r="Z67" s="57"/>
      <c r="AA67" s="58"/>
      <c r="AB67" s="59"/>
    </row>
    <row r="68" ht="13.5" customHeight="1">
      <c r="A68" s="60" t="str">
        <f>IFERROR(__xludf.DUMMYFUNCTION("""COMPUTED_VALUE"""),"")</f>
        <v/>
      </c>
      <c r="B68" s="64" t="str">
        <f>IFERROR(__xludf.DUMMYFUNCTION("""COMPUTED_VALUE"""),"")</f>
        <v/>
      </c>
      <c r="C68" s="63" t="str">
        <f>IFERROR(__xludf.DUMMYFUNCTION("""COMPUTED_VALUE"""),"")</f>
        <v/>
      </c>
      <c r="D68" s="63" t="str">
        <f>IFERROR(__xludf.DUMMYFUNCTION("""COMPUTED_VALUE"""),"")</f>
        <v/>
      </c>
      <c r="E68" s="51" t="str">
        <f>IFERROR(__xludf.DUMMYFUNCTION("""COMPUTED_VALUE"""),"")</f>
        <v/>
      </c>
      <c r="F68" s="82" t="str">
        <f>IFERROR(__xludf.DUMMYFUNCTION("""COMPUTED_VALUE"""),"")</f>
        <v/>
      </c>
      <c r="G68" s="52" t="str">
        <f>IFERROR(__xludf.DUMMYFUNCTION("""COMPUTED_VALUE"""),"")</f>
        <v/>
      </c>
      <c r="H68" s="53" t="str">
        <f>IFERROR(__xludf.DUMMYFUNCTION("""COMPUTED_VALUE"""),"")</f>
        <v/>
      </c>
      <c r="I68" s="53" t="str">
        <f>IFERROR(__xludf.DUMMYFUNCTION("""COMPUTED_VALUE"""),"")</f>
        <v/>
      </c>
      <c r="J68" s="53" t="str">
        <f>IFERROR(__xludf.DUMMYFUNCTION("""COMPUTED_VALUE"""),"")</f>
        <v/>
      </c>
      <c r="K68" s="54" t="str">
        <f>IFERROR(__xludf.DUMMYFUNCTION("""COMPUTED_VALUE"""),"")</f>
        <v/>
      </c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6"/>
      <c r="W68" s="56"/>
      <c r="X68" s="56"/>
      <c r="Y68" s="56"/>
      <c r="Z68" s="57"/>
      <c r="AA68" s="58"/>
      <c r="AB68" s="59"/>
    </row>
    <row r="69" ht="13.5" customHeight="1">
      <c r="A69" s="60" t="str">
        <f>IFERROR(__xludf.DUMMYFUNCTION("""COMPUTED_VALUE"""),"")</f>
        <v/>
      </c>
      <c r="B69" s="64" t="str">
        <f>IFERROR(__xludf.DUMMYFUNCTION("""COMPUTED_VALUE"""),"")</f>
        <v/>
      </c>
      <c r="C69" s="63" t="str">
        <f>IFERROR(__xludf.DUMMYFUNCTION("""COMPUTED_VALUE"""),"")</f>
        <v/>
      </c>
      <c r="D69" s="63" t="str">
        <f>IFERROR(__xludf.DUMMYFUNCTION("""COMPUTED_VALUE"""),"")</f>
        <v/>
      </c>
      <c r="E69" s="51" t="str">
        <f>IFERROR(__xludf.DUMMYFUNCTION("""COMPUTED_VALUE"""),"")</f>
        <v/>
      </c>
      <c r="F69" s="82" t="str">
        <f>IFERROR(__xludf.DUMMYFUNCTION("""COMPUTED_VALUE"""),"")</f>
        <v/>
      </c>
      <c r="G69" s="52" t="str">
        <f>IFERROR(__xludf.DUMMYFUNCTION("""COMPUTED_VALUE"""),"")</f>
        <v/>
      </c>
      <c r="H69" s="53" t="str">
        <f>IFERROR(__xludf.DUMMYFUNCTION("""COMPUTED_VALUE"""),"")</f>
        <v/>
      </c>
      <c r="I69" s="53" t="str">
        <f>IFERROR(__xludf.DUMMYFUNCTION("""COMPUTED_VALUE"""),"")</f>
        <v/>
      </c>
      <c r="J69" s="53" t="str">
        <f>IFERROR(__xludf.DUMMYFUNCTION("""COMPUTED_VALUE"""),"")</f>
        <v/>
      </c>
      <c r="K69" s="54" t="str">
        <f>IFERROR(__xludf.DUMMYFUNCTION("""COMPUTED_VALUE"""),"")</f>
        <v/>
      </c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6"/>
      <c r="W69" s="56"/>
      <c r="X69" s="56"/>
      <c r="Y69" s="56"/>
      <c r="Z69" s="57"/>
      <c r="AA69" s="58"/>
      <c r="AB69" s="59"/>
    </row>
    <row r="70" ht="13.5" customHeight="1">
      <c r="A70" s="60" t="str">
        <f>IFERROR(__xludf.DUMMYFUNCTION("""COMPUTED_VALUE"""),"")</f>
        <v/>
      </c>
      <c r="B70" s="64" t="str">
        <f>IFERROR(__xludf.DUMMYFUNCTION("""COMPUTED_VALUE"""),"")</f>
        <v/>
      </c>
      <c r="C70" s="63" t="str">
        <f>IFERROR(__xludf.DUMMYFUNCTION("""COMPUTED_VALUE"""),"")</f>
        <v/>
      </c>
      <c r="D70" s="63" t="str">
        <f>IFERROR(__xludf.DUMMYFUNCTION("""COMPUTED_VALUE"""),"")</f>
        <v/>
      </c>
      <c r="E70" s="51" t="str">
        <f>IFERROR(__xludf.DUMMYFUNCTION("""COMPUTED_VALUE"""),"")</f>
        <v/>
      </c>
      <c r="F70" s="82" t="str">
        <f>IFERROR(__xludf.DUMMYFUNCTION("""COMPUTED_VALUE"""),"")</f>
        <v/>
      </c>
      <c r="G70" s="52" t="str">
        <f>IFERROR(__xludf.DUMMYFUNCTION("""COMPUTED_VALUE"""),"")</f>
        <v/>
      </c>
      <c r="H70" s="53" t="str">
        <f>IFERROR(__xludf.DUMMYFUNCTION("""COMPUTED_VALUE"""),"")</f>
        <v/>
      </c>
      <c r="I70" s="53" t="str">
        <f>IFERROR(__xludf.DUMMYFUNCTION("""COMPUTED_VALUE"""),"")</f>
        <v/>
      </c>
      <c r="J70" s="53" t="str">
        <f>IFERROR(__xludf.DUMMYFUNCTION("""COMPUTED_VALUE"""),"")</f>
        <v/>
      </c>
      <c r="K70" s="54" t="str">
        <f>IFERROR(__xludf.DUMMYFUNCTION("""COMPUTED_VALUE"""),"")</f>
        <v/>
      </c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6"/>
      <c r="W70" s="56"/>
      <c r="X70" s="56"/>
      <c r="Y70" s="56"/>
      <c r="Z70" s="57"/>
      <c r="AA70" s="58"/>
      <c r="AB70" s="59"/>
    </row>
    <row r="71" ht="13.5" customHeight="1">
      <c r="A71" s="60" t="str">
        <f>IFERROR(__xludf.DUMMYFUNCTION("""COMPUTED_VALUE"""),"")</f>
        <v/>
      </c>
      <c r="B71" s="64" t="str">
        <f>IFERROR(__xludf.DUMMYFUNCTION("""COMPUTED_VALUE"""),"")</f>
        <v/>
      </c>
      <c r="C71" s="63" t="str">
        <f>IFERROR(__xludf.DUMMYFUNCTION("""COMPUTED_VALUE"""),"")</f>
        <v/>
      </c>
      <c r="D71" s="63" t="str">
        <f>IFERROR(__xludf.DUMMYFUNCTION("""COMPUTED_VALUE"""),"")</f>
        <v/>
      </c>
      <c r="E71" s="51" t="str">
        <f>IFERROR(__xludf.DUMMYFUNCTION("""COMPUTED_VALUE"""),"")</f>
        <v/>
      </c>
      <c r="F71" s="82" t="str">
        <f>IFERROR(__xludf.DUMMYFUNCTION("""COMPUTED_VALUE"""),"")</f>
        <v/>
      </c>
      <c r="G71" s="52" t="str">
        <f>IFERROR(__xludf.DUMMYFUNCTION("""COMPUTED_VALUE"""),"")</f>
        <v/>
      </c>
      <c r="H71" s="53" t="str">
        <f>IFERROR(__xludf.DUMMYFUNCTION("""COMPUTED_VALUE"""),"")</f>
        <v/>
      </c>
      <c r="I71" s="53" t="str">
        <f>IFERROR(__xludf.DUMMYFUNCTION("""COMPUTED_VALUE"""),"")</f>
        <v/>
      </c>
      <c r="J71" s="53" t="str">
        <f>IFERROR(__xludf.DUMMYFUNCTION("""COMPUTED_VALUE"""),"")</f>
        <v/>
      </c>
      <c r="K71" s="54" t="str">
        <f>IFERROR(__xludf.DUMMYFUNCTION("""COMPUTED_VALUE"""),"")</f>
        <v/>
      </c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6"/>
      <c r="W71" s="56"/>
      <c r="X71" s="56"/>
      <c r="Y71" s="56"/>
      <c r="Z71" s="57"/>
      <c r="AA71" s="58"/>
      <c r="AB71" s="59"/>
    </row>
    <row r="72" ht="13.5" customHeight="1">
      <c r="A72" s="60" t="str">
        <f>IFERROR(__xludf.DUMMYFUNCTION("""COMPUTED_VALUE"""),"")</f>
        <v/>
      </c>
      <c r="B72" s="64" t="str">
        <f>IFERROR(__xludf.DUMMYFUNCTION("""COMPUTED_VALUE"""),"")</f>
        <v/>
      </c>
      <c r="C72" s="63" t="str">
        <f>IFERROR(__xludf.DUMMYFUNCTION("""COMPUTED_VALUE"""),"")</f>
        <v/>
      </c>
      <c r="D72" s="63" t="str">
        <f>IFERROR(__xludf.DUMMYFUNCTION("""COMPUTED_VALUE"""),"")</f>
        <v/>
      </c>
      <c r="E72" s="51" t="str">
        <f>IFERROR(__xludf.DUMMYFUNCTION("""COMPUTED_VALUE"""),"")</f>
        <v/>
      </c>
      <c r="F72" s="82" t="str">
        <f>IFERROR(__xludf.DUMMYFUNCTION("""COMPUTED_VALUE"""),"")</f>
        <v/>
      </c>
      <c r="G72" s="52" t="str">
        <f>IFERROR(__xludf.DUMMYFUNCTION("""COMPUTED_VALUE"""),"")</f>
        <v/>
      </c>
      <c r="H72" s="53" t="str">
        <f>IFERROR(__xludf.DUMMYFUNCTION("""COMPUTED_VALUE"""),"")</f>
        <v/>
      </c>
      <c r="I72" s="53" t="str">
        <f>IFERROR(__xludf.DUMMYFUNCTION("""COMPUTED_VALUE"""),"")</f>
        <v/>
      </c>
      <c r="J72" s="53" t="str">
        <f>IFERROR(__xludf.DUMMYFUNCTION("""COMPUTED_VALUE"""),"")</f>
        <v/>
      </c>
      <c r="K72" s="54" t="str">
        <f>IFERROR(__xludf.DUMMYFUNCTION("""COMPUTED_VALUE"""),"")</f>
        <v/>
      </c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6"/>
      <c r="W72" s="56"/>
      <c r="X72" s="56"/>
      <c r="Y72" s="56"/>
      <c r="Z72" s="57"/>
      <c r="AA72" s="58"/>
      <c r="AB72" s="59"/>
    </row>
    <row r="73" ht="13.5" customHeight="1">
      <c r="A73" s="60" t="str">
        <f>IFERROR(__xludf.DUMMYFUNCTION("""COMPUTED_VALUE"""),"")</f>
        <v/>
      </c>
      <c r="B73" s="64" t="str">
        <f>IFERROR(__xludf.DUMMYFUNCTION("""COMPUTED_VALUE"""),"")</f>
        <v/>
      </c>
      <c r="C73" s="63" t="str">
        <f>IFERROR(__xludf.DUMMYFUNCTION("""COMPUTED_VALUE"""),"")</f>
        <v/>
      </c>
      <c r="D73" s="63" t="str">
        <f>IFERROR(__xludf.DUMMYFUNCTION("""COMPUTED_VALUE"""),"")</f>
        <v/>
      </c>
      <c r="E73" s="51" t="str">
        <f>IFERROR(__xludf.DUMMYFUNCTION("""COMPUTED_VALUE"""),"")</f>
        <v/>
      </c>
      <c r="F73" s="82" t="str">
        <f>IFERROR(__xludf.DUMMYFUNCTION("""COMPUTED_VALUE"""),"")</f>
        <v/>
      </c>
      <c r="G73" s="52" t="str">
        <f>IFERROR(__xludf.DUMMYFUNCTION("""COMPUTED_VALUE"""),"")</f>
        <v/>
      </c>
      <c r="H73" s="53" t="str">
        <f>IFERROR(__xludf.DUMMYFUNCTION("""COMPUTED_VALUE"""),"")</f>
        <v/>
      </c>
      <c r="I73" s="53" t="str">
        <f>IFERROR(__xludf.DUMMYFUNCTION("""COMPUTED_VALUE"""),"")</f>
        <v/>
      </c>
      <c r="J73" s="53" t="str">
        <f>IFERROR(__xludf.DUMMYFUNCTION("""COMPUTED_VALUE"""),"")</f>
        <v/>
      </c>
      <c r="K73" s="54" t="str">
        <f>IFERROR(__xludf.DUMMYFUNCTION("""COMPUTED_VALUE"""),"")</f>
        <v/>
      </c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6"/>
      <c r="W73" s="56"/>
      <c r="X73" s="56"/>
      <c r="Y73" s="56"/>
      <c r="Z73" s="57"/>
      <c r="AA73" s="58"/>
      <c r="AB73" s="59"/>
    </row>
    <row r="74" ht="13.5" customHeight="1">
      <c r="A74" s="60" t="str">
        <f>IFERROR(__xludf.DUMMYFUNCTION("""COMPUTED_VALUE"""),"")</f>
        <v/>
      </c>
      <c r="B74" s="64" t="str">
        <f>IFERROR(__xludf.DUMMYFUNCTION("""COMPUTED_VALUE"""),"")</f>
        <v/>
      </c>
      <c r="C74" s="63" t="str">
        <f>IFERROR(__xludf.DUMMYFUNCTION("""COMPUTED_VALUE"""),"")</f>
        <v/>
      </c>
      <c r="D74" s="63" t="str">
        <f>IFERROR(__xludf.DUMMYFUNCTION("""COMPUTED_VALUE"""),"")</f>
        <v/>
      </c>
      <c r="E74" s="51" t="str">
        <f>IFERROR(__xludf.DUMMYFUNCTION("""COMPUTED_VALUE"""),"")</f>
        <v/>
      </c>
      <c r="F74" s="82" t="str">
        <f>IFERROR(__xludf.DUMMYFUNCTION("""COMPUTED_VALUE"""),"")</f>
        <v/>
      </c>
      <c r="G74" s="52" t="str">
        <f>IFERROR(__xludf.DUMMYFUNCTION("""COMPUTED_VALUE"""),"")</f>
        <v/>
      </c>
      <c r="H74" s="53" t="str">
        <f>IFERROR(__xludf.DUMMYFUNCTION("""COMPUTED_VALUE"""),"")</f>
        <v/>
      </c>
      <c r="I74" s="53" t="str">
        <f>IFERROR(__xludf.DUMMYFUNCTION("""COMPUTED_VALUE"""),"")</f>
        <v/>
      </c>
      <c r="J74" s="53" t="str">
        <f>IFERROR(__xludf.DUMMYFUNCTION("""COMPUTED_VALUE"""),"")</f>
        <v/>
      </c>
      <c r="K74" s="54" t="str">
        <f>IFERROR(__xludf.DUMMYFUNCTION("""COMPUTED_VALUE"""),"")</f>
        <v/>
      </c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6"/>
      <c r="W74" s="56"/>
      <c r="X74" s="56"/>
      <c r="Y74" s="56"/>
      <c r="Z74" s="57"/>
      <c r="AA74" s="58"/>
      <c r="AB74" s="59"/>
    </row>
    <row r="75" ht="13.5" customHeight="1">
      <c r="A75" s="60" t="str">
        <f>IFERROR(__xludf.DUMMYFUNCTION("""COMPUTED_VALUE"""),"")</f>
        <v/>
      </c>
      <c r="B75" s="64" t="str">
        <f>IFERROR(__xludf.DUMMYFUNCTION("""COMPUTED_VALUE"""),"")</f>
        <v/>
      </c>
      <c r="C75" s="63" t="str">
        <f>IFERROR(__xludf.DUMMYFUNCTION("""COMPUTED_VALUE"""),"")</f>
        <v/>
      </c>
      <c r="D75" s="63" t="str">
        <f>IFERROR(__xludf.DUMMYFUNCTION("""COMPUTED_VALUE"""),"")</f>
        <v/>
      </c>
      <c r="E75" s="51" t="str">
        <f>IFERROR(__xludf.DUMMYFUNCTION("""COMPUTED_VALUE"""),"")</f>
        <v/>
      </c>
      <c r="F75" s="82" t="str">
        <f>IFERROR(__xludf.DUMMYFUNCTION("""COMPUTED_VALUE"""),"")</f>
        <v/>
      </c>
      <c r="G75" s="52" t="str">
        <f>IFERROR(__xludf.DUMMYFUNCTION("""COMPUTED_VALUE"""),"")</f>
        <v/>
      </c>
      <c r="H75" s="53" t="str">
        <f>IFERROR(__xludf.DUMMYFUNCTION("""COMPUTED_VALUE"""),"")</f>
        <v/>
      </c>
      <c r="I75" s="53" t="str">
        <f>IFERROR(__xludf.DUMMYFUNCTION("""COMPUTED_VALUE"""),"")</f>
        <v/>
      </c>
      <c r="J75" s="53" t="str">
        <f>IFERROR(__xludf.DUMMYFUNCTION("""COMPUTED_VALUE"""),"")</f>
        <v/>
      </c>
      <c r="K75" s="54" t="str">
        <f>IFERROR(__xludf.DUMMYFUNCTION("""COMPUTED_VALUE"""),"")</f>
        <v/>
      </c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6"/>
      <c r="W75" s="56"/>
      <c r="X75" s="56"/>
      <c r="Y75" s="56"/>
      <c r="Z75" s="57"/>
      <c r="AA75" s="58"/>
      <c r="AB75" s="59"/>
    </row>
    <row r="76" ht="13.5" customHeight="1">
      <c r="A76" s="60" t="str">
        <f>IFERROR(__xludf.DUMMYFUNCTION("""COMPUTED_VALUE"""),"")</f>
        <v/>
      </c>
      <c r="B76" s="64" t="str">
        <f>IFERROR(__xludf.DUMMYFUNCTION("""COMPUTED_VALUE"""),"")</f>
        <v/>
      </c>
      <c r="C76" s="63" t="str">
        <f>IFERROR(__xludf.DUMMYFUNCTION("""COMPUTED_VALUE"""),"")</f>
        <v/>
      </c>
      <c r="D76" s="63" t="str">
        <f>IFERROR(__xludf.DUMMYFUNCTION("""COMPUTED_VALUE"""),"")</f>
        <v/>
      </c>
      <c r="E76" s="51" t="str">
        <f>IFERROR(__xludf.DUMMYFUNCTION("""COMPUTED_VALUE"""),"")</f>
        <v/>
      </c>
      <c r="F76" s="82" t="str">
        <f>IFERROR(__xludf.DUMMYFUNCTION("""COMPUTED_VALUE"""),"")</f>
        <v/>
      </c>
      <c r="G76" s="52" t="str">
        <f>IFERROR(__xludf.DUMMYFUNCTION("""COMPUTED_VALUE"""),"")</f>
        <v/>
      </c>
      <c r="H76" s="53" t="str">
        <f>IFERROR(__xludf.DUMMYFUNCTION("""COMPUTED_VALUE"""),"")</f>
        <v/>
      </c>
      <c r="I76" s="53" t="str">
        <f>IFERROR(__xludf.DUMMYFUNCTION("""COMPUTED_VALUE"""),"")</f>
        <v/>
      </c>
      <c r="J76" s="53" t="str">
        <f>IFERROR(__xludf.DUMMYFUNCTION("""COMPUTED_VALUE"""),"")</f>
        <v/>
      </c>
      <c r="K76" s="54" t="str">
        <f>IFERROR(__xludf.DUMMYFUNCTION("""COMPUTED_VALUE"""),"")</f>
        <v/>
      </c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6"/>
      <c r="W76" s="56"/>
      <c r="X76" s="56"/>
      <c r="Y76" s="56"/>
      <c r="Z76" s="57"/>
      <c r="AA76" s="58"/>
      <c r="AB76" s="59"/>
    </row>
    <row r="77" ht="13.5" customHeight="1">
      <c r="A77" s="60" t="str">
        <f>IFERROR(__xludf.DUMMYFUNCTION("""COMPUTED_VALUE"""),"")</f>
        <v/>
      </c>
      <c r="B77" s="64" t="str">
        <f>IFERROR(__xludf.DUMMYFUNCTION("""COMPUTED_VALUE"""),"")</f>
        <v/>
      </c>
      <c r="C77" s="63" t="str">
        <f>IFERROR(__xludf.DUMMYFUNCTION("""COMPUTED_VALUE"""),"")</f>
        <v/>
      </c>
      <c r="D77" s="63" t="str">
        <f>IFERROR(__xludf.DUMMYFUNCTION("""COMPUTED_VALUE"""),"")</f>
        <v/>
      </c>
      <c r="E77" s="51" t="str">
        <f>IFERROR(__xludf.DUMMYFUNCTION("""COMPUTED_VALUE"""),"")</f>
        <v/>
      </c>
      <c r="F77" s="82" t="str">
        <f>IFERROR(__xludf.DUMMYFUNCTION("""COMPUTED_VALUE"""),"")</f>
        <v/>
      </c>
      <c r="G77" s="52" t="str">
        <f>IFERROR(__xludf.DUMMYFUNCTION("""COMPUTED_VALUE"""),"")</f>
        <v/>
      </c>
      <c r="H77" s="53" t="str">
        <f>IFERROR(__xludf.DUMMYFUNCTION("""COMPUTED_VALUE"""),"")</f>
        <v/>
      </c>
      <c r="I77" s="53" t="str">
        <f>IFERROR(__xludf.DUMMYFUNCTION("""COMPUTED_VALUE"""),"")</f>
        <v/>
      </c>
      <c r="J77" s="53" t="str">
        <f>IFERROR(__xludf.DUMMYFUNCTION("""COMPUTED_VALUE"""),"")</f>
        <v/>
      </c>
      <c r="K77" s="54" t="str">
        <f>IFERROR(__xludf.DUMMYFUNCTION("""COMPUTED_VALUE"""),"")</f>
        <v/>
      </c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6"/>
      <c r="W77" s="56"/>
      <c r="X77" s="56"/>
      <c r="Y77" s="56"/>
      <c r="Z77" s="57"/>
      <c r="AA77" s="58"/>
      <c r="AB77" s="59"/>
    </row>
    <row r="78" ht="13.5" customHeight="1">
      <c r="A78" s="60" t="str">
        <f>IFERROR(__xludf.DUMMYFUNCTION("""COMPUTED_VALUE"""),"")</f>
        <v/>
      </c>
      <c r="B78" s="64" t="str">
        <f>IFERROR(__xludf.DUMMYFUNCTION("""COMPUTED_VALUE"""),"")</f>
        <v/>
      </c>
      <c r="C78" s="63" t="str">
        <f>IFERROR(__xludf.DUMMYFUNCTION("""COMPUTED_VALUE"""),"")</f>
        <v/>
      </c>
      <c r="D78" s="63" t="str">
        <f>IFERROR(__xludf.DUMMYFUNCTION("""COMPUTED_VALUE"""),"")</f>
        <v/>
      </c>
      <c r="E78" s="51" t="str">
        <f>IFERROR(__xludf.DUMMYFUNCTION("""COMPUTED_VALUE"""),"")</f>
        <v/>
      </c>
      <c r="F78" s="82" t="str">
        <f>IFERROR(__xludf.DUMMYFUNCTION("""COMPUTED_VALUE"""),"")</f>
        <v/>
      </c>
      <c r="G78" s="52" t="str">
        <f>IFERROR(__xludf.DUMMYFUNCTION("""COMPUTED_VALUE"""),"")</f>
        <v/>
      </c>
      <c r="H78" s="53" t="str">
        <f>IFERROR(__xludf.DUMMYFUNCTION("""COMPUTED_VALUE"""),"")</f>
        <v/>
      </c>
      <c r="I78" s="53" t="str">
        <f>IFERROR(__xludf.DUMMYFUNCTION("""COMPUTED_VALUE"""),"")</f>
        <v/>
      </c>
      <c r="J78" s="53" t="str">
        <f>IFERROR(__xludf.DUMMYFUNCTION("""COMPUTED_VALUE"""),"")</f>
        <v/>
      </c>
      <c r="K78" s="54" t="str">
        <f>IFERROR(__xludf.DUMMYFUNCTION("""COMPUTED_VALUE"""),"")</f>
        <v/>
      </c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6"/>
      <c r="W78" s="56"/>
      <c r="X78" s="56"/>
      <c r="Y78" s="56"/>
      <c r="Z78" s="57"/>
      <c r="AA78" s="58"/>
      <c r="AB78" s="59"/>
    </row>
    <row r="79" ht="13.5" customHeight="1">
      <c r="A79" s="60" t="str">
        <f>IFERROR(__xludf.DUMMYFUNCTION("""COMPUTED_VALUE"""),"")</f>
        <v/>
      </c>
      <c r="B79" s="64" t="str">
        <f>IFERROR(__xludf.DUMMYFUNCTION("""COMPUTED_VALUE"""),"")</f>
        <v/>
      </c>
      <c r="C79" s="63" t="str">
        <f>IFERROR(__xludf.DUMMYFUNCTION("""COMPUTED_VALUE"""),"")</f>
        <v/>
      </c>
      <c r="D79" s="63" t="str">
        <f>IFERROR(__xludf.DUMMYFUNCTION("""COMPUTED_VALUE"""),"")</f>
        <v/>
      </c>
      <c r="E79" s="51" t="str">
        <f>IFERROR(__xludf.DUMMYFUNCTION("""COMPUTED_VALUE"""),"")</f>
        <v/>
      </c>
      <c r="F79" s="82" t="str">
        <f>IFERROR(__xludf.DUMMYFUNCTION("""COMPUTED_VALUE"""),"")</f>
        <v/>
      </c>
      <c r="G79" s="52" t="str">
        <f>IFERROR(__xludf.DUMMYFUNCTION("""COMPUTED_VALUE"""),"")</f>
        <v/>
      </c>
      <c r="H79" s="53" t="str">
        <f>IFERROR(__xludf.DUMMYFUNCTION("""COMPUTED_VALUE"""),"")</f>
        <v/>
      </c>
      <c r="I79" s="53" t="str">
        <f>IFERROR(__xludf.DUMMYFUNCTION("""COMPUTED_VALUE"""),"")</f>
        <v/>
      </c>
      <c r="J79" s="53" t="str">
        <f>IFERROR(__xludf.DUMMYFUNCTION("""COMPUTED_VALUE"""),"")</f>
        <v/>
      </c>
      <c r="K79" s="54" t="str">
        <f>IFERROR(__xludf.DUMMYFUNCTION("""COMPUTED_VALUE"""),"")</f>
        <v/>
      </c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6"/>
      <c r="W79" s="56"/>
      <c r="X79" s="56"/>
      <c r="Y79" s="56"/>
      <c r="Z79" s="57"/>
      <c r="AA79" s="58"/>
      <c r="AB79" s="59"/>
    </row>
    <row r="80" ht="13.5" customHeight="1">
      <c r="A80" s="60" t="str">
        <f>IFERROR(__xludf.DUMMYFUNCTION("""COMPUTED_VALUE"""),"")</f>
        <v/>
      </c>
      <c r="B80" s="64" t="str">
        <f>IFERROR(__xludf.DUMMYFUNCTION("""COMPUTED_VALUE"""),"")</f>
        <v/>
      </c>
      <c r="C80" s="63" t="str">
        <f>IFERROR(__xludf.DUMMYFUNCTION("""COMPUTED_VALUE"""),"")</f>
        <v/>
      </c>
      <c r="D80" s="63" t="str">
        <f>IFERROR(__xludf.DUMMYFUNCTION("""COMPUTED_VALUE"""),"")</f>
        <v/>
      </c>
      <c r="E80" s="51" t="str">
        <f>IFERROR(__xludf.DUMMYFUNCTION("""COMPUTED_VALUE"""),"")</f>
        <v/>
      </c>
      <c r="F80" s="82" t="str">
        <f>IFERROR(__xludf.DUMMYFUNCTION("""COMPUTED_VALUE"""),"")</f>
        <v/>
      </c>
      <c r="G80" s="52" t="str">
        <f>IFERROR(__xludf.DUMMYFUNCTION("""COMPUTED_VALUE"""),"")</f>
        <v/>
      </c>
      <c r="H80" s="53" t="str">
        <f>IFERROR(__xludf.DUMMYFUNCTION("""COMPUTED_VALUE"""),"")</f>
        <v/>
      </c>
      <c r="I80" s="53" t="str">
        <f>IFERROR(__xludf.DUMMYFUNCTION("""COMPUTED_VALUE"""),"")</f>
        <v/>
      </c>
      <c r="J80" s="53" t="str">
        <f>IFERROR(__xludf.DUMMYFUNCTION("""COMPUTED_VALUE"""),"")</f>
        <v/>
      </c>
      <c r="K80" s="54" t="str">
        <f>IFERROR(__xludf.DUMMYFUNCTION("""COMPUTED_VALUE"""),"")</f>
        <v/>
      </c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6"/>
      <c r="W80" s="56"/>
      <c r="X80" s="56"/>
      <c r="Y80" s="56"/>
      <c r="Z80" s="57"/>
      <c r="AA80" s="58"/>
      <c r="AB80" s="59"/>
    </row>
    <row r="81" ht="13.5" customHeight="1">
      <c r="A81" s="60" t="str">
        <f>IFERROR(__xludf.DUMMYFUNCTION("""COMPUTED_VALUE"""),"")</f>
        <v/>
      </c>
      <c r="B81" s="64" t="str">
        <f>IFERROR(__xludf.DUMMYFUNCTION("""COMPUTED_VALUE"""),"")</f>
        <v/>
      </c>
      <c r="C81" s="63" t="str">
        <f>IFERROR(__xludf.DUMMYFUNCTION("""COMPUTED_VALUE"""),"")</f>
        <v/>
      </c>
      <c r="D81" s="63" t="str">
        <f>IFERROR(__xludf.DUMMYFUNCTION("""COMPUTED_VALUE"""),"")</f>
        <v/>
      </c>
      <c r="E81" s="51" t="str">
        <f>IFERROR(__xludf.DUMMYFUNCTION("""COMPUTED_VALUE"""),"")</f>
        <v/>
      </c>
      <c r="F81" s="82" t="str">
        <f>IFERROR(__xludf.DUMMYFUNCTION("""COMPUTED_VALUE"""),"")</f>
        <v/>
      </c>
      <c r="G81" s="52" t="str">
        <f>IFERROR(__xludf.DUMMYFUNCTION("""COMPUTED_VALUE"""),"")</f>
        <v/>
      </c>
      <c r="H81" s="53" t="str">
        <f>IFERROR(__xludf.DUMMYFUNCTION("""COMPUTED_VALUE"""),"")</f>
        <v/>
      </c>
      <c r="I81" s="53" t="str">
        <f>IFERROR(__xludf.DUMMYFUNCTION("""COMPUTED_VALUE"""),"")</f>
        <v/>
      </c>
      <c r="J81" s="53" t="str">
        <f>IFERROR(__xludf.DUMMYFUNCTION("""COMPUTED_VALUE"""),"")</f>
        <v/>
      </c>
      <c r="K81" s="54" t="str">
        <f>IFERROR(__xludf.DUMMYFUNCTION("""COMPUTED_VALUE"""),"")</f>
        <v/>
      </c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6"/>
      <c r="W81" s="56"/>
      <c r="X81" s="56"/>
      <c r="Y81" s="56"/>
      <c r="Z81" s="57"/>
      <c r="AA81" s="58"/>
      <c r="AB81" s="59"/>
    </row>
    <row r="82" ht="13.5" customHeight="1">
      <c r="A82" s="60" t="str">
        <f>IFERROR(__xludf.DUMMYFUNCTION("""COMPUTED_VALUE"""),"")</f>
        <v/>
      </c>
      <c r="B82" s="64" t="str">
        <f>IFERROR(__xludf.DUMMYFUNCTION("""COMPUTED_VALUE"""),"")</f>
        <v/>
      </c>
      <c r="C82" s="63" t="str">
        <f>IFERROR(__xludf.DUMMYFUNCTION("""COMPUTED_VALUE"""),"")</f>
        <v/>
      </c>
      <c r="D82" s="63" t="str">
        <f>IFERROR(__xludf.DUMMYFUNCTION("""COMPUTED_VALUE"""),"")</f>
        <v/>
      </c>
      <c r="E82" s="51" t="str">
        <f>IFERROR(__xludf.DUMMYFUNCTION("""COMPUTED_VALUE"""),"")</f>
        <v/>
      </c>
      <c r="F82" s="82" t="str">
        <f>IFERROR(__xludf.DUMMYFUNCTION("""COMPUTED_VALUE"""),"")</f>
        <v/>
      </c>
      <c r="G82" s="52" t="str">
        <f>IFERROR(__xludf.DUMMYFUNCTION("""COMPUTED_VALUE"""),"")</f>
        <v/>
      </c>
      <c r="H82" s="53" t="str">
        <f>IFERROR(__xludf.DUMMYFUNCTION("""COMPUTED_VALUE"""),"")</f>
        <v/>
      </c>
      <c r="I82" s="53" t="str">
        <f>IFERROR(__xludf.DUMMYFUNCTION("""COMPUTED_VALUE"""),"")</f>
        <v/>
      </c>
      <c r="J82" s="53" t="str">
        <f>IFERROR(__xludf.DUMMYFUNCTION("""COMPUTED_VALUE"""),"")</f>
        <v/>
      </c>
      <c r="K82" s="54" t="str">
        <f>IFERROR(__xludf.DUMMYFUNCTION("""COMPUTED_VALUE"""),"")</f>
        <v/>
      </c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6"/>
      <c r="W82" s="56"/>
      <c r="X82" s="56"/>
      <c r="Y82" s="56"/>
      <c r="Z82" s="57"/>
      <c r="AA82" s="58"/>
      <c r="AB82" s="59"/>
    </row>
    <row r="83" ht="13.5" customHeight="1">
      <c r="A83" s="60" t="str">
        <f>IFERROR(__xludf.DUMMYFUNCTION("""COMPUTED_VALUE"""),"")</f>
        <v/>
      </c>
      <c r="B83" s="64" t="str">
        <f>IFERROR(__xludf.DUMMYFUNCTION("""COMPUTED_VALUE"""),"")</f>
        <v/>
      </c>
      <c r="C83" s="63" t="str">
        <f>IFERROR(__xludf.DUMMYFUNCTION("""COMPUTED_VALUE"""),"")</f>
        <v/>
      </c>
      <c r="D83" s="63" t="str">
        <f>IFERROR(__xludf.DUMMYFUNCTION("""COMPUTED_VALUE"""),"")</f>
        <v/>
      </c>
      <c r="E83" s="51" t="str">
        <f>IFERROR(__xludf.DUMMYFUNCTION("""COMPUTED_VALUE"""),"")</f>
        <v/>
      </c>
      <c r="F83" s="82" t="str">
        <f>IFERROR(__xludf.DUMMYFUNCTION("""COMPUTED_VALUE"""),"")</f>
        <v/>
      </c>
      <c r="G83" s="52" t="str">
        <f>IFERROR(__xludf.DUMMYFUNCTION("""COMPUTED_VALUE"""),"")</f>
        <v/>
      </c>
      <c r="H83" s="53" t="str">
        <f>IFERROR(__xludf.DUMMYFUNCTION("""COMPUTED_VALUE"""),"")</f>
        <v/>
      </c>
      <c r="I83" s="53" t="str">
        <f>IFERROR(__xludf.DUMMYFUNCTION("""COMPUTED_VALUE"""),"")</f>
        <v/>
      </c>
      <c r="J83" s="53" t="str">
        <f>IFERROR(__xludf.DUMMYFUNCTION("""COMPUTED_VALUE"""),"")</f>
        <v/>
      </c>
      <c r="K83" s="54" t="str">
        <f>IFERROR(__xludf.DUMMYFUNCTION("""COMPUTED_VALUE"""),"")</f>
        <v/>
      </c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6"/>
      <c r="W83" s="56"/>
      <c r="X83" s="56"/>
      <c r="Y83" s="56"/>
      <c r="Z83" s="57"/>
      <c r="AA83" s="58"/>
      <c r="AB83" s="59"/>
    </row>
    <row r="84" ht="13.5" customHeight="1">
      <c r="A84" s="60" t="str">
        <f>IFERROR(__xludf.DUMMYFUNCTION("""COMPUTED_VALUE"""),"")</f>
        <v/>
      </c>
      <c r="B84" s="64" t="str">
        <f>IFERROR(__xludf.DUMMYFUNCTION("""COMPUTED_VALUE"""),"")</f>
        <v/>
      </c>
      <c r="C84" s="63" t="str">
        <f>IFERROR(__xludf.DUMMYFUNCTION("""COMPUTED_VALUE"""),"")</f>
        <v/>
      </c>
      <c r="D84" s="63" t="str">
        <f>IFERROR(__xludf.DUMMYFUNCTION("""COMPUTED_VALUE"""),"")</f>
        <v/>
      </c>
      <c r="E84" s="51" t="str">
        <f>IFERROR(__xludf.DUMMYFUNCTION("""COMPUTED_VALUE"""),"")</f>
        <v/>
      </c>
      <c r="F84" s="82" t="str">
        <f>IFERROR(__xludf.DUMMYFUNCTION("""COMPUTED_VALUE"""),"")</f>
        <v/>
      </c>
      <c r="G84" s="52" t="str">
        <f>IFERROR(__xludf.DUMMYFUNCTION("""COMPUTED_VALUE"""),"")</f>
        <v/>
      </c>
      <c r="H84" s="53" t="str">
        <f>IFERROR(__xludf.DUMMYFUNCTION("""COMPUTED_VALUE"""),"")</f>
        <v/>
      </c>
      <c r="I84" s="53" t="str">
        <f>IFERROR(__xludf.DUMMYFUNCTION("""COMPUTED_VALUE"""),"")</f>
        <v/>
      </c>
      <c r="J84" s="53" t="str">
        <f>IFERROR(__xludf.DUMMYFUNCTION("""COMPUTED_VALUE"""),"")</f>
        <v/>
      </c>
      <c r="K84" s="54" t="str">
        <f>IFERROR(__xludf.DUMMYFUNCTION("""COMPUTED_VALUE"""),"")</f>
        <v/>
      </c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6"/>
      <c r="W84" s="56"/>
      <c r="X84" s="56"/>
      <c r="Y84" s="56"/>
      <c r="Z84" s="57"/>
      <c r="AA84" s="58"/>
      <c r="AB84" s="59"/>
    </row>
    <row r="85" ht="13.5" customHeight="1">
      <c r="A85" s="60" t="str">
        <f>IFERROR(__xludf.DUMMYFUNCTION("""COMPUTED_VALUE"""),"")</f>
        <v/>
      </c>
      <c r="B85" s="64" t="str">
        <f>IFERROR(__xludf.DUMMYFUNCTION("""COMPUTED_VALUE"""),"")</f>
        <v/>
      </c>
      <c r="C85" s="63" t="str">
        <f>IFERROR(__xludf.DUMMYFUNCTION("""COMPUTED_VALUE"""),"")</f>
        <v/>
      </c>
      <c r="D85" s="63" t="str">
        <f>IFERROR(__xludf.DUMMYFUNCTION("""COMPUTED_VALUE"""),"")</f>
        <v/>
      </c>
      <c r="E85" s="51" t="str">
        <f>IFERROR(__xludf.DUMMYFUNCTION("""COMPUTED_VALUE"""),"")</f>
        <v/>
      </c>
      <c r="F85" s="82" t="str">
        <f>IFERROR(__xludf.DUMMYFUNCTION("""COMPUTED_VALUE"""),"")</f>
        <v/>
      </c>
      <c r="G85" s="52" t="str">
        <f>IFERROR(__xludf.DUMMYFUNCTION("""COMPUTED_VALUE"""),"")</f>
        <v/>
      </c>
      <c r="H85" s="53" t="str">
        <f>IFERROR(__xludf.DUMMYFUNCTION("""COMPUTED_VALUE"""),"")</f>
        <v/>
      </c>
      <c r="I85" s="53" t="str">
        <f>IFERROR(__xludf.DUMMYFUNCTION("""COMPUTED_VALUE"""),"")</f>
        <v/>
      </c>
      <c r="J85" s="53" t="str">
        <f>IFERROR(__xludf.DUMMYFUNCTION("""COMPUTED_VALUE"""),"")</f>
        <v/>
      </c>
      <c r="K85" s="54" t="str">
        <f>IFERROR(__xludf.DUMMYFUNCTION("""COMPUTED_VALUE"""),"")</f>
        <v/>
      </c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6"/>
      <c r="W85" s="56"/>
      <c r="X85" s="56"/>
      <c r="Y85" s="56"/>
      <c r="Z85" s="57"/>
      <c r="AA85" s="58"/>
      <c r="AB85" s="59"/>
    </row>
    <row r="86" ht="13.5" customHeight="1">
      <c r="A86" s="60" t="str">
        <f>IFERROR(__xludf.DUMMYFUNCTION("""COMPUTED_VALUE"""),"")</f>
        <v/>
      </c>
      <c r="B86" s="64" t="str">
        <f>IFERROR(__xludf.DUMMYFUNCTION("""COMPUTED_VALUE"""),"")</f>
        <v/>
      </c>
      <c r="C86" s="63" t="str">
        <f>IFERROR(__xludf.DUMMYFUNCTION("""COMPUTED_VALUE"""),"")</f>
        <v/>
      </c>
      <c r="D86" s="63" t="str">
        <f>IFERROR(__xludf.DUMMYFUNCTION("""COMPUTED_VALUE"""),"")</f>
        <v/>
      </c>
      <c r="E86" s="51" t="str">
        <f>IFERROR(__xludf.DUMMYFUNCTION("""COMPUTED_VALUE"""),"")</f>
        <v/>
      </c>
      <c r="F86" s="82" t="str">
        <f>IFERROR(__xludf.DUMMYFUNCTION("""COMPUTED_VALUE"""),"")</f>
        <v/>
      </c>
      <c r="G86" s="52" t="str">
        <f>IFERROR(__xludf.DUMMYFUNCTION("""COMPUTED_VALUE"""),"")</f>
        <v/>
      </c>
      <c r="H86" s="53" t="str">
        <f>IFERROR(__xludf.DUMMYFUNCTION("""COMPUTED_VALUE"""),"")</f>
        <v/>
      </c>
      <c r="I86" s="53" t="str">
        <f>IFERROR(__xludf.DUMMYFUNCTION("""COMPUTED_VALUE"""),"")</f>
        <v/>
      </c>
      <c r="J86" s="53" t="str">
        <f>IFERROR(__xludf.DUMMYFUNCTION("""COMPUTED_VALUE"""),"")</f>
        <v/>
      </c>
      <c r="K86" s="54" t="str">
        <f>IFERROR(__xludf.DUMMYFUNCTION("""COMPUTED_VALUE"""),"")</f>
        <v/>
      </c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6"/>
      <c r="W86" s="56"/>
      <c r="X86" s="56"/>
      <c r="Y86" s="56"/>
      <c r="Z86" s="57"/>
      <c r="AA86" s="58"/>
      <c r="AB86" s="59"/>
    </row>
    <row r="87" ht="13.5" customHeight="1">
      <c r="A87" s="60" t="str">
        <f>IFERROR(__xludf.DUMMYFUNCTION("""COMPUTED_VALUE"""),"")</f>
        <v/>
      </c>
      <c r="B87" s="64" t="str">
        <f>IFERROR(__xludf.DUMMYFUNCTION("""COMPUTED_VALUE"""),"")</f>
        <v/>
      </c>
      <c r="C87" s="63" t="str">
        <f>IFERROR(__xludf.DUMMYFUNCTION("""COMPUTED_VALUE"""),"")</f>
        <v/>
      </c>
      <c r="D87" s="63" t="str">
        <f>IFERROR(__xludf.DUMMYFUNCTION("""COMPUTED_VALUE"""),"")</f>
        <v/>
      </c>
      <c r="E87" s="51" t="str">
        <f>IFERROR(__xludf.DUMMYFUNCTION("""COMPUTED_VALUE"""),"")</f>
        <v/>
      </c>
      <c r="F87" s="82" t="str">
        <f>IFERROR(__xludf.DUMMYFUNCTION("""COMPUTED_VALUE"""),"")</f>
        <v/>
      </c>
      <c r="G87" s="52" t="str">
        <f>IFERROR(__xludf.DUMMYFUNCTION("""COMPUTED_VALUE"""),"")</f>
        <v/>
      </c>
      <c r="H87" s="53" t="str">
        <f>IFERROR(__xludf.DUMMYFUNCTION("""COMPUTED_VALUE"""),"")</f>
        <v/>
      </c>
      <c r="I87" s="53" t="str">
        <f>IFERROR(__xludf.DUMMYFUNCTION("""COMPUTED_VALUE"""),"")</f>
        <v/>
      </c>
      <c r="J87" s="53" t="str">
        <f>IFERROR(__xludf.DUMMYFUNCTION("""COMPUTED_VALUE"""),"")</f>
        <v/>
      </c>
      <c r="K87" s="54" t="str">
        <f>IFERROR(__xludf.DUMMYFUNCTION("""COMPUTED_VALUE"""),"")</f>
        <v/>
      </c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6"/>
      <c r="W87" s="56"/>
      <c r="X87" s="56"/>
      <c r="Y87" s="56"/>
      <c r="Z87" s="57"/>
      <c r="AA87" s="58"/>
      <c r="AB87" s="59"/>
    </row>
    <row r="88" ht="13.5" customHeight="1">
      <c r="A88" s="60" t="str">
        <f>IFERROR(__xludf.DUMMYFUNCTION("""COMPUTED_VALUE"""),"")</f>
        <v/>
      </c>
      <c r="B88" s="64" t="str">
        <f>IFERROR(__xludf.DUMMYFUNCTION("""COMPUTED_VALUE"""),"")</f>
        <v/>
      </c>
      <c r="C88" s="63" t="str">
        <f>IFERROR(__xludf.DUMMYFUNCTION("""COMPUTED_VALUE"""),"")</f>
        <v/>
      </c>
      <c r="D88" s="63" t="str">
        <f>IFERROR(__xludf.DUMMYFUNCTION("""COMPUTED_VALUE"""),"")</f>
        <v/>
      </c>
      <c r="E88" s="51" t="str">
        <f>IFERROR(__xludf.DUMMYFUNCTION("""COMPUTED_VALUE"""),"")</f>
        <v/>
      </c>
      <c r="F88" s="82" t="str">
        <f>IFERROR(__xludf.DUMMYFUNCTION("""COMPUTED_VALUE"""),"")</f>
        <v/>
      </c>
      <c r="G88" s="52" t="str">
        <f>IFERROR(__xludf.DUMMYFUNCTION("""COMPUTED_VALUE"""),"")</f>
        <v/>
      </c>
      <c r="H88" s="53" t="str">
        <f>IFERROR(__xludf.DUMMYFUNCTION("""COMPUTED_VALUE"""),"")</f>
        <v/>
      </c>
      <c r="I88" s="53" t="str">
        <f>IFERROR(__xludf.DUMMYFUNCTION("""COMPUTED_VALUE"""),"")</f>
        <v/>
      </c>
      <c r="J88" s="53" t="str">
        <f>IFERROR(__xludf.DUMMYFUNCTION("""COMPUTED_VALUE"""),"")</f>
        <v/>
      </c>
      <c r="K88" s="54" t="str">
        <f>IFERROR(__xludf.DUMMYFUNCTION("""COMPUTED_VALUE"""),"")</f>
        <v/>
      </c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6"/>
      <c r="W88" s="56"/>
      <c r="X88" s="56"/>
      <c r="Y88" s="56"/>
      <c r="Z88" s="57"/>
      <c r="AA88" s="58"/>
      <c r="AB88" s="59"/>
    </row>
    <row r="89" ht="13.5" customHeight="1">
      <c r="A89" s="60" t="str">
        <f>IFERROR(__xludf.DUMMYFUNCTION("""COMPUTED_VALUE"""),"")</f>
        <v/>
      </c>
      <c r="B89" s="64" t="str">
        <f>IFERROR(__xludf.DUMMYFUNCTION("""COMPUTED_VALUE"""),"")</f>
        <v/>
      </c>
      <c r="C89" s="63" t="str">
        <f>IFERROR(__xludf.DUMMYFUNCTION("""COMPUTED_VALUE"""),"")</f>
        <v/>
      </c>
      <c r="D89" s="63" t="str">
        <f>IFERROR(__xludf.DUMMYFUNCTION("""COMPUTED_VALUE"""),"")</f>
        <v/>
      </c>
      <c r="E89" s="51" t="str">
        <f>IFERROR(__xludf.DUMMYFUNCTION("""COMPUTED_VALUE"""),"")</f>
        <v/>
      </c>
      <c r="F89" s="82" t="str">
        <f>IFERROR(__xludf.DUMMYFUNCTION("""COMPUTED_VALUE"""),"")</f>
        <v/>
      </c>
      <c r="G89" s="52" t="str">
        <f>IFERROR(__xludf.DUMMYFUNCTION("""COMPUTED_VALUE"""),"")</f>
        <v/>
      </c>
      <c r="H89" s="53" t="str">
        <f>IFERROR(__xludf.DUMMYFUNCTION("""COMPUTED_VALUE"""),"")</f>
        <v/>
      </c>
      <c r="I89" s="53" t="str">
        <f>IFERROR(__xludf.DUMMYFUNCTION("""COMPUTED_VALUE"""),"")</f>
        <v/>
      </c>
      <c r="J89" s="53" t="str">
        <f>IFERROR(__xludf.DUMMYFUNCTION("""COMPUTED_VALUE"""),"")</f>
        <v/>
      </c>
      <c r="K89" s="54" t="str">
        <f>IFERROR(__xludf.DUMMYFUNCTION("""COMPUTED_VALUE"""),"")</f>
        <v/>
      </c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6"/>
      <c r="W89" s="56"/>
      <c r="X89" s="56"/>
      <c r="Y89" s="56"/>
      <c r="Z89" s="57"/>
      <c r="AA89" s="58"/>
      <c r="AB89" s="59"/>
    </row>
    <row r="90" ht="13.5" customHeight="1">
      <c r="A90" s="60" t="str">
        <f>IFERROR(__xludf.DUMMYFUNCTION("""COMPUTED_VALUE"""),"")</f>
        <v/>
      </c>
      <c r="B90" s="64" t="str">
        <f>IFERROR(__xludf.DUMMYFUNCTION("""COMPUTED_VALUE"""),"")</f>
        <v/>
      </c>
      <c r="C90" s="63" t="str">
        <f>IFERROR(__xludf.DUMMYFUNCTION("""COMPUTED_VALUE"""),"")</f>
        <v/>
      </c>
      <c r="D90" s="63" t="str">
        <f>IFERROR(__xludf.DUMMYFUNCTION("""COMPUTED_VALUE"""),"")</f>
        <v/>
      </c>
      <c r="E90" s="51" t="str">
        <f>IFERROR(__xludf.DUMMYFUNCTION("""COMPUTED_VALUE"""),"")</f>
        <v/>
      </c>
      <c r="F90" s="82" t="str">
        <f>IFERROR(__xludf.DUMMYFUNCTION("""COMPUTED_VALUE"""),"")</f>
        <v/>
      </c>
      <c r="G90" s="52" t="str">
        <f>IFERROR(__xludf.DUMMYFUNCTION("""COMPUTED_VALUE"""),"")</f>
        <v/>
      </c>
      <c r="H90" s="53" t="str">
        <f>IFERROR(__xludf.DUMMYFUNCTION("""COMPUTED_VALUE"""),"")</f>
        <v/>
      </c>
      <c r="I90" s="53" t="str">
        <f>IFERROR(__xludf.DUMMYFUNCTION("""COMPUTED_VALUE"""),"")</f>
        <v/>
      </c>
      <c r="J90" s="53" t="str">
        <f>IFERROR(__xludf.DUMMYFUNCTION("""COMPUTED_VALUE"""),"")</f>
        <v/>
      </c>
      <c r="K90" s="54" t="str">
        <f>IFERROR(__xludf.DUMMYFUNCTION("""COMPUTED_VALUE"""),"")</f>
        <v/>
      </c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6"/>
      <c r="W90" s="56"/>
      <c r="X90" s="56"/>
      <c r="Y90" s="56"/>
      <c r="Z90" s="57"/>
      <c r="AA90" s="58"/>
      <c r="AB90" s="59"/>
    </row>
    <row r="91" ht="13.5" customHeight="1">
      <c r="A91" s="60" t="str">
        <f>IFERROR(__xludf.DUMMYFUNCTION("""COMPUTED_VALUE"""),"")</f>
        <v/>
      </c>
      <c r="B91" s="64" t="str">
        <f>IFERROR(__xludf.DUMMYFUNCTION("""COMPUTED_VALUE"""),"")</f>
        <v/>
      </c>
      <c r="C91" s="63" t="str">
        <f>IFERROR(__xludf.DUMMYFUNCTION("""COMPUTED_VALUE"""),"")</f>
        <v/>
      </c>
      <c r="D91" s="63" t="str">
        <f>IFERROR(__xludf.DUMMYFUNCTION("""COMPUTED_VALUE"""),"")</f>
        <v/>
      </c>
      <c r="E91" s="51" t="str">
        <f>IFERROR(__xludf.DUMMYFUNCTION("""COMPUTED_VALUE"""),"")</f>
        <v/>
      </c>
      <c r="F91" s="82" t="str">
        <f>IFERROR(__xludf.DUMMYFUNCTION("""COMPUTED_VALUE"""),"")</f>
        <v/>
      </c>
      <c r="G91" s="52" t="str">
        <f>IFERROR(__xludf.DUMMYFUNCTION("""COMPUTED_VALUE"""),"")</f>
        <v/>
      </c>
      <c r="H91" s="53" t="str">
        <f>IFERROR(__xludf.DUMMYFUNCTION("""COMPUTED_VALUE"""),"")</f>
        <v/>
      </c>
      <c r="I91" s="53" t="str">
        <f>IFERROR(__xludf.DUMMYFUNCTION("""COMPUTED_VALUE"""),"")</f>
        <v/>
      </c>
      <c r="J91" s="53" t="str">
        <f>IFERROR(__xludf.DUMMYFUNCTION("""COMPUTED_VALUE"""),"")</f>
        <v/>
      </c>
      <c r="K91" s="54" t="str">
        <f>IFERROR(__xludf.DUMMYFUNCTION("""COMPUTED_VALUE"""),"")</f>
        <v/>
      </c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6"/>
      <c r="W91" s="56"/>
      <c r="X91" s="56"/>
      <c r="Y91" s="56"/>
      <c r="Z91" s="57"/>
      <c r="AA91" s="58"/>
      <c r="AB91" s="59"/>
    </row>
    <row r="92" ht="13.5" customHeight="1">
      <c r="A92" s="60" t="str">
        <f>IFERROR(__xludf.DUMMYFUNCTION("""COMPUTED_VALUE"""),"")</f>
        <v/>
      </c>
      <c r="B92" s="64" t="str">
        <f>IFERROR(__xludf.DUMMYFUNCTION("""COMPUTED_VALUE"""),"")</f>
        <v/>
      </c>
      <c r="C92" s="63" t="str">
        <f>IFERROR(__xludf.DUMMYFUNCTION("""COMPUTED_VALUE"""),"")</f>
        <v/>
      </c>
      <c r="D92" s="63" t="str">
        <f>IFERROR(__xludf.DUMMYFUNCTION("""COMPUTED_VALUE"""),"")</f>
        <v/>
      </c>
      <c r="E92" s="51" t="str">
        <f>IFERROR(__xludf.DUMMYFUNCTION("""COMPUTED_VALUE"""),"")</f>
        <v/>
      </c>
      <c r="F92" s="82" t="str">
        <f>IFERROR(__xludf.DUMMYFUNCTION("""COMPUTED_VALUE"""),"")</f>
        <v/>
      </c>
      <c r="G92" s="52" t="str">
        <f>IFERROR(__xludf.DUMMYFUNCTION("""COMPUTED_VALUE"""),"")</f>
        <v/>
      </c>
      <c r="H92" s="53" t="str">
        <f>IFERROR(__xludf.DUMMYFUNCTION("""COMPUTED_VALUE"""),"")</f>
        <v/>
      </c>
      <c r="I92" s="53" t="str">
        <f>IFERROR(__xludf.DUMMYFUNCTION("""COMPUTED_VALUE"""),"")</f>
        <v/>
      </c>
      <c r="J92" s="53" t="str">
        <f>IFERROR(__xludf.DUMMYFUNCTION("""COMPUTED_VALUE"""),"")</f>
        <v/>
      </c>
      <c r="K92" s="54" t="str">
        <f>IFERROR(__xludf.DUMMYFUNCTION("""COMPUTED_VALUE"""),"")</f>
        <v/>
      </c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6"/>
      <c r="W92" s="56"/>
      <c r="X92" s="56"/>
      <c r="Y92" s="56"/>
      <c r="Z92" s="57"/>
      <c r="AA92" s="58"/>
      <c r="AB92" s="59"/>
    </row>
    <row r="93" ht="13.5" customHeight="1">
      <c r="A93" s="60" t="str">
        <f>IFERROR(__xludf.DUMMYFUNCTION("""COMPUTED_VALUE"""),"")</f>
        <v/>
      </c>
      <c r="B93" s="64" t="str">
        <f>IFERROR(__xludf.DUMMYFUNCTION("""COMPUTED_VALUE"""),"")</f>
        <v/>
      </c>
      <c r="C93" s="63" t="str">
        <f>IFERROR(__xludf.DUMMYFUNCTION("""COMPUTED_VALUE"""),"")</f>
        <v/>
      </c>
      <c r="D93" s="63" t="str">
        <f>IFERROR(__xludf.DUMMYFUNCTION("""COMPUTED_VALUE"""),"")</f>
        <v/>
      </c>
      <c r="E93" s="51" t="str">
        <f>IFERROR(__xludf.DUMMYFUNCTION("""COMPUTED_VALUE"""),"")</f>
        <v/>
      </c>
      <c r="F93" s="82" t="str">
        <f>IFERROR(__xludf.DUMMYFUNCTION("""COMPUTED_VALUE"""),"")</f>
        <v/>
      </c>
      <c r="G93" s="52" t="str">
        <f>IFERROR(__xludf.DUMMYFUNCTION("""COMPUTED_VALUE"""),"")</f>
        <v/>
      </c>
      <c r="H93" s="53" t="str">
        <f>IFERROR(__xludf.DUMMYFUNCTION("""COMPUTED_VALUE"""),"")</f>
        <v/>
      </c>
      <c r="I93" s="53" t="str">
        <f>IFERROR(__xludf.DUMMYFUNCTION("""COMPUTED_VALUE"""),"")</f>
        <v/>
      </c>
      <c r="J93" s="53" t="str">
        <f>IFERROR(__xludf.DUMMYFUNCTION("""COMPUTED_VALUE"""),"")</f>
        <v/>
      </c>
      <c r="K93" s="54" t="str">
        <f>IFERROR(__xludf.DUMMYFUNCTION("""COMPUTED_VALUE"""),"")</f>
        <v/>
      </c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6"/>
      <c r="W93" s="56"/>
      <c r="X93" s="56"/>
      <c r="Y93" s="56"/>
      <c r="Z93" s="57"/>
      <c r="AA93" s="58"/>
      <c r="AB93" s="59"/>
    </row>
    <row r="94" ht="13.5" customHeight="1">
      <c r="A94" s="60" t="str">
        <f>IFERROR(__xludf.DUMMYFUNCTION("""COMPUTED_VALUE"""),"")</f>
        <v/>
      </c>
      <c r="B94" s="64" t="str">
        <f>IFERROR(__xludf.DUMMYFUNCTION("""COMPUTED_VALUE"""),"")</f>
        <v/>
      </c>
      <c r="C94" s="63" t="str">
        <f>IFERROR(__xludf.DUMMYFUNCTION("""COMPUTED_VALUE"""),"")</f>
        <v/>
      </c>
      <c r="D94" s="63" t="str">
        <f>IFERROR(__xludf.DUMMYFUNCTION("""COMPUTED_VALUE"""),"")</f>
        <v/>
      </c>
      <c r="E94" s="51" t="str">
        <f>IFERROR(__xludf.DUMMYFUNCTION("""COMPUTED_VALUE"""),"")</f>
        <v/>
      </c>
      <c r="F94" s="82" t="str">
        <f>IFERROR(__xludf.DUMMYFUNCTION("""COMPUTED_VALUE"""),"")</f>
        <v/>
      </c>
      <c r="G94" s="52" t="str">
        <f>IFERROR(__xludf.DUMMYFUNCTION("""COMPUTED_VALUE"""),"")</f>
        <v/>
      </c>
      <c r="H94" s="53" t="str">
        <f>IFERROR(__xludf.DUMMYFUNCTION("""COMPUTED_VALUE"""),"")</f>
        <v/>
      </c>
      <c r="I94" s="53" t="str">
        <f>IFERROR(__xludf.DUMMYFUNCTION("""COMPUTED_VALUE"""),"")</f>
        <v/>
      </c>
      <c r="J94" s="53" t="str">
        <f>IFERROR(__xludf.DUMMYFUNCTION("""COMPUTED_VALUE"""),"")</f>
        <v/>
      </c>
      <c r="K94" s="54" t="str">
        <f>IFERROR(__xludf.DUMMYFUNCTION("""COMPUTED_VALUE"""),"")</f>
        <v/>
      </c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6"/>
      <c r="W94" s="56"/>
      <c r="X94" s="56"/>
      <c r="Y94" s="56"/>
      <c r="Z94" s="57"/>
      <c r="AA94" s="58"/>
      <c r="AB94" s="59"/>
    </row>
    <row r="95" ht="13.5" customHeight="1">
      <c r="A95" s="60" t="str">
        <f>IFERROR(__xludf.DUMMYFUNCTION("""COMPUTED_VALUE"""),"")</f>
        <v/>
      </c>
      <c r="B95" s="64" t="str">
        <f>IFERROR(__xludf.DUMMYFUNCTION("""COMPUTED_VALUE"""),"")</f>
        <v/>
      </c>
      <c r="C95" s="63" t="str">
        <f>IFERROR(__xludf.DUMMYFUNCTION("""COMPUTED_VALUE"""),"")</f>
        <v/>
      </c>
      <c r="D95" s="63" t="str">
        <f>IFERROR(__xludf.DUMMYFUNCTION("""COMPUTED_VALUE"""),"")</f>
        <v/>
      </c>
      <c r="E95" s="51" t="str">
        <f>IFERROR(__xludf.DUMMYFUNCTION("""COMPUTED_VALUE"""),"")</f>
        <v/>
      </c>
      <c r="F95" s="82" t="str">
        <f>IFERROR(__xludf.DUMMYFUNCTION("""COMPUTED_VALUE"""),"")</f>
        <v/>
      </c>
      <c r="G95" s="52" t="str">
        <f>IFERROR(__xludf.DUMMYFUNCTION("""COMPUTED_VALUE"""),"")</f>
        <v/>
      </c>
      <c r="H95" s="53" t="str">
        <f>IFERROR(__xludf.DUMMYFUNCTION("""COMPUTED_VALUE"""),"")</f>
        <v/>
      </c>
      <c r="I95" s="53" t="str">
        <f>IFERROR(__xludf.DUMMYFUNCTION("""COMPUTED_VALUE"""),"")</f>
        <v/>
      </c>
      <c r="J95" s="53" t="str">
        <f>IFERROR(__xludf.DUMMYFUNCTION("""COMPUTED_VALUE"""),"")</f>
        <v/>
      </c>
      <c r="K95" s="54" t="str">
        <f>IFERROR(__xludf.DUMMYFUNCTION("""COMPUTED_VALUE"""),"")</f>
        <v/>
      </c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6"/>
      <c r="W95" s="56"/>
      <c r="X95" s="56"/>
      <c r="Y95" s="56"/>
      <c r="Z95" s="57"/>
      <c r="AA95" s="58"/>
      <c r="AB95" s="59"/>
    </row>
    <row r="96" ht="13.5" customHeight="1">
      <c r="A96" s="60" t="str">
        <f>IFERROR(__xludf.DUMMYFUNCTION("""COMPUTED_VALUE"""),"")</f>
        <v/>
      </c>
      <c r="B96" s="64" t="str">
        <f>IFERROR(__xludf.DUMMYFUNCTION("""COMPUTED_VALUE"""),"")</f>
        <v/>
      </c>
      <c r="C96" s="63" t="str">
        <f>IFERROR(__xludf.DUMMYFUNCTION("""COMPUTED_VALUE"""),"")</f>
        <v/>
      </c>
      <c r="D96" s="63" t="str">
        <f>IFERROR(__xludf.DUMMYFUNCTION("""COMPUTED_VALUE"""),"")</f>
        <v/>
      </c>
      <c r="E96" s="51" t="str">
        <f>IFERROR(__xludf.DUMMYFUNCTION("""COMPUTED_VALUE"""),"")</f>
        <v/>
      </c>
      <c r="F96" s="82" t="str">
        <f>IFERROR(__xludf.DUMMYFUNCTION("""COMPUTED_VALUE"""),"")</f>
        <v/>
      </c>
      <c r="G96" s="52" t="str">
        <f>IFERROR(__xludf.DUMMYFUNCTION("""COMPUTED_VALUE"""),"")</f>
        <v/>
      </c>
      <c r="H96" s="53" t="str">
        <f>IFERROR(__xludf.DUMMYFUNCTION("""COMPUTED_VALUE"""),"")</f>
        <v/>
      </c>
      <c r="I96" s="53" t="str">
        <f>IFERROR(__xludf.DUMMYFUNCTION("""COMPUTED_VALUE"""),"")</f>
        <v/>
      </c>
      <c r="J96" s="53" t="str">
        <f>IFERROR(__xludf.DUMMYFUNCTION("""COMPUTED_VALUE"""),"")</f>
        <v/>
      </c>
      <c r="K96" s="54" t="str">
        <f>IFERROR(__xludf.DUMMYFUNCTION("""COMPUTED_VALUE"""),"")</f>
        <v/>
      </c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6"/>
      <c r="W96" s="56"/>
      <c r="X96" s="56"/>
      <c r="Y96" s="56"/>
      <c r="Z96" s="57"/>
      <c r="AA96" s="58"/>
      <c r="AB96" s="59"/>
    </row>
    <row r="97" ht="13.5" customHeight="1">
      <c r="A97" s="60" t="str">
        <f>IFERROR(__xludf.DUMMYFUNCTION("""COMPUTED_VALUE"""),"")</f>
        <v/>
      </c>
      <c r="B97" s="64" t="str">
        <f>IFERROR(__xludf.DUMMYFUNCTION("""COMPUTED_VALUE"""),"")</f>
        <v/>
      </c>
      <c r="C97" s="63" t="str">
        <f>IFERROR(__xludf.DUMMYFUNCTION("""COMPUTED_VALUE"""),"")</f>
        <v/>
      </c>
      <c r="D97" s="63" t="str">
        <f>IFERROR(__xludf.DUMMYFUNCTION("""COMPUTED_VALUE"""),"")</f>
        <v/>
      </c>
      <c r="E97" s="51" t="str">
        <f>IFERROR(__xludf.DUMMYFUNCTION("""COMPUTED_VALUE"""),"")</f>
        <v/>
      </c>
      <c r="F97" s="82" t="str">
        <f>IFERROR(__xludf.DUMMYFUNCTION("""COMPUTED_VALUE"""),"")</f>
        <v/>
      </c>
      <c r="G97" s="52" t="str">
        <f>IFERROR(__xludf.DUMMYFUNCTION("""COMPUTED_VALUE"""),"")</f>
        <v/>
      </c>
      <c r="H97" s="53" t="str">
        <f>IFERROR(__xludf.DUMMYFUNCTION("""COMPUTED_VALUE"""),"")</f>
        <v/>
      </c>
      <c r="I97" s="53" t="str">
        <f>IFERROR(__xludf.DUMMYFUNCTION("""COMPUTED_VALUE"""),"")</f>
        <v/>
      </c>
      <c r="J97" s="53" t="str">
        <f>IFERROR(__xludf.DUMMYFUNCTION("""COMPUTED_VALUE"""),"")</f>
        <v/>
      </c>
      <c r="K97" s="54" t="str">
        <f>IFERROR(__xludf.DUMMYFUNCTION("""COMPUTED_VALUE"""),"")</f>
        <v/>
      </c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6"/>
      <c r="W97" s="56"/>
      <c r="X97" s="56"/>
      <c r="Y97" s="56"/>
      <c r="Z97" s="57"/>
      <c r="AA97" s="58"/>
      <c r="AB97" s="59"/>
    </row>
    <row r="98" ht="13.5" customHeight="1">
      <c r="A98" s="60" t="str">
        <f>IFERROR(__xludf.DUMMYFUNCTION("""COMPUTED_VALUE"""),"")</f>
        <v/>
      </c>
      <c r="B98" s="64" t="str">
        <f>IFERROR(__xludf.DUMMYFUNCTION("""COMPUTED_VALUE"""),"")</f>
        <v/>
      </c>
      <c r="C98" s="63" t="str">
        <f>IFERROR(__xludf.DUMMYFUNCTION("""COMPUTED_VALUE"""),"")</f>
        <v/>
      </c>
      <c r="D98" s="63" t="str">
        <f>IFERROR(__xludf.DUMMYFUNCTION("""COMPUTED_VALUE"""),"")</f>
        <v/>
      </c>
      <c r="E98" s="51" t="str">
        <f>IFERROR(__xludf.DUMMYFUNCTION("""COMPUTED_VALUE"""),"")</f>
        <v/>
      </c>
      <c r="F98" s="82" t="str">
        <f>IFERROR(__xludf.DUMMYFUNCTION("""COMPUTED_VALUE"""),"")</f>
        <v/>
      </c>
      <c r="G98" s="52" t="str">
        <f>IFERROR(__xludf.DUMMYFUNCTION("""COMPUTED_VALUE"""),"")</f>
        <v/>
      </c>
      <c r="H98" s="53" t="str">
        <f>IFERROR(__xludf.DUMMYFUNCTION("""COMPUTED_VALUE"""),"")</f>
        <v/>
      </c>
      <c r="I98" s="53" t="str">
        <f>IFERROR(__xludf.DUMMYFUNCTION("""COMPUTED_VALUE"""),"")</f>
        <v/>
      </c>
      <c r="J98" s="53" t="str">
        <f>IFERROR(__xludf.DUMMYFUNCTION("""COMPUTED_VALUE"""),"")</f>
        <v/>
      </c>
      <c r="K98" s="54" t="str">
        <f>IFERROR(__xludf.DUMMYFUNCTION("""COMPUTED_VALUE"""),"")</f>
        <v/>
      </c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6"/>
      <c r="W98" s="56"/>
      <c r="X98" s="56"/>
      <c r="Y98" s="56"/>
      <c r="Z98" s="57"/>
      <c r="AA98" s="58"/>
      <c r="AB98" s="59"/>
    </row>
    <row r="99" ht="13.5" customHeight="1">
      <c r="A99" s="60" t="str">
        <f>IFERROR(__xludf.DUMMYFUNCTION("""COMPUTED_VALUE"""),"")</f>
        <v/>
      </c>
      <c r="B99" s="64" t="str">
        <f>IFERROR(__xludf.DUMMYFUNCTION("""COMPUTED_VALUE"""),"")</f>
        <v/>
      </c>
      <c r="C99" s="63" t="str">
        <f>IFERROR(__xludf.DUMMYFUNCTION("""COMPUTED_VALUE"""),"")</f>
        <v/>
      </c>
      <c r="D99" s="63" t="str">
        <f>IFERROR(__xludf.DUMMYFUNCTION("""COMPUTED_VALUE"""),"")</f>
        <v/>
      </c>
      <c r="E99" s="51" t="str">
        <f>IFERROR(__xludf.DUMMYFUNCTION("""COMPUTED_VALUE"""),"")</f>
        <v/>
      </c>
      <c r="F99" s="82" t="str">
        <f>IFERROR(__xludf.DUMMYFUNCTION("""COMPUTED_VALUE"""),"")</f>
        <v/>
      </c>
      <c r="G99" s="52" t="str">
        <f>IFERROR(__xludf.DUMMYFUNCTION("""COMPUTED_VALUE"""),"")</f>
        <v/>
      </c>
      <c r="H99" s="53" t="str">
        <f>IFERROR(__xludf.DUMMYFUNCTION("""COMPUTED_VALUE"""),"")</f>
        <v/>
      </c>
      <c r="I99" s="53" t="str">
        <f>IFERROR(__xludf.DUMMYFUNCTION("""COMPUTED_VALUE"""),"")</f>
        <v/>
      </c>
      <c r="J99" s="53" t="str">
        <f>IFERROR(__xludf.DUMMYFUNCTION("""COMPUTED_VALUE"""),"")</f>
        <v/>
      </c>
      <c r="K99" s="54" t="str">
        <f>IFERROR(__xludf.DUMMYFUNCTION("""COMPUTED_VALUE"""),"")</f>
        <v/>
      </c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6"/>
      <c r="W99" s="56"/>
      <c r="X99" s="56"/>
      <c r="Y99" s="56"/>
      <c r="Z99" s="57"/>
      <c r="AA99" s="58"/>
      <c r="AB99" s="59"/>
    </row>
    <row r="100" ht="13.5" customHeight="1">
      <c r="A100" s="60" t="str">
        <f>IFERROR(__xludf.DUMMYFUNCTION("""COMPUTED_VALUE"""),"")</f>
        <v/>
      </c>
      <c r="B100" s="64" t="str">
        <f>IFERROR(__xludf.DUMMYFUNCTION("""COMPUTED_VALUE"""),"")</f>
        <v/>
      </c>
      <c r="C100" s="63" t="str">
        <f>IFERROR(__xludf.DUMMYFUNCTION("""COMPUTED_VALUE"""),"")</f>
        <v/>
      </c>
      <c r="D100" s="63" t="str">
        <f>IFERROR(__xludf.DUMMYFUNCTION("""COMPUTED_VALUE"""),"")</f>
        <v/>
      </c>
      <c r="E100" s="51" t="str">
        <f>IFERROR(__xludf.DUMMYFUNCTION("""COMPUTED_VALUE"""),"")</f>
        <v/>
      </c>
      <c r="F100" s="82" t="str">
        <f>IFERROR(__xludf.DUMMYFUNCTION("""COMPUTED_VALUE"""),"")</f>
        <v/>
      </c>
      <c r="G100" s="52" t="str">
        <f>IFERROR(__xludf.DUMMYFUNCTION("""COMPUTED_VALUE"""),"")</f>
        <v/>
      </c>
      <c r="H100" s="53" t="str">
        <f>IFERROR(__xludf.DUMMYFUNCTION("""COMPUTED_VALUE"""),"")</f>
        <v/>
      </c>
      <c r="I100" s="53" t="str">
        <f>IFERROR(__xludf.DUMMYFUNCTION("""COMPUTED_VALUE"""),"")</f>
        <v/>
      </c>
      <c r="J100" s="53" t="str">
        <f>IFERROR(__xludf.DUMMYFUNCTION("""COMPUTED_VALUE"""),"")</f>
        <v/>
      </c>
      <c r="K100" s="54" t="str">
        <f>IFERROR(__xludf.DUMMYFUNCTION("""COMPUTED_VALUE"""),"")</f>
        <v/>
      </c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6"/>
      <c r="W100" s="56"/>
      <c r="X100" s="56"/>
      <c r="Y100" s="56"/>
      <c r="Z100" s="57"/>
      <c r="AA100" s="58"/>
      <c r="AB100" s="59"/>
    </row>
    <row r="101" ht="13.5" customHeight="1">
      <c r="A101" s="60" t="str">
        <f>IFERROR(__xludf.DUMMYFUNCTION("""COMPUTED_VALUE"""),"")</f>
        <v/>
      </c>
      <c r="B101" s="64" t="str">
        <f>IFERROR(__xludf.DUMMYFUNCTION("""COMPUTED_VALUE"""),"")</f>
        <v/>
      </c>
      <c r="C101" s="63" t="str">
        <f>IFERROR(__xludf.DUMMYFUNCTION("""COMPUTED_VALUE"""),"")</f>
        <v/>
      </c>
      <c r="D101" s="63" t="str">
        <f>IFERROR(__xludf.DUMMYFUNCTION("""COMPUTED_VALUE"""),"")</f>
        <v/>
      </c>
      <c r="E101" s="51" t="str">
        <f>IFERROR(__xludf.DUMMYFUNCTION("""COMPUTED_VALUE"""),"")</f>
        <v/>
      </c>
      <c r="F101" s="82" t="str">
        <f>IFERROR(__xludf.DUMMYFUNCTION("""COMPUTED_VALUE"""),"")</f>
        <v/>
      </c>
      <c r="G101" s="52" t="str">
        <f>IFERROR(__xludf.DUMMYFUNCTION("""COMPUTED_VALUE"""),"")</f>
        <v/>
      </c>
      <c r="H101" s="53" t="str">
        <f>IFERROR(__xludf.DUMMYFUNCTION("""COMPUTED_VALUE"""),"")</f>
        <v/>
      </c>
      <c r="I101" s="53" t="str">
        <f>IFERROR(__xludf.DUMMYFUNCTION("""COMPUTED_VALUE"""),"")</f>
        <v/>
      </c>
      <c r="J101" s="53" t="str">
        <f>IFERROR(__xludf.DUMMYFUNCTION("""COMPUTED_VALUE"""),"")</f>
        <v/>
      </c>
      <c r="K101" s="54" t="str">
        <f>IFERROR(__xludf.DUMMYFUNCTION("""COMPUTED_VALUE"""),"")</f>
        <v/>
      </c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6"/>
      <c r="W101" s="56"/>
      <c r="X101" s="56"/>
      <c r="Y101" s="56"/>
      <c r="Z101" s="57"/>
      <c r="AA101" s="58"/>
      <c r="AB101" s="59"/>
    </row>
    <row r="102" ht="13.5" customHeight="1">
      <c r="A102" s="60" t="str">
        <f>IFERROR(__xludf.DUMMYFUNCTION("""COMPUTED_VALUE"""),"")</f>
        <v/>
      </c>
      <c r="B102" s="64" t="str">
        <f>IFERROR(__xludf.DUMMYFUNCTION("""COMPUTED_VALUE"""),"")</f>
        <v/>
      </c>
      <c r="C102" s="63" t="str">
        <f>IFERROR(__xludf.DUMMYFUNCTION("""COMPUTED_VALUE"""),"")</f>
        <v/>
      </c>
      <c r="D102" s="63" t="str">
        <f>IFERROR(__xludf.DUMMYFUNCTION("""COMPUTED_VALUE"""),"")</f>
        <v/>
      </c>
      <c r="E102" s="51" t="str">
        <f>IFERROR(__xludf.DUMMYFUNCTION("""COMPUTED_VALUE"""),"")</f>
        <v/>
      </c>
      <c r="F102" s="82" t="str">
        <f>IFERROR(__xludf.DUMMYFUNCTION("""COMPUTED_VALUE"""),"")</f>
        <v/>
      </c>
      <c r="G102" s="52" t="str">
        <f>IFERROR(__xludf.DUMMYFUNCTION("""COMPUTED_VALUE"""),"")</f>
        <v/>
      </c>
      <c r="H102" s="53" t="str">
        <f>IFERROR(__xludf.DUMMYFUNCTION("""COMPUTED_VALUE"""),"")</f>
        <v/>
      </c>
      <c r="I102" s="53" t="str">
        <f>IFERROR(__xludf.DUMMYFUNCTION("""COMPUTED_VALUE"""),"")</f>
        <v/>
      </c>
      <c r="J102" s="53" t="str">
        <f>IFERROR(__xludf.DUMMYFUNCTION("""COMPUTED_VALUE"""),"")</f>
        <v/>
      </c>
      <c r="K102" s="54" t="str">
        <f>IFERROR(__xludf.DUMMYFUNCTION("""COMPUTED_VALUE"""),"")</f>
        <v/>
      </c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6"/>
      <c r="W102" s="56"/>
      <c r="X102" s="56"/>
      <c r="Y102" s="56"/>
      <c r="Z102" s="57"/>
      <c r="AA102" s="58"/>
      <c r="AB102" s="59"/>
    </row>
    <row r="103" ht="13.5" customHeight="1">
      <c r="A103" s="60" t="str">
        <f>IFERROR(__xludf.DUMMYFUNCTION("""COMPUTED_VALUE"""),"")</f>
        <v/>
      </c>
      <c r="B103" s="64" t="str">
        <f>IFERROR(__xludf.DUMMYFUNCTION("""COMPUTED_VALUE"""),"")</f>
        <v/>
      </c>
      <c r="C103" s="63" t="str">
        <f>IFERROR(__xludf.DUMMYFUNCTION("""COMPUTED_VALUE"""),"")</f>
        <v/>
      </c>
      <c r="D103" s="63" t="str">
        <f>IFERROR(__xludf.DUMMYFUNCTION("""COMPUTED_VALUE"""),"")</f>
        <v/>
      </c>
      <c r="E103" s="51" t="str">
        <f>IFERROR(__xludf.DUMMYFUNCTION("""COMPUTED_VALUE"""),"")</f>
        <v/>
      </c>
      <c r="F103" s="82" t="str">
        <f>IFERROR(__xludf.DUMMYFUNCTION("""COMPUTED_VALUE"""),"")</f>
        <v/>
      </c>
      <c r="G103" s="52" t="str">
        <f>IFERROR(__xludf.DUMMYFUNCTION("""COMPUTED_VALUE"""),"")</f>
        <v/>
      </c>
      <c r="H103" s="53" t="str">
        <f>IFERROR(__xludf.DUMMYFUNCTION("""COMPUTED_VALUE"""),"")</f>
        <v/>
      </c>
      <c r="I103" s="53" t="str">
        <f>IFERROR(__xludf.DUMMYFUNCTION("""COMPUTED_VALUE"""),"")</f>
        <v/>
      </c>
      <c r="J103" s="53" t="str">
        <f>IFERROR(__xludf.DUMMYFUNCTION("""COMPUTED_VALUE"""),"")</f>
        <v/>
      </c>
      <c r="K103" s="54" t="str">
        <f>IFERROR(__xludf.DUMMYFUNCTION("""COMPUTED_VALUE"""),"")</f>
        <v/>
      </c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6"/>
      <c r="W103" s="56"/>
      <c r="X103" s="56"/>
      <c r="Y103" s="56"/>
      <c r="Z103" s="57"/>
      <c r="AA103" s="58"/>
      <c r="AB103" s="59"/>
    </row>
    <row r="104" ht="13.5" customHeight="1">
      <c r="A104" s="60" t="str">
        <f>IFERROR(__xludf.DUMMYFUNCTION("""COMPUTED_VALUE"""),"")</f>
        <v/>
      </c>
      <c r="B104" s="64" t="str">
        <f>IFERROR(__xludf.DUMMYFUNCTION("""COMPUTED_VALUE"""),"")</f>
        <v/>
      </c>
      <c r="C104" s="63" t="str">
        <f>IFERROR(__xludf.DUMMYFUNCTION("""COMPUTED_VALUE"""),"")</f>
        <v/>
      </c>
      <c r="D104" s="63" t="str">
        <f>IFERROR(__xludf.DUMMYFUNCTION("""COMPUTED_VALUE"""),"")</f>
        <v/>
      </c>
      <c r="E104" s="51" t="str">
        <f>IFERROR(__xludf.DUMMYFUNCTION("""COMPUTED_VALUE"""),"")</f>
        <v/>
      </c>
      <c r="F104" s="82" t="str">
        <f>IFERROR(__xludf.DUMMYFUNCTION("""COMPUTED_VALUE"""),"")</f>
        <v/>
      </c>
      <c r="G104" s="52" t="str">
        <f>IFERROR(__xludf.DUMMYFUNCTION("""COMPUTED_VALUE"""),"")</f>
        <v/>
      </c>
      <c r="H104" s="53" t="str">
        <f>IFERROR(__xludf.DUMMYFUNCTION("""COMPUTED_VALUE"""),"")</f>
        <v/>
      </c>
      <c r="I104" s="53" t="str">
        <f>IFERROR(__xludf.DUMMYFUNCTION("""COMPUTED_VALUE"""),"")</f>
        <v/>
      </c>
      <c r="J104" s="53" t="str">
        <f>IFERROR(__xludf.DUMMYFUNCTION("""COMPUTED_VALUE"""),"")</f>
        <v/>
      </c>
      <c r="K104" s="54" t="str">
        <f>IFERROR(__xludf.DUMMYFUNCTION("""COMPUTED_VALUE"""),"")</f>
        <v/>
      </c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6"/>
      <c r="W104" s="56"/>
      <c r="X104" s="56"/>
      <c r="Y104" s="56"/>
      <c r="Z104" s="57"/>
      <c r="AA104" s="58"/>
      <c r="AB104" s="59"/>
    </row>
    <row r="105" ht="13.5" customHeight="1">
      <c r="A105" s="60" t="str">
        <f>IFERROR(__xludf.DUMMYFUNCTION("""COMPUTED_VALUE"""),"")</f>
        <v/>
      </c>
      <c r="B105" s="64" t="str">
        <f>IFERROR(__xludf.DUMMYFUNCTION("""COMPUTED_VALUE"""),"")</f>
        <v/>
      </c>
      <c r="C105" s="63" t="str">
        <f>IFERROR(__xludf.DUMMYFUNCTION("""COMPUTED_VALUE"""),"")</f>
        <v/>
      </c>
      <c r="D105" s="63" t="str">
        <f>IFERROR(__xludf.DUMMYFUNCTION("""COMPUTED_VALUE"""),"")</f>
        <v/>
      </c>
      <c r="E105" s="51" t="str">
        <f>IFERROR(__xludf.DUMMYFUNCTION("""COMPUTED_VALUE"""),"")</f>
        <v/>
      </c>
      <c r="F105" s="82" t="str">
        <f>IFERROR(__xludf.DUMMYFUNCTION("""COMPUTED_VALUE"""),"")</f>
        <v/>
      </c>
      <c r="G105" s="52" t="str">
        <f>IFERROR(__xludf.DUMMYFUNCTION("""COMPUTED_VALUE"""),"")</f>
        <v/>
      </c>
      <c r="H105" s="53" t="str">
        <f>IFERROR(__xludf.DUMMYFUNCTION("""COMPUTED_VALUE"""),"")</f>
        <v/>
      </c>
      <c r="I105" s="53" t="str">
        <f>IFERROR(__xludf.DUMMYFUNCTION("""COMPUTED_VALUE"""),"")</f>
        <v/>
      </c>
      <c r="J105" s="53" t="str">
        <f>IFERROR(__xludf.DUMMYFUNCTION("""COMPUTED_VALUE"""),"")</f>
        <v/>
      </c>
      <c r="K105" s="54" t="str">
        <f>IFERROR(__xludf.DUMMYFUNCTION("""COMPUTED_VALUE"""),"")</f>
        <v/>
      </c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6"/>
      <c r="W105" s="56"/>
      <c r="X105" s="56"/>
      <c r="Y105" s="56"/>
      <c r="Z105" s="57"/>
      <c r="AA105" s="58"/>
      <c r="AB105" s="59"/>
    </row>
    <row r="106" ht="13.5" customHeight="1">
      <c r="A106" s="60" t="str">
        <f>IFERROR(__xludf.DUMMYFUNCTION("""COMPUTED_VALUE"""),"")</f>
        <v/>
      </c>
      <c r="B106" s="64" t="str">
        <f>IFERROR(__xludf.DUMMYFUNCTION("""COMPUTED_VALUE"""),"")</f>
        <v/>
      </c>
      <c r="C106" s="63" t="str">
        <f>IFERROR(__xludf.DUMMYFUNCTION("""COMPUTED_VALUE"""),"")</f>
        <v/>
      </c>
      <c r="D106" s="63" t="str">
        <f>IFERROR(__xludf.DUMMYFUNCTION("""COMPUTED_VALUE"""),"")</f>
        <v/>
      </c>
      <c r="E106" s="51" t="str">
        <f>IFERROR(__xludf.DUMMYFUNCTION("""COMPUTED_VALUE"""),"")</f>
        <v/>
      </c>
      <c r="F106" s="82" t="str">
        <f>IFERROR(__xludf.DUMMYFUNCTION("""COMPUTED_VALUE"""),"")</f>
        <v/>
      </c>
      <c r="G106" s="52" t="str">
        <f>IFERROR(__xludf.DUMMYFUNCTION("""COMPUTED_VALUE"""),"")</f>
        <v/>
      </c>
      <c r="H106" s="53" t="str">
        <f>IFERROR(__xludf.DUMMYFUNCTION("""COMPUTED_VALUE"""),"")</f>
        <v/>
      </c>
      <c r="I106" s="53" t="str">
        <f>IFERROR(__xludf.DUMMYFUNCTION("""COMPUTED_VALUE"""),"")</f>
        <v/>
      </c>
      <c r="J106" s="53" t="str">
        <f>IFERROR(__xludf.DUMMYFUNCTION("""COMPUTED_VALUE"""),"")</f>
        <v/>
      </c>
      <c r="K106" s="54" t="str">
        <f>IFERROR(__xludf.DUMMYFUNCTION("""COMPUTED_VALUE"""),"")</f>
        <v/>
      </c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6"/>
      <c r="W106" s="56"/>
      <c r="X106" s="56"/>
      <c r="Y106" s="56"/>
      <c r="Z106" s="57"/>
      <c r="AA106" s="58"/>
      <c r="AB106" s="59"/>
    </row>
    <row r="107" ht="13.5" customHeight="1">
      <c r="A107" s="60" t="str">
        <f>IFERROR(__xludf.DUMMYFUNCTION("""COMPUTED_VALUE"""),"")</f>
        <v/>
      </c>
      <c r="B107" s="64" t="str">
        <f>IFERROR(__xludf.DUMMYFUNCTION("""COMPUTED_VALUE"""),"")</f>
        <v/>
      </c>
      <c r="C107" s="63" t="str">
        <f>IFERROR(__xludf.DUMMYFUNCTION("""COMPUTED_VALUE"""),"")</f>
        <v/>
      </c>
      <c r="D107" s="63" t="str">
        <f>IFERROR(__xludf.DUMMYFUNCTION("""COMPUTED_VALUE"""),"")</f>
        <v/>
      </c>
      <c r="E107" s="51" t="str">
        <f>IFERROR(__xludf.DUMMYFUNCTION("""COMPUTED_VALUE"""),"")</f>
        <v/>
      </c>
      <c r="F107" s="82" t="str">
        <f>IFERROR(__xludf.DUMMYFUNCTION("""COMPUTED_VALUE"""),"")</f>
        <v/>
      </c>
      <c r="G107" s="52" t="str">
        <f>IFERROR(__xludf.DUMMYFUNCTION("""COMPUTED_VALUE"""),"")</f>
        <v/>
      </c>
      <c r="H107" s="53" t="str">
        <f>IFERROR(__xludf.DUMMYFUNCTION("""COMPUTED_VALUE"""),"")</f>
        <v/>
      </c>
      <c r="I107" s="53" t="str">
        <f>IFERROR(__xludf.DUMMYFUNCTION("""COMPUTED_VALUE"""),"")</f>
        <v/>
      </c>
      <c r="J107" s="53" t="str">
        <f>IFERROR(__xludf.DUMMYFUNCTION("""COMPUTED_VALUE"""),"")</f>
        <v/>
      </c>
      <c r="K107" s="54" t="str">
        <f>IFERROR(__xludf.DUMMYFUNCTION("""COMPUTED_VALUE"""),"")</f>
        <v/>
      </c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6"/>
      <c r="W107" s="56"/>
      <c r="X107" s="56"/>
      <c r="Y107" s="56"/>
      <c r="Z107" s="57"/>
      <c r="AA107" s="58"/>
      <c r="AB107" s="59"/>
    </row>
    <row r="108" ht="13.5" customHeight="1">
      <c r="A108" s="60" t="str">
        <f>IFERROR(__xludf.DUMMYFUNCTION("""COMPUTED_VALUE"""),"")</f>
        <v/>
      </c>
      <c r="B108" s="64" t="str">
        <f>IFERROR(__xludf.DUMMYFUNCTION("""COMPUTED_VALUE"""),"")</f>
        <v/>
      </c>
      <c r="C108" s="63" t="str">
        <f>IFERROR(__xludf.DUMMYFUNCTION("""COMPUTED_VALUE"""),"")</f>
        <v/>
      </c>
      <c r="D108" s="63" t="str">
        <f>IFERROR(__xludf.DUMMYFUNCTION("""COMPUTED_VALUE"""),"")</f>
        <v/>
      </c>
      <c r="E108" s="51" t="str">
        <f>IFERROR(__xludf.DUMMYFUNCTION("""COMPUTED_VALUE"""),"")</f>
        <v/>
      </c>
      <c r="F108" s="82" t="str">
        <f>IFERROR(__xludf.DUMMYFUNCTION("""COMPUTED_VALUE"""),"")</f>
        <v/>
      </c>
      <c r="G108" s="52" t="str">
        <f>IFERROR(__xludf.DUMMYFUNCTION("""COMPUTED_VALUE"""),"")</f>
        <v/>
      </c>
      <c r="H108" s="53" t="str">
        <f>IFERROR(__xludf.DUMMYFUNCTION("""COMPUTED_VALUE"""),"")</f>
        <v/>
      </c>
      <c r="I108" s="53" t="str">
        <f>IFERROR(__xludf.DUMMYFUNCTION("""COMPUTED_VALUE"""),"")</f>
        <v/>
      </c>
      <c r="J108" s="53" t="str">
        <f>IFERROR(__xludf.DUMMYFUNCTION("""COMPUTED_VALUE"""),"")</f>
        <v/>
      </c>
      <c r="K108" s="54" t="str">
        <f>IFERROR(__xludf.DUMMYFUNCTION("""COMPUTED_VALUE"""),"")</f>
        <v/>
      </c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6"/>
      <c r="W108" s="56"/>
      <c r="X108" s="56"/>
      <c r="Y108" s="56"/>
      <c r="Z108" s="57"/>
      <c r="AA108" s="58"/>
      <c r="AB108" s="59"/>
    </row>
    <row r="109" ht="13.5" customHeight="1">
      <c r="A109" s="60" t="str">
        <f>IFERROR(__xludf.DUMMYFUNCTION("""COMPUTED_VALUE"""),"")</f>
        <v/>
      </c>
      <c r="B109" s="64" t="str">
        <f>IFERROR(__xludf.DUMMYFUNCTION("""COMPUTED_VALUE"""),"")</f>
        <v/>
      </c>
      <c r="C109" s="63" t="str">
        <f>IFERROR(__xludf.DUMMYFUNCTION("""COMPUTED_VALUE"""),"")</f>
        <v/>
      </c>
      <c r="D109" s="63" t="str">
        <f>IFERROR(__xludf.DUMMYFUNCTION("""COMPUTED_VALUE"""),"")</f>
        <v/>
      </c>
      <c r="E109" s="51" t="str">
        <f>IFERROR(__xludf.DUMMYFUNCTION("""COMPUTED_VALUE"""),"")</f>
        <v/>
      </c>
      <c r="F109" s="82" t="str">
        <f>IFERROR(__xludf.DUMMYFUNCTION("""COMPUTED_VALUE"""),"")</f>
        <v/>
      </c>
      <c r="G109" s="52" t="str">
        <f>IFERROR(__xludf.DUMMYFUNCTION("""COMPUTED_VALUE"""),"")</f>
        <v/>
      </c>
      <c r="H109" s="53" t="str">
        <f>IFERROR(__xludf.DUMMYFUNCTION("""COMPUTED_VALUE"""),"")</f>
        <v/>
      </c>
      <c r="I109" s="53" t="str">
        <f>IFERROR(__xludf.DUMMYFUNCTION("""COMPUTED_VALUE"""),"")</f>
        <v/>
      </c>
      <c r="J109" s="53" t="str">
        <f>IFERROR(__xludf.DUMMYFUNCTION("""COMPUTED_VALUE"""),"")</f>
        <v/>
      </c>
      <c r="K109" s="54" t="str">
        <f>IFERROR(__xludf.DUMMYFUNCTION("""COMPUTED_VALUE"""),"")</f>
        <v/>
      </c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6"/>
      <c r="W109" s="56"/>
      <c r="X109" s="56"/>
      <c r="Y109" s="56"/>
      <c r="Z109" s="57"/>
      <c r="AA109" s="58"/>
      <c r="AB109" s="59"/>
    </row>
    <row r="110" ht="13.5" customHeight="1">
      <c r="A110" s="60" t="str">
        <f>IFERROR(__xludf.DUMMYFUNCTION("""COMPUTED_VALUE"""),"")</f>
        <v/>
      </c>
      <c r="B110" s="64" t="str">
        <f>IFERROR(__xludf.DUMMYFUNCTION("""COMPUTED_VALUE"""),"")</f>
        <v/>
      </c>
      <c r="C110" s="63" t="str">
        <f>IFERROR(__xludf.DUMMYFUNCTION("""COMPUTED_VALUE"""),"")</f>
        <v/>
      </c>
      <c r="D110" s="63" t="str">
        <f>IFERROR(__xludf.DUMMYFUNCTION("""COMPUTED_VALUE"""),"")</f>
        <v/>
      </c>
      <c r="E110" s="51" t="str">
        <f>IFERROR(__xludf.DUMMYFUNCTION("""COMPUTED_VALUE"""),"")</f>
        <v/>
      </c>
      <c r="F110" s="82" t="str">
        <f>IFERROR(__xludf.DUMMYFUNCTION("""COMPUTED_VALUE"""),"")</f>
        <v/>
      </c>
      <c r="G110" s="52" t="str">
        <f>IFERROR(__xludf.DUMMYFUNCTION("""COMPUTED_VALUE"""),"")</f>
        <v/>
      </c>
      <c r="H110" s="53" t="str">
        <f>IFERROR(__xludf.DUMMYFUNCTION("""COMPUTED_VALUE"""),"")</f>
        <v/>
      </c>
      <c r="I110" s="53" t="str">
        <f>IFERROR(__xludf.DUMMYFUNCTION("""COMPUTED_VALUE"""),"")</f>
        <v/>
      </c>
      <c r="J110" s="53" t="str">
        <f>IFERROR(__xludf.DUMMYFUNCTION("""COMPUTED_VALUE"""),"")</f>
        <v/>
      </c>
      <c r="K110" s="54" t="str">
        <f>IFERROR(__xludf.DUMMYFUNCTION("""COMPUTED_VALUE"""),"")</f>
        <v/>
      </c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6"/>
      <c r="W110" s="56"/>
      <c r="X110" s="56"/>
      <c r="Y110" s="56"/>
      <c r="Z110" s="57"/>
      <c r="AA110" s="58"/>
      <c r="AB110" s="59"/>
    </row>
    <row r="111" ht="13.5" customHeight="1">
      <c r="A111" s="60" t="str">
        <f>IFERROR(__xludf.DUMMYFUNCTION("""COMPUTED_VALUE"""),"")</f>
        <v/>
      </c>
      <c r="B111" s="64" t="str">
        <f>IFERROR(__xludf.DUMMYFUNCTION("""COMPUTED_VALUE"""),"")</f>
        <v/>
      </c>
      <c r="C111" s="63" t="str">
        <f>IFERROR(__xludf.DUMMYFUNCTION("""COMPUTED_VALUE"""),"")</f>
        <v/>
      </c>
      <c r="D111" s="63" t="str">
        <f>IFERROR(__xludf.DUMMYFUNCTION("""COMPUTED_VALUE"""),"")</f>
        <v/>
      </c>
      <c r="E111" s="51" t="str">
        <f>IFERROR(__xludf.DUMMYFUNCTION("""COMPUTED_VALUE"""),"")</f>
        <v/>
      </c>
      <c r="F111" s="82" t="str">
        <f>IFERROR(__xludf.DUMMYFUNCTION("""COMPUTED_VALUE"""),"")</f>
        <v/>
      </c>
      <c r="G111" s="52" t="str">
        <f>IFERROR(__xludf.DUMMYFUNCTION("""COMPUTED_VALUE"""),"")</f>
        <v/>
      </c>
      <c r="H111" s="53" t="str">
        <f>IFERROR(__xludf.DUMMYFUNCTION("""COMPUTED_VALUE"""),"")</f>
        <v/>
      </c>
      <c r="I111" s="53" t="str">
        <f>IFERROR(__xludf.DUMMYFUNCTION("""COMPUTED_VALUE"""),"")</f>
        <v/>
      </c>
      <c r="J111" s="53" t="str">
        <f>IFERROR(__xludf.DUMMYFUNCTION("""COMPUTED_VALUE"""),"")</f>
        <v/>
      </c>
      <c r="K111" s="54" t="str">
        <f>IFERROR(__xludf.DUMMYFUNCTION("""COMPUTED_VALUE"""),"")</f>
        <v/>
      </c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6"/>
      <c r="W111" s="56"/>
      <c r="X111" s="56"/>
      <c r="Y111" s="56"/>
      <c r="Z111" s="57"/>
      <c r="AA111" s="58"/>
      <c r="AB111" s="59"/>
    </row>
    <row r="112" ht="13.5" customHeight="1">
      <c r="A112" s="60" t="str">
        <f>IFERROR(__xludf.DUMMYFUNCTION("""COMPUTED_VALUE"""),"")</f>
        <v/>
      </c>
      <c r="B112" s="64" t="str">
        <f>IFERROR(__xludf.DUMMYFUNCTION("""COMPUTED_VALUE"""),"")</f>
        <v/>
      </c>
      <c r="C112" s="63" t="str">
        <f>IFERROR(__xludf.DUMMYFUNCTION("""COMPUTED_VALUE"""),"")</f>
        <v/>
      </c>
      <c r="D112" s="63" t="str">
        <f>IFERROR(__xludf.DUMMYFUNCTION("""COMPUTED_VALUE"""),"")</f>
        <v/>
      </c>
      <c r="E112" s="51" t="str">
        <f>IFERROR(__xludf.DUMMYFUNCTION("""COMPUTED_VALUE"""),"")</f>
        <v/>
      </c>
      <c r="F112" s="82" t="str">
        <f>IFERROR(__xludf.DUMMYFUNCTION("""COMPUTED_VALUE"""),"")</f>
        <v/>
      </c>
      <c r="G112" s="52" t="str">
        <f>IFERROR(__xludf.DUMMYFUNCTION("""COMPUTED_VALUE"""),"")</f>
        <v/>
      </c>
      <c r="H112" s="53" t="str">
        <f>IFERROR(__xludf.DUMMYFUNCTION("""COMPUTED_VALUE"""),"")</f>
        <v/>
      </c>
      <c r="I112" s="53" t="str">
        <f>IFERROR(__xludf.DUMMYFUNCTION("""COMPUTED_VALUE"""),"")</f>
        <v/>
      </c>
      <c r="J112" s="53" t="str">
        <f>IFERROR(__xludf.DUMMYFUNCTION("""COMPUTED_VALUE"""),"")</f>
        <v/>
      </c>
      <c r="K112" s="54" t="str">
        <f>IFERROR(__xludf.DUMMYFUNCTION("""COMPUTED_VALUE"""),"")</f>
        <v/>
      </c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6"/>
      <c r="W112" s="56"/>
      <c r="X112" s="56"/>
      <c r="Y112" s="56"/>
      <c r="Z112" s="57"/>
      <c r="AA112" s="58"/>
      <c r="AB112" s="59"/>
    </row>
    <row r="113" ht="13.5" customHeight="1">
      <c r="A113" s="60" t="str">
        <f>IFERROR(__xludf.DUMMYFUNCTION("""COMPUTED_VALUE"""),"")</f>
        <v/>
      </c>
      <c r="B113" s="64" t="str">
        <f>IFERROR(__xludf.DUMMYFUNCTION("""COMPUTED_VALUE"""),"")</f>
        <v/>
      </c>
      <c r="C113" s="63" t="str">
        <f>IFERROR(__xludf.DUMMYFUNCTION("""COMPUTED_VALUE"""),"")</f>
        <v/>
      </c>
      <c r="D113" s="63" t="str">
        <f>IFERROR(__xludf.DUMMYFUNCTION("""COMPUTED_VALUE"""),"")</f>
        <v/>
      </c>
      <c r="E113" s="51" t="str">
        <f>IFERROR(__xludf.DUMMYFUNCTION("""COMPUTED_VALUE"""),"")</f>
        <v/>
      </c>
      <c r="F113" s="82" t="str">
        <f>IFERROR(__xludf.DUMMYFUNCTION("""COMPUTED_VALUE"""),"")</f>
        <v/>
      </c>
      <c r="G113" s="52" t="str">
        <f>IFERROR(__xludf.DUMMYFUNCTION("""COMPUTED_VALUE"""),"")</f>
        <v/>
      </c>
      <c r="H113" s="53" t="str">
        <f>IFERROR(__xludf.DUMMYFUNCTION("""COMPUTED_VALUE"""),"")</f>
        <v/>
      </c>
      <c r="I113" s="53" t="str">
        <f>IFERROR(__xludf.DUMMYFUNCTION("""COMPUTED_VALUE"""),"")</f>
        <v/>
      </c>
      <c r="J113" s="53" t="str">
        <f>IFERROR(__xludf.DUMMYFUNCTION("""COMPUTED_VALUE"""),"")</f>
        <v/>
      </c>
      <c r="K113" s="54" t="str">
        <f>IFERROR(__xludf.DUMMYFUNCTION("""COMPUTED_VALUE"""),"")</f>
        <v/>
      </c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6"/>
      <c r="W113" s="56"/>
      <c r="X113" s="56"/>
      <c r="Y113" s="56"/>
      <c r="Z113" s="57"/>
      <c r="AA113" s="58"/>
      <c r="AB113" s="59"/>
    </row>
    <row r="114" ht="13.5" customHeight="1">
      <c r="A114" s="60" t="str">
        <f>IFERROR(__xludf.DUMMYFUNCTION("""COMPUTED_VALUE"""),"")</f>
        <v/>
      </c>
      <c r="B114" s="64" t="str">
        <f>IFERROR(__xludf.DUMMYFUNCTION("""COMPUTED_VALUE"""),"")</f>
        <v/>
      </c>
      <c r="C114" s="63" t="str">
        <f>IFERROR(__xludf.DUMMYFUNCTION("""COMPUTED_VALUE"""),"")</f>
        <v/>
      </c>
      <c r="D114" s="63" t="str">
        <f>IFERROR(__xludf.DUMMYFUNCTION("""COMPUTED_VALUE"""),"")</f>
        <v/>
      </c>
      <c r="E114" s="51" t="str">
        <f>IFERROR(__xludf.DUMMYFUNCTION("""COMPUTED_VALUE"""),"")</f>
        <v/>
      </c>
      <c r="F114" s="82" t="str">
        <f>IFERROR(__xludf.DUMMYFUNCTION("""COMPUTED_VALUE"""),"")</f>
        <v/>
      </c>
      <c r="G114" s="52" t="str">
        <f>IFERROR(__xludf.DUMMYFUNCTION("""COMPUTED_VALUE"""),"")</f>
        <v/>
      </c>
      <c r="H114" s="53" t="str">
        <f>IFERROR(__xludf.DUMMYFUNCTION("""COMPUTED_VALUE"""),"")</f>
        <v/>
      </c>
      <c r="I114" s="53" t="str">
        <f>IFERROR(__xludf.DUMMYFUNCTION("""COMPUTED_VALUE"""),"")</f>
        <v/>
      </c>
      <c r="J114" s="53" t="str">
        <f>IFERROR(__xludf.DUMMYFUNCTION("""COMPUTED_VALUE"""),"")</f>
        <v/>
      </c>
      <c r="K114" s="54" t="str">
        <f>IFERROR(__xludf.DUMMYFUNCTION("""COMPUTED_VALUE"""),"")</f>
        <v/>
      </c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6"/>
      <c r="W114" s="56"/>
      <c r="X114" s="56"/>
      <c r="Y114" s="56"/>
      <c r="Z114" s="57"/>
      <c r="AA114" s="58"/>
      <c r="AB114" s="59"/>
    </row>
    <row r="115" ht="13.5" customHeight="1">
      <c r="A115" s="60" t="str">
        <f>IFERROR(__xludf.DUMMYFUNCTION("""COMPUTED_VALUE"""),"")</f>
        <v/>
      </c>
      <c r="B115" s="64" t="str">
        <f>IFERROR(__xludf.DUMMYFUNCTION("""COMPUTED_VALUE"""),"")</f>
        <v/>
      </c>
      <c r="C115" s="63" t="str">
        <f>IFERROR(__xludf.DUMMYFUNCTION("""COMPUTED_VALUE"""),"")</f>
        <v/>
      </c>
      <c r="D115" s="63" t="str">
        <f>IFERROR(__xludf.DUMMYFUNCTION("""COMPUTED_VALUE"""),"")</f>
        <v/>
      </c>
      <c r="E115" s="51" t="str">
        <f>IFERROR(__xludf.DUMMYFUNCTION("""COMPUTED_VALUE"""),"")</f>
        <v/>
      </c>
      <c r="F115" s="82" t="str">
        <f>IFERROR(__xludf.DUMMYFUNCTION("""COMPUTED_VALUE"""),"")</f>
        <v/>
      </c>
      <c r="G115" s="52" t="str">
        <f>IFERROR(__xludf.DUMMYFUNCTION("""COMPUTED_VALUE"""),"")</f>
        <v/>
      </c>
      <c r="H115" s="53" t="str">
        <f>IFERROR(__xludf.DUMMYFUNCTION("""COMPUTED_VALUE"""),"")</f>
        <v/>
      </c>
      <c r="I115" s="53" t="str">
        <f>IFERROR(__xludf.DUMMYFUNCTION("""COMPUTED_VALUE"""),"")</f>
        <v/>
      </c>
      <c r="J115" s="53" t="str">
        <f>IFERROR(__xludf.DUMMYFUNCTION("""COMPUTED_VALUE"""),"")</f>
        <v/>
      </c>
      <c r="K115" s="54" t="str">
        <f>IFERROR(__xludf.DUMMYFUNCTION("""COMPUTED_VALUE"""),"")</f>
        <v/>
      </c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6"/>
      <c r="W115" s="56"/>
      <c r="X115" s="56"/>
      <c r="Y115" s="56"/>
      <c r="Z115" s="57"/>
      <c r="AA115" s="58"/>
      <c r="AB115" s="59"/>
    </row>
    <row r="116" ht="13.5" customHeight="1">
      <c r="A116" s="60" t="str">
        <f>IFERROR(__xludf.DUMMYFUNCTION("""COMPUTED_VALUE"""),"")</f>
        <v/>
      </c>
      <c r="B116" s="64" t="str">
        <f>IFERROR(__xludf.DUMMYFUNCTION("""COMPUTED_VALUE"""),"")</f>
        <v/>
      </c>
      <c r="C116" s="63" t="str">
        <f>IFERROR(__xludf.DUMMYFUNCTION("""COMPUTED_VALUE"""),"")</f>
        <v/>
      </c>
      <c r="D116" s="63" t="str">
        <f>IFERROR(__xludf.DUMMYFUNCTION("""COMPUTED_VALUE"""),"")</f>
        <v/>
      </c>
      <c r="E116" s="51" t="str">
        <f>IFERROR(__xludf.DUMMYFUNCTION("""COMPUTED_VALUE"""),"")</f>
        <v/>
      </c>
      <c r="F116" s="82" t="str">
        <f>IFERROR(__xludf.DUMMYFUNCTION("""COMPUTED_VALUE"""),"")</f>
        <v/>
      </c>
      <c r="G116" s="52" t="str">
        <f>IFERROR(__xludf.DUMMYFUNCTION("""COMPUTED_VALUE"""),"")</f>
        <v/>
      </c>
      <c r="H116" s="53" t="str">
        <f>IFERROR(__xludf.DUMMYFUNCTION("""COMPUTED_VALUE"""),"")</f>
        <v/>
      </c>
      <c r="I116" s="53" t="str">
        <f>IFERROR(__xludf.DUMMYFUNCTION("""COMPUTED_VALUE"""),"")</f>
        <v/>
      </c>
      <c r="J116" s="53" t="str">
        <f>IFERROR(__xludf.DUMMYFUNCTION("""COMPUTED_VALUE"""),"")</f>
        <v/>
      </c>
      <c r="K116" s="54" t="str">
        <f>IFERROR(__xludf.DUMMYFUNCTION("""COMPUTED_VALUE"""),"")</f>
        <v/>
      </c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6"/>
      <c r="W116" s="56"/>
      <c r="X116" s="56"/>
      <c r="Y116" s="56"/>
      <c r="Z116" s="57"/>
      <c r="AA116" s="58"/>
      <c r="AB116" s="59"/>
    </row>
    <row r="117" ht="13.5" customHeight="1">
      <c r="A117" s="60" t="str">
        <f>IFERROR(__xludf.DUMMYFUNCTION("""COMPUTED_VALUE"""),"")</f>
        <v/>
      </c>
      <c r="B117" s="64" t="str">
        <f>IFERROR(__xludf.DUMMYFUNCTION("""COMPUTED_VALUE"""),"")</f>
        <v/>
      </c>
      <c r="C117" s="63" t="str">
        <f>IFERROR(__xludf.DUMMYFUNCTION("""COMPUTED_VALUE"""),"")</f>
        <v/>
      </c>
      <c r="D117" s="63" t="str">
        <f>IFERROR(__xludf.DUMMYFUNCTION("""COMPUTED_VALUE"""),"")</f>
        <v/>
      </c>
      <c r="E117" s="51" t="str">
        <f>IFERROR(__xludf.DUMMYFUNCTION("""COMPUTED_VALUE"""),"")</f>
        <v/>
      </c>
      <c r="F117" s="82" t="str">
        <f>IFERROR(__xludf.DUMMYFUNCTION("""COMPUTED_VALUE"""),"")</f>
        <v/>
      </c>
      <c r="G117" s="52" t="str">
        <f>IFERROR(__xludf.DUMMYFUNCTION("""COMPUTED_VALUE"""),"")</f>
        <v/>
      </c>
      <c r="H117" s="53" t="str">
        <f>IFERROR(__xludf.DUMMYFUNCTION("""COMPUTED_VALUE"""),"")</f>
        <v/>
      </c>
      <c r="I117" s="53" t="str">
        <f>IFERROR(__xludf.DUMMYFUNCTION("""COMPUTED_VALUE"""),"")</f>
        <v/>
      </c>
      <c r="J117" s="53" t="str">
        <f>IFERROR(__xludf.DUMMYFUNCTION("""COMPUTED_VALUE"""),"")</f>
        <v/>
      </c>
      <c r="K117" s="54" t="str">
        <f>IFERROR(__xludf.DUMMYFUNCTION("""COMPUTED_VALUE"""),"")</f>
        <v/>
      </c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6"/>
      <c r="W117" s="56"/>
      <c r="X117" s="56"/>
      <c r="Y117" s="56"/>
      <c r="Z117" s="57"/>
      <c r="AA117" s="58"/>
      <c r="AB117" s="59"/>
    </row>
    <row r="118" ht="13.5" customHeight="1">
      <c r="A118" s="60" t="str">
        <f>IFERROR(__xludf.DUMMYFUNCTION("""COMPUTED_VALUE"""),"")</f>
        <v/>
      </c>
      <c r="B118" s="64" t="str">
        <f>IFERROR(__xludf.DUMMYFUNCTION("""COMPUTED_VALUE"""),"")</f>
        <v/>
      </c>
      <c r="C118" s="63" t="str">
        <f>IFERROR(__xludf.DUMMYFUNCTION("""COMPUTED_VALUE"""),"")</f>
        <v/>
      </c>
      <c r="D118" s="63" t="str">
        <f>IFERROR(__xludf.DUMMYFUNCTION("""COMPUTED_VALUE"""),"")</f>
        <v/>
      </c>
      <c r="E118" s="51" t="str">
        <f>IFERROR(__xludf.DUMMYFUNCTION("""COMPUTED_VALUE"""),"")</f>
        <v/>
      </c>
      <c r="F118" s="82" t="str">
        <f>IFERROR(__xludf.DUMMYFUNCTION("""COMPUTED_VALUE"""),"")</f>
        <v/>
      </c>
      <c r="G118" s="52" t="str">
        <f>IFERROR(__xludf.DUMMYFUNCTION("""COMPUTED_VALUE"""),"")</f>
        <v/>
      </c>
      <c r="H118" s="53" t="str">
        <f>IFERROR(__xludf.DUMMYFUNCTION("""COMPUTED_VALUE"""),"")</f>
        <v/>
      </c>
      <c r="I118" s="53" t="str">
        <f>IFERROR(__xludf.DUMMYFUNCTION("""COMPUTED_VALUE"""),"")</f>
        <v/>
      </c>
      <c r="J118" s="53" t="str">
        <f>IFERROR(__xludf.DUMMYFUNCTION("""COMPUTED_VALUE"""),"")</f>
        <v/>
      </c>
      <c r="K118" s="54" t="str">
        <f>IFERROR(__xludf.DUMMYFUNCTION("""COMPUTED_VALUE"""),"")</f>
        <v/>
      </c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6"/>
      <c r="W118" s="56"/>
      <c r="X118" s="56"/>
      <c r="Y118" s="56"/>
      <c r="Z118" s="57"/>
      <c r="AA118" s="58"/>
      <c r="AB118" s="59"/>
    </row>
    <row r="119" ht="13.5" customHeight="1">
      <c r="A119" s="60" t="str">
        <f>IFERROR(__xludf.DUMMYFUNCTION("""COMPUTED_VALUE"""),"")</f>
        <v/>
      </c>
      <c r="B119" s="64" t="str">
        <f>IFERROR(__xludf.DUMMYFUNCTION("""COMPUTED_VALUE"""),"")</f>
        <v/>
      </c>
      <c r="C119" s="63" t="str">
        <f>IFERROR(__xludf.DUMMYFUNCTION("""COMPUTED_VALUE"""),"")</f>
        <v/>
      </c>
      <c r="D119" s="63" t="str">
        <f>IFERROR(__xludf.DUMMYFUNCTION("""COMPUTED_VALUE"""),"")</f>
        <v/>
      </c>
      <c r="E119" s="51" t="str">
        <f>IFERROR(__xludf.DUMMYFUNCTION("""COMPUTED_VALUE"""),"")</f>
        <v/>
      </c>
      <c r="F119" s="82" t="str">
        <f>IFERROR(__xludf.DUMMYFUNCTION("""COMPUTED_VALUE"""),"")</f>
        <v/>
      </c>
      <c r="G119" s="52" t="str">
        <f>IFERROR(__xludf.DUMMYFUNCTION("""COMPUTED_VALUE"""),"")</f>
        <v/>
      </c>
      <c r="H119" s="53" t="str">
        <f>IFERROR(__xludf.DUMMYFUNCTION("""COMPUTED_VALUE"""),"")</f>
        <v/>
      </c>
      <c r="I119" s="53" t="str">
        <f>IFERROR(__xludf.DUMMYFUNCTION("""COMPUTED_VALUE"""),"")</f>
        <v/>
      </c>
      <c r="J119" s="53" t="str">
        <f>IFERROR(__xludf.DUMMYFUNCTION("""COMPUTED_VALUE"""),"")</f>
        <v/>
      </c>
      <c r="K119" s="54" t="str">
        <f>IFERROR(__xludf.DUMMYFUNCTION("""COMPUTED_VALUE"""),"")</f>
        <v/>
      </c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6"/>
      <c r="W119" s="56"/>
      <c r="X119" s="56"/>
      <c r="Y119" s="56"/>
      <c r="Z119" s="57"/>
      <c r="AA119" s="58"/>
      <c r="AB119" s="59"/>
    </row>
    <row r="120" ht="13.5" customHeight="1">
      <c r="A120" s="60" t="str">
        <f>IFERROR(__xludf.DUMMYFUNCTION("""COMPUTED_VALUE"""),"")</f>
        <v/>
      </c>
      <c r="B120" s="64" t="str">
        <f>IFERROR(__xludf.DUMMYFUNCTION("""COMPUTED_VALUE"""),"")</f>
        <v/>
      </c>
      <c r="C120" s="63" t="str">
        <f>IFERROR(__xludf.DUMMYFUNCTION("""COMPUTED_VALUE"""),"")</f>
        <v/>
      </c>
      <c r="D120" s="63" t="str">
        <f>IFERROR(__xludf.DUMMYFUNCTION("""COMPUTED_VALUE"""),"")</f>
        <v/>
      </c>
      <c r="E120" s="51" t="str">
        <f>IFERROR(__xludf.DUMMYFUNCTION("""COMPUTED_VALUE"""),"")</f>
        <v/>
      </c>
      <c r="F120" s="82" t="str">
        <f>IFERROR(__xludf.DUMMYFUNCTION("""COMPUTED_VALUE"""),"")</f>
        <v/>
      </c>
      <c r="G120" s="52" t="str">
        <f>IFERROR(__xludf.DUMMYFUNCTION("""COMPUTED_VALUE"""),"")</f>
        <v/>
      </c>
      <c r="H120" s="53" t="str">
        <f>IFERROR(__xludf.DUMMYFUNCTION("""COMPUTED_VALUE"""),"")</f>
        <v/>
      </c>
      <c r="I120" s="53" t="str">
        <f>IFERROR(__xludf.DUMMYFUNCTION("""COMPUTED_VALUE"""),"")</f>
        <v/>
      </c>
      <c r="J120" s="53" t="str">
        <f>IFERROR(__xludf.DUMMYFUNCTION("""COMPUTED_VALUE"""),"")</f>
        <v/>
      </c>
      <c r="K120" s="54" t="str">
        <f>IFERROR(__xludf.DUMMYFUNCTION("""COMPUTED_VALUE"""),"")</f>
        <v/>
      </c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6"/>
      <c r="W120" s="56"/>
      <c r="X120" s="56"/>
      <c r="Y120" s="56"/>
      <c r="Z120" s="57"/>
      <c r="AA120" s="58"/>
      <c r="AB120" s="59"/>
    </row>
    <row r="121" ht="13.5" customHeight="1">
      <c r="A121" s="60" t="str">
        <f>IFERROR(__xludf.DUMMYFUNCTION("""COMPUTED_VALUE"""),"")</f>
        <v/>
      </c>
      <c r="B121" s="64" t="str">
        <f>IFERROR(__xludf.DUMMYFUNCTION("""COMPUTED_VALUE"""),"")</f>
        <v/>
      </c>
      <c r="C121" s="63" t="str">
        <f>IFERROR(__xludf.DUMMYFUNCTION("""COMPUTED_VALUE"""),"")</f>
        <v/>
      </c>
      <c r="D121" s="63" t="str">
        <f>IFERROR(__xludf.DUMMYFUNCTION("""COMPUTED_VALUE"""),"")</f>
        <v/>
      </c>
      <c r="E121" s="51" t="str">
        <f>IFERROR(__xludf.DUMMYFUNCTION("""COMPUTED_VALUE"""),"")</f>
        <v/>
      </c>
      <c r="F121" s="82" t="str">
        <f>IFERROR(__xludf.DUMMYFUNCTION("""COMPUTED_VALUE"""),"")</f>
        <v/>
      </c>
      <c r="G121" s="52" t="str">
        <f>IFERROR(__xludf.DUMMYFUNCTION("""COMPUTED_VALUE"""),"")</f>
        <v/>
      </c>
      <c r="H121" s="53" t="str">
        <f>IFERROR(__xludf.DUMMYFUNCTION("""COMPUTED_VALUE"""),"")</f>
        <v/>
      </c>
      <c r="I121" s="53" t="str">
        <f>IFERROR(__xludf.DUMMYFUNCTION("""COMPUTED_VALUE"""),"")</f>
        <v/>
      </c>
      <c r="J121" s="53" t="str">
        <f>IFERROR(__xludf.DUMMYFUNCTION("""COMPUTED_VALUE"""),"")</f>
        <v/>
      </c>
      <c r="K121" s="54" t="str">
        <f>IFERROR(__xludf.DUMMYFUNCTION("""COMPUTED_VALUE"""),"")</f>
        <v/>
      </c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6"/>
      <c r="W121" s="56"/>
      <c r="X121" s="56"/>
      <c r="Y121" s="56"/>
      <c r="Z121" s="57"/>
      <c r="AA121" s="58"/>
      <c r="AB121" s="59"/>
    </row>
    <row r="122" ht="13.5" customHeight="1">
      <c r="A122" s="60" t="str">
        <f>IFERROR(__xludf.DUMMYFUNCTION("""COMPUTED_VALUE"""),"")</f>
        <v/>
      </c>
      <c r="B122" s="64" t="str">
        <f>IFERROR(__xludf.DUMMYFUNCTION("""COMPUTED_VALUE"""),"")</f>
        <v/>
      </c>
      <c r="C122" s="63" t="str">
        <f>IFERROR(__xludf.DUMMYFUNCTION("""COMPUTED_VALUE"""),"")</f>
        <v/>
      </c>
      <c r="D122" s="63" t="str">
        <f>IFERROR(__xludf.DUMMYFUNCTION("""COMPUTED_VALUE"""),"")</f>
        <v/>
      </c>
      <c r="E122" s="51" t="str">
        <f>IFERROR(__xludf.DUMMYFUNCTION("""COMPUTED_VALUE"""),"")</f>
        <v/>
      </c>
      <c r="F122" s="82" t="str">
        <f>IFERROR(__xludf.DUMMYFUNCTION("""COMPUTED_VALUE"""),"")</f>
        <v/>
      </c>
      <c r="G122" s="52" t="str">
        <f>IFERROR(__xludf.DUMMYFUNCTION("""COMPUTED_VALUE"""),"")</f>
        <v/>
      </c>
      <c r="H122" s="53" t="str">
        <f>IFERROR(__xludf.DUMMYFUNCTION("""COMPUTED_VALUE"""),"")</f>
        <v/>
      </c>
      <c r="I122" s="53" t="str">
        <f>IFERROR(__xludf.DUMMYFUNCTION("""COMPUTED_VALUE"""),"")</f>
        <v/>
      </c>
      <c r="J122" s="53" t="str">
        <f>IFERROR(__xludf.DUMMYFUNCTION("""COMPUTED_VALUE"""),"")</f>
        <v/>
      </c>
      <c r="K122" s="54" t="str">
        <f>IFERROR(__xludf.DUMMYFUNCTION("""COMPUTED_VALUE"""),"")</f>
        <v/>
      </c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6"/>
      <c r="W122" s="56"/>
      <c r="X122" s="56"/>
      <c r="Y122" s="56"/>
      <c r="Z122" s="57"/>
      <c r="AA122" s="58"/>
      <c r="AB122" s="59"/>
    </row>
    <row r="123" ht="13.5" customHeight="1">
      <c r="A123" s="60" t="str">
        <f>IFERROR(__xludf.DUMMYFUNCTION("""COMPUTED_VALUE"""),"")</f>
        <v/>
      </c>
      <c r="B123" s="64" t="str">
        <f>IFERROR(__xludf.DUMMYFUNCTION("""COMPUTED_VALUE"""),"")</f>
        <v/>
      </c>
      <c r="C123" s="63" t="str">
        <f>IFERROR(__xludf.DUMMYFUNCTION("""COMPUTED_VALUE"""),"")</f>
        <v/>
      </c>
      <c r="D123" s="63" t="str">
        <f>IFERROR(__xludf.DUMMYFUNCTION("""COMPUTED_VALUE"""),"")</f>
        <v/>
      </c>
      <c r="E123" s="51" t="str">
        <f>IFERROR(__xludf.DUMMYFUNCTION("""COMPUTED_VALUE"""),"")</f>
        <v/>
      </c>
      <c r="F123" s="82" t="str">
        <f>IFERROR(__xludf.DUMMYFUNCTION("""COMPUTED_VALUE"""),"")</f>
        <v/>
      </c>
      <c r="G123" s="52" t="str">
        <f>IFERROR(__xludf.DUMMYFUNCTION("""COMPUTED_VALUE"""),"")</f>
        <v/>
      </c>
      <c r="H123" s="53" t="str">
        <f>IFERROR(__xludf.DUMMYFUNCTION("""COMPUTED_VALUE"""),"")</f>
        <v/>
      </c>
      <c r="I123" s="53" t="str">
        <f>IFERROR(__xludf.DUMMYFUNCTION("""COMPUTED_VALUE"""),"")</f>
        <v/>
      </c>
      <c r="J123" s="53" t="str">
        <f>IFERROR(__xludf.DUMMYFUNCTION("""COMPUTED_VALUE"""),"")</f>
        <v/>
      </c>
      <c r="K123" s="54" t="str">
        <f>IFERROR(__xludf.DUMMYFUNCTION("""COMPUTED_VALUE"""),"")</f>
        <v/>
      </c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6"/>
      <c r="W123" s="56"/>
      <c r="X123" s="56"/>
      <c r="Y123" s="56"/>
      <c r="Z123" s="57"/>
      <c r="AA123" s="58"/>
      <c r="AB123" s="59"/>
    </row>
    <row r="124" ht="13.5" customHeight="1">
      <c r="A124" s="60" t="str">
        <f>IFERROR(__xludf.DUMMYFUNCTION("""COMPUTED_VALUE"""),"")</f>
        <v/>
      </c>
      <c r="B124" s="64" t="str">
        <f>IFERROR(__xludf.DUMMYFUNCTION("""COMPUTED_VALUE"""),"")</f>
        <v/>
      </c>
      <c r="C124" s="63" t="str">
        <f>IFERROR(__xludf.DUMMYFUNCTION("""COMPUTED_VALUE"""),"")</f>
        <v/>
      </c>
      <c r="D124" s="63" t="str">
        <f>IFERROR(__xludf.DUMMYFUNCTION("""COMPUTED_VALUE"""),"")</f>
        <v/>
      </c>
      <c r="E124" s="51" t="str">
        <f>IFERROR(__xludf.DUMMYFUNCTION("""COMPUTED_VALUE"""),"")</f>
        <v/>
      </c>
      <c r="F124" s="82" t="str">
        <f>IFERROR(__xludf.DUMMYFUNCTION("""COMPUTED_VALUE"""),"")</f>
        <v/>
      </c>
      <c r="G124" s="52" t="str">
        <f>IFERROR(__xludf.DUMMYFUNCTION("""COMPUTED_VALUE"""),"")</f>
        <v/>
      </c>
      <c r="H124" s="53" t="str">
        <f>IFERROR(__xludf.DUMMYFUNCTION("""COMPUTED_VALUE"""),"")</f>
        <v/>
      </c>
      <c r="I124" s="53" t="str">
        <f>IFERROR(__xludf.DUMMYFUNCTION("""COMPUTED_VALUE"""),"")</f>
        <v/>
      </c>
      <c r="J124" s="53" t="str">
        <f>IFERROR(__xludf.DUMMYFUNCTION("""COMPUTED_VALUE"""),"")</f>
        <v/>
      </c>
      <c r="K124" s="54" t="str">
        <f>IFERROR(__xludf.DUMMYFUNCTION("""COMPUTED_VALUE"""),"")</f>
        <v/>
      </c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6"/>
      <c r="W124" s="56"/>
      <c r="X124" s="56"/>
      <c r="Y124" s="56"/>
      <c r="Z124" s="57"/>
      <c r="AA124" s="58"/>
      <c r="AB124" s="59"/>
    </row>
    <row r="125" ht="13.5" customHeight="1">
      <c r="A125" s="60" t="str">
        <f>IFERROR(__xludf.DUMMYFUNCTION("""COMPUTED_VALUE"""),"")</f>
        <v/>
      </c>
      <c r="B125" s="64" t="str">
        <f>IFERROR(__xludf.DUMMYFUNCTION("""COMPUTED_VALUE"""),"")</f>
        <v/>
      </c>
      <c r="C125" s="63" t="str">
        <f>IFERROR(__xludf.DUMMYFUNCTION("""COMPUTED_VALUE"""),"")</f>
        <v/>
      </c>
      <c r="D125" s="63" t="str">
        <f>IFERROR(__xludf.DUMMYFUNCTION("""COMPUTED_VALUE"""),"")</f>
        <v/>
      </c>
      <c r="E125" s="51" t="str">
        <f>IFERROR(__xludf.DUMMYFUNCTION("""COMPUTED_VALUE"""),"")</f>
        <v/>
      </c>
      <c r="F125" s="82" t="str">
        <f>IFERROR(__xludf.DUMMYFUNCTION("""COMPUTED_VALUE"""),"")</f>
        <v/>
      </c>
      <c r="G125" s="52" t="str">
        <f>IFERROR(__xludf.DUMMYFUNCTION("""COMPUTED_VALUE"""),"")</f>
        <v/>
      </c>
      <c r="H125" s="53" t="str">
        <f>IFERROR(__xludf.DUMMYFUNCTION("""COMPUTED_VALUE"""),"")</f>
        <v/>
      </c>
      <c r="I125" s="53" t="str">
        <f>IFERROR(__xludf.DUMMYFUNCTION("""COMPUTED_VALUE"""),"")</f>
        <v/>
      </c>
      <c r="J125" s="53" t="str">
        <f>IFERROR(__xludf.DUMMYFUNCTION("""COMPUTED_VALUE"""),"")</f>
        <v/>
      </c>
      <c r="K125" s="54" t="str">
        <f>IFERROR(__xludf.DUMMYFUNCTION("""COMPUTED_VALUE"""),"")</f>
        <v/>
      </c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6"/>
      <c r="W125" s="56"/>
      <c r="X125" s="56"/>
      <c r="Y125" s="56"/>
      <c r="Z125" s="57"/>
      <c r="AA125" s="58"/>
      <c r="AB125" s="59"/>
    </row>
    <row r="126" ht="13.5" customHeight="1">
      <c r="A126" s="60" t="str">
        <f>IFERROR(__xludf.DUMMYFUNCTION("""COMPUTED_VALUE"""),"")</f>
        <v/>
      </c>
      <c r="B126" s="64" t="str">
        <f>IFERROR(__xludf.DUMMYFUNCTION("""COMPUTED_VALUE"""),"")</f>
        <v/>
      </c>
      <c r="C126" s="63" t="str">
        <f>IFERROR(__xludf.DUMMYFUNCTION("""COMPUTED_VALUE"""),"")</f>
        <v/>
      </c>
      <c r="D126" s="63" t="str">
        <f>IFERROR(__xludf.DUMMYFUNCTION("""COMPUTED_VALUE"""),"")</f>
        <v/>
      </c>
      <c r="E126" s="51" t="str">
        <f>IFERROR(__xludf.DUMMYFUNCTION("""COMPUTED_VALUE"""),"")</f>
        <v/>
      </c>
      <c r="F126" s="82" t="str">
        <f>IFERROR(__xludf.DUMMYFUNCTION("""COMPUTED_VALUE"""),"")</f>
        <v/>
      </c>
      <c r="G126" s="52" t="str">
        <f>IFERROR(__xludf.DUMMYFUNCTION("""COMPUTED_VALUE"""),"")</f>
        <v/>
      </c>
      <c r="H126" s="53" t="str">
        <f>IFERROR(__xludf.DUMMYFUNCTION("""COMPUTED_VALUE"""),"")</f>
        <v/>
      </c>
      <c r="I126" s="53" t="str">
        <f>IFERROR(__xludf.DUMMYFUNCTION("""COMPUTED_VALUE"""),"")</f>
        <v/>
      </c>
      <c r="J126" s="53" t="str">
        <f>IFERROR(__xludf.DUMMYFUNCTION("""COMPUTED_VALUE"""),"")</f>
        <v/>
      </c>
      <c r="K126" s="54" t="str">
        <f>IFERROR(__xludf.DUMMYFUNCTION("""COMPUTED_VALUE"""),"")</f>
        <v/>
      </c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6"/>
      <c r="W126" s="56"/>
      <c r="X126" s="56"/>
      <c r="Y126" s="56"/>
      <c r="Z126" s="57"/>
      <c r="AA126" s="58"/>
      <c r="AB126" s="59"/>
    </row>
    <row r="127" ht="13.5" customHeight="1">
      <c r="A127" s="60" t="str">
        <f>IFERROR(__xludf.DUMMYFUNCTION("""COMPUTED_VALUE"""),"")</f>
        <v/>
      </c>
      <c r="B127" s="64" t="str">
        <f>IFERROR(__xludf.DUMMYFUNCTION("""COMPUTED_VALUE"""),"")</f>
        <v/>
      </c>
      <c r="C127" s="63" t="str">
        <f>IFERROR(__xludf.DUMMYFUNCTION("""COMPUTED_VALUE"""),"")</f>
        <v/>
      </c>
      <c r="D127" s="63" t="str">
        <f>IFERROR(__xludf.DUMMYFUNCTION("""COMPUTED_VALUE"""),"")</f>
        <v/>
      </c>
      <c r="E127" s="51" t="str">
        <f>IFERROR(__xludf.DUMMYFUNCTION("""COMPUTED_VALUE"""),"")</f>
        <v/>
      </c>
      <c r="F127" s="82" t="str">
        <f>IFERROR(__xludf.DUMMYFUNCTION("""COMPUTED_VALUE"""),"")</f>
        <v/>
      </c>
      <c r="G127" s="52" t="str">
        <f>IFERROR(__xludf.DUMMYFUNCTION("""COMPUTED_VALUE"""),"")</f>
        <v/>
      </c>
      <c r="H127" s="53" t="str">
        <f>IFERROR(__xludf.DUMMYFUNCTION("""COMPUTED_VALUE"""),"")</f>
        <v/>
      </c>
      <c r="I127" s="53" t="str">
        <f>IFERROR(__xludf.DUMMYFUNCTION("""COMPUTED_VALUE"""),"")</f>
        <v/>
      </c>
      <c r="J127" s="53" t="str">
        <f>IFERROR(__xludf.DUMMYFUNCTION("""COMPUTED_VALUE"""),"")</f>
        <v/>
      </c>
      <c r="K127" s="54" t="str">
        <f>IFERROR(__xludf.DUMMYFUNCTION("""COMPUTED_VALUE"""),"")</f>
        <v/>
      </c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6"/>
      <c r="W127" s="56"/>
      <c r="X127" s="56"/>
      <c r="Y127" s="56"/>
      <c r="Z127" s="57"/>
      <c r="AA127" s="58"/>
      <c r="AB127" s="59"/>
    </row>
    <row r="128" ht="13.5" customHeight="1">
      <c r="A128" s="60" t="str">
        <f>IFERROR(__xludf.DUMMYFUNCTION("""COMPUTED_VALUE"""),"")</f>
        <v/>
      </c>
      <c r="B128" s="64" t="str">
        <f>IFERROR(__xludf.DUMMYFUNCTION("""COMPUTED_VALUE"""),"")</f>
        <v/>
      </c>
      <c r="C128" s="63" t="str">
        <f>IFERROR(__xludf.DUMMYFUNCTION("""COMPUTED_VALUE"""),"")</f>
        <v/>
      </c>
      <c r="D128" s="63" t="str">
        <f>IFERROR(__xludf.DUMMYFUNCTION("""COMPUTED_VALUE"""),"")</f>
        <v/>
      </c>
      <c r="E128" s="51" t="str">
        <f>IFERROR(__xludf.DUMMYFUNCTION("""COMPUTED_VALUE"""),"")</f>
        <v/>
      </c>
      <c r="F128" s="82" t="str">
        <f>IFERROR(__xludf.DUMMYFUNCTION("""COMPUTED_VALUE"""),"")</f>
        <v/>
      </c>
      <c r="G128" s="52" t="str">
        <f>IFERROR(__xludf.DUMMYFUNCTION("""COMPUTED_VALUE"""),"")</f>
        <v/>
      </c>
      <c r="H128" s="53" t="str">
        <f>IFERROR(__xludf.DUMMYFUNCTION("""COMPUTED_VALUE"""),"")</f>
        <v/>
      </c>
      <c r="I128" s="53" t="str">
        <f>IFERROR(__xludf.DUMMYFUNCTION("""COMPUTED_VALUE"""),"")</f>
        <v/>
      </c>
      <c r="J128" s="53" t="str">
        <f>IFERROR(__xludf.DUMMYFUNCTION("""COMPUTED_VALUE"""),"")</f>
        <v/>
      </c>
      <c r="K128" s="54" t="str">
        <f>IFERROR(__xludf.DUMMYFUNCTION("""COMPUTED_VALUE"""),"")</f>
        <v/>
      </c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6"/>
      <c r="W128" s="56"/>
      <c r="X128" s="56"/>
      <c r="Y128" s="56"/>
      <c r="Z128" s="57"/>
      <c r="AA128" s="58"/>
      <c r="AB128" s="59"/>
    </row>
    <row r="129" ht="13.5" customHeight="1">
      <c r="A129" s="60" t="str">
        <f>IFERROR(__xludf.DUMMYFUNCTION("""COMPUTED_VALUE"""),"")</f>
        <v/>
      </c>
      <c r="B129" s="64" t="str">
        <f>IFERROR(__xludf.DUMMYFUNCTION("""COMPUTED_VALUE"""),"")</f>
        <v/>
      </c>
      <c r="C129" s="63" t="str">
        <f>IFERROR(__xludf.DUMMYFUNCTION("""COMPUTED_VALUE"""),"")</f>
        <v/>
      </c>
      <c r="D129" s="63" t="str">
        <f>IFERROR(__xludf.DUMMYFUNCTION("""COMPUTED_VALUE"""),"")</f>
        <v/>
      </c>
      <c r="E129" s="51" t="str">
        <f>IFERROR(__xludf.DUMMYFUNCTION("""COMPUTED_VALUE"""),"")</f>
        <v/>
      </c>
      <c r="F129" s="82" t="str">
        <f>IFERROR(__xludf.DUMMYFUNCTION("""COMPUTED_VALUE"""),"")</f>
        <v/>
      </c>
      <c r="G129" s="52" t="str">
        <f>IFERROR(__xludf.DUMMYFUNCTION("""COMPUTED_VALUE"""),"")</f>
        <v/>
      </c>
      <c r="H129" s="53" t="str">
        <f>IFERROR(__xludf.DUMMYFUNCTION("""COMPUTED_VALUE"""),"")</f>
        <v/>
      </c>
      <c r="I129" s="53" t="str">
        <f>IFERROR(__xludf.DUMMYFUNCTION("""COMPUTED_VALUE"""),"")</f>
        <v/>
      </c>
      <c r="J129" s="53" t="str">
        <f>IFERROR(__xludf.DUMMYFUNCTION("""COMPUTED_VALUE"""),"")</f>
        <v/>
      </c>
      <c r="K129" s="54" t="str">
        <f>IFERROR(__xludf.DUMMYFUNCTION("""COMPUTED_VALUE"""),"")</f>
        <v/>
      </c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6"/>
      <c r="W129" s="56"/>
      <c r="X129" s="56"/>
      <c r="Y129" s="56"/>
      <c r="Z129" s="57"/>
      <c r="AA129" s="58"/>
      <c r="AB129" s="59"/>
    </row>
    <row r="130" ht="13.5" customHeight="1">
      <c r="A130" s="60" t="str">
        <f>IFERROR(__xludf.DUMMYFUNCTION("""COMPUTED_VALUE"""),"")</f>
        <v/>
      </c>
      <c r="B130" s="64" t="str">
        <f>IFERROR(__xludf.DUMMYFUNCTION("""COMPUTED_VALUE"""),"")</f>
        <v/>
      </c>
      <c r="C130" s="63" t="str">
        <f>IFERROR(__xludf.DUMMYFUNCTION("""COMPUTED_VALUE"""),"")</f>
        <v/>
      </c>
      <c r="D130" s="63" t="str">
        <f>IFERROR(__xludf.DUMMYFUNCTION("""COMPUTED_VALUE"""),"")</f>
        <v/>
      </c>
      <c r="E130" s="51" t="str">
        <f>IFERROR(__xludf.DUMMYFUNCTION("""COMPUTED_VALUE"""),"")</f>
        <v/>
      </c>
      <c r="F130" s="82" t="str">
        <f>IFERROR(__xludf.DUMMYFUNCTION("""COMPUTED_VALUE"""),"")</f>
        <v/>
      </c>
      <c r="G130" s="52" t="str">
        <f>IFERROR(__xludf.DUMMYFUNCTION("""COMPUTED_VALUE"""),"")</f>
        <v/>
      </c>
      <c r="H130" s="53" t="str">
        <f>IFERROR(__xludf.DUMMYFUNCTION("""COMPUTED_VALUE"""),"")</f>
        <v/>
      </c>
      <c r="I130" s="53" t="str">
        <f>IFERROR(__xludf.DUMMYFUNCTION("""COMPUTED_VALUE"""),"")</f>
        <v/>
      </c>
      <c r="J130" s="53" t="str">
        <f>IFERROR(__xludf.DUMMYFUNCTION("""COMPUTED_VALUE"""),"")</f>
        <v/>
      </c>
      <c r="K130" s="54" t="str">
        <f>IFERROR(__xludf.DUMMYFUNCTION("""COMPUTED_VALUE"""),"")</f>
        <v/>
      </c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6"/>
      <c r="W130" s="56"/>
      <c r="X130" s="56"/>
      <c r="Y130" s="56"/>
      <c r="Z130" s="57"/>
      <c r="AA130" s="58"/>
      <c r="AB130" s="59"/>
    </row>
    <row r="131" ht="13.5" customHeight="1">
      <c r="A131" s="60" t="str">
        <f>IFERROR(__xludf.DUMMYFUNCTION("""COMPUTED_VALUE"""),"")</f>
        <v/>
      </c>
      <c r="B131" s="64" t="str">
        <f>IFERROR(__xludf.DUMMYFUNCTION("""COMPUTED_VALUE"""),"")</f>
        <v/>
      </c>
      <c r="C131" s="63" t="str">
        <f>IFERROR(__xludf.DUMMYFUNCTION("""COMPUTED_VALUE"""),"")</f>
        <v/>
      </c>
      <c r="D131" s="63" t="str">
        <f>IFERROR(__xludf.DUMMYFUNCTION("""COMPUTED_VALUE"""),"")</f>
        <v/>
      </c>
      <c r="E131" s="51" t="str">
        <f>IFERROR(__xludf.DUMMYFUNCTION("""COMPUTED_VALUE"""),"")</f>
        <v/>
      </c>
      <c r="F131" s="82" t="str">
        <f>IFERROR(__xludf.DUMMYFUNCTION("""COMPUTED_VALUE"""),"")</f>
        <v/>
      </c>
      <c r="G131" s="52" t="str">
        <f>IFERROR(__xludf.DUMMYFUNCTION("""COMPUTED_VALUE"""),"")</f>
        <v/>
      </c>
      <c r="H131" s="53" t="str">
        <f>IFERROR(__xludf.DUMMYFUNCTION("""COMPUTED_VALUE"""),"")</f>
        <v/>
      </c>
      <c r="I131" s="53" t="str">
        <f>IFERROR(__xludf.DUMMYFUNCTION("""COMPUTED_VALUE"""),"")</f>
        <v/>
      </c>
      <c r="J131" s="53" t="str">
        <f>IFERROR(__xludf.DUMMYFUNCTION("""COMPUTED_VALUE"""),"")</f>
        <v/>
      </c>
      <c r="K131" s="54" t="str">
        <f>IFERROR(__xludf.DUMMYFUNCTION("""COMPUTED_VALUE"""),"")</f>
        <v/>
      </c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6"/>
      <c r="W131" s="56"/>
      <c r="X131" s="56"/>
      <c r="Y131" s="56"/>
      <c r="Z131" s="57"/>
      <c r="AA131" s="58"/>
      <c r="AB131" s="59"/>
    </row>
    <row r="132" ht="13.5" customHeight="1">
      <c r="A132" s="60" t="str">
        <f>IFERROR(__xludf.DUMMYFUNCTION("""COMPUTED_VALUE"""),"")</f>
        <v/>
      </c>
      <c r="B132" s="64" t="str">
        <f>IFERROR(__xludf.DUMMYFUNCTION("""COMPUTED_VALUE"""),"")</f>
        <v/>
      </c>
      <c r="C132" s="63" t="str">
        <f>IFERROR(__xludf.DUMMYFUNCTION("""COMPUTED_VALUE"""),"")</f>
        <v/>
      </c>
      <c r="D132" s="63" t="str">
        <f>IFERROR(__xludf.DUMMYFUNCTION("""COMPUTED_VALUE"""),"")</f>
        <v/>
      </c>
      <c r="E132" s="51" t="str">
        <f>IFERROR(__xludf.DUMMYFUNCTION("""COMPUTED_VALUE"""),"")</f>
        <v/>
      </c>
      <c r="F132" s="82" t="str">
        <f>IFERROR(__xludf.DUMMYFUNCTION("""COMPUTED_VALUE"""),"")</f>
        <v/>
      </c>
      <c r="G132" s="52" t="str">
        <f>IFERROR(__xludf.DUMMYFUNCTION("""COMPUTED_VALUE"""),"")</f>
        <v/>
      </c>
      <c r="H132" s="53" t="str">
        <f>IFERROR(__xludf.DUMMYFUNCTION("""COMPUTED_VALUE"""),"")</f>
        <v/>
      </c>
      <c r="I132" s="53" t="str">
        <f>IFERROR(__xludf.DUMMYFUNCTION("""COMPUTED_VALUE"""),"")</f>
        <v/>
      </c>
      <c r="J132" s="53" t="str">
        <f>IFERROR(__xludf.DUMMYFUNCTION("""COMPUTED_VALUE"""),"")</f>
        <v/>
      </c>
      <c r="K132" s="54" t="str">
        <f>IFERROR(__xludf.DUMMYFUNCTION("""COMPUTED_VALUE"""),"")</f>
        <v/>
      </c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6"/>
      <c r="W132" s="56"/>
      <c r="X132" s="56"/>
      <c r="Y132" s="56"/>
      <c r="Z132" s="57"/>
      <c r="AA132" s="58"/>
      <c r="AB132" s="59"/>
    </row>
    <row r="133" ht="13.5" customHeight="1">
      <c r="A133" s="60" t="str">
        <f>IFERROR(__xludf.DUMMYFUNCTION("""COMPUTED_VALUE"""),"")</f>
        <v/>
      </c>
      <c r="B133" s="64" t="str">
        <f>IFERROR(__xludf.DUMMYFUNCTION("""COMPUTED_VALUE"""),"")</f>
        <v/>
      </c>
      <c r="C133" s="63" t="str">
        <f>IFERROR(__xludf.DUMMYFUNCTION("""COMPUTED_VALUE"""),"")</f>
        <v/>
      </c>
      <c r="D133" s="63" t="str">
        <f>IFERROR(__xludf.DUMMYFUNCTION("""COMPUTED_VALUE"""),"")</f>
        <v/>
      </c>
      <c r="E133" s="51" t="str">
        <f>IFERROR(__xludf.DUMMYFUNCTION("""COMPUTED_VALUE"""),"")</f>
        <v/>
      </c>
      <c r="F133" s="82" t="str">
        <f>IFERROR(__xludf.DUMMYFUNCTION("""COMPUTED_VALUE"""),"")</f>
        <v/>
      </c>
      <c r="G133" s="52" t="str">
        <f>IFERROR(__xludf.DUMMYFUNCTION("""COMPUTED_VALUE"""),"")</f>
        <v/>
      </c>
      <c r="H133" s="53" t="str">
        <f>IFERROR(__xludf.DUMMYFUNCTION("""COMPUTED_VALUE"""),"")</f>
        <v/>
      </c>
      <c r="I133" s="53" t="str">
        <f>IFERROR(__xludf.DUMMYFUNCTION("""COMPUTED_VALUE"""),"")</f>
        <v/>
      </c>
      <c r="J133" s="53" t="str">
        <f>IFERROR(__xludf.DUMMYFUNCTION("""COMPUTED_VALUE"""),"")</f>
        <v/>
      </c>
      <c r="K133" s="54" t="str">
        <f>IFERROR(__xludf.DUMMYFUNCTION("""COMPUTED_VALUE"""),"")</f>
        <v/>
      </c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6"/>
      <c r="W133" s="56"/>
      <c r="X133" s="56"/>
      <c r="Y133" s="56"/>
      <c r="Z133" s="57"/>
      <c r="AA133" s="58"/>
      <c r="AB133" s="59"/>
    </row>
    <row r="134" ht="13.5" customHeight="1">
      <c r="A134" s="60" t="str">
        <f>IFERROR(__xludf.DUMMYFUNCTION("""COMPUTED_VALUE"""),"")</f>
        <v/>
      </c>
      <c r="B134" s="64" t="str">
        <f>IFERROR(__xludf.DUMMYFUNCTION("""COMPUTED_VALUE"""),"")</f>
        <v/>
      </c>
      <c r="C134" s="63" t="str">
        <f>IFERROR(__xludf.DUMMYFUNCTION("""COMPUTED_VALUE"""),"")</f>
        <v/>
      </c>
      <c r="D134" s="63" t="str">
        <f>IFERROR(__xludf.DUMMYFUNCTION("""COMPUTED_VALUE"""),"")</f>
        <v/>
      </c>
      <c r="E134" s="51" t="str">
        <f>IFERROR(__xludf.DUMMYFUNCTION("""COMPUTED_VALUE"""),"")</f>
        <v/>
      </c>
      <c r="F134" s="82" t="str">
        <f>IFERROR(__xludf.DUMMYFUNCTION("""COMPUTED_VALUE"""),"")</f>
        <v/>
      </c>
      <c r="G134" s="52" t="str">
        <f>IFERROR(__xludf.DUMMYFUNCTION("""COMPUTED_VALUE"""),"")</f>
        <v/>
      </c>
      <c r="H134" s="53" t="str">
        <f>IFERROR(__xludf.DUMMYFUNCTION("""COMPUTED_VALUE"""),"")</f>
        <v/>
      </c>
      <c r="I134" s="53" t="str">
        <f>IFERROR(__xludf.DUMMYFUNCTION("""COMPUTED_VALUE"""),"")</f>
        <v/>
      </c>
      <c r="J134" s="53" t="str">
        <f>IFERROR(__xludf.DUMMYFUNCTION("""COMPUTED_VALUE"""),"")</f>
        <v/>
      </c>
      <c r="K134" s="54" t="str">
        <f>IFERROR(__xludf.DUMMYFUNCTION("""COMPUTED_VALUE"""),"")</f>
        <v/>
      </c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6"/>
      <c r="W134" s="56"/>
      <c r="X134" s="56"/>
      <c r="Y134" s="56"/>
      <c r="Z134" s="57"/>
      <c r="AA134" s="58"/>
      <c r="AB134" s="59"/>
    </row>
    <row r="135" ht="13.5" customHeight="1">
      <c r="A135" s="60" t="str">
        <f>IFERROR(__xludf.DUMMYFUNCTION("""COMPUTED_VALUE"""),"")</f>
        <v/>
      </c>
      <c r="B135" s="64" t="str">
        <f>IFERROR(__xludf.DUMMYFUNCTION("""COMPUTED_VALUE"""),"")</f>
        <v/>
      </c>
      <c r="C135" s="63" t="str">
        <f>IFERROR(__xludf.DUMMYFUNCTION("""COMPUTED_VALUE"""),"")</f>
        <v/>
      </c>
      <c r="D135" s="63" t="str">
        <f>IFERROR(__xludf.DUMMYFUNCTION("""COMPUTED_VALUE"""),"")</f>
        <v/>
      </c>
      <c r="E135" s="51" t="str">
        <f>IFERROR(__xludf.DUMMYFUNCTION("""COMPUTED_VALUE"""),"")</f>
        <v/>
      </c>
      <c r="F135" s="82" t="str">
        <f>IFERROR(__xludf.DUMMYFUNCTION("""COMPUTED_VALUE"""),"")</f>
        <v/>
      </c>
      <c r="G135" s="52" t="str">
        <f>IFERROR(__xludf.DUMMYFUNCTION("""COMPUTED_VALUE"""),"")</f>
        <v/>
      </c>
      <c r="H135" s="53" t="str">
        <f>IFERROR(__xludf.DUMMYFUNCTION("""COMPUTED_VALUE"""),"")</f>
        <v/>
      </c>
      <c r="I135" s="53" t="str">
        <f>IFERROR(__xludf.DUMMYFUNCTION("""COMPUTED_VALUE"""),"")</f>
        <v/>
      </c>
      <c r="J135" s="53" t="str">
        <f>IFERROR(__xludf.DUMMYFUNCTION("""COMPUTED_VALUE"""),"")</f>
        <v/>
      </c>
      <c r="K135" s="54" t="str">
        <f>IFERROR(__xludf.DUMMYFUNCTION("""COMPUTED_VALUE"""),"")</f>
        <v/>
      </c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6"/>
      <c r="W135" s="56"/>
      <c r="X135" s="56"/>
      <c r="Y135" s="56"/>
      <c r="Z135" s="57"/>
      <c r="AA135" s="58"/>
      <c r="AB135" s="59"/>
    </row>
    <row r="136" ht="13.5" customHeight="1">
      <c r="A136" s="60" t="str">
        <f>IFERROR(__xludf.DUMMYFUNCTION("""COMPUTED_VALUE"""),"")</f>
        <v/>
      </c>
      <c r="B136" s="64" t="str">
        <f>IFERROR(__xludf.DUMMYFUNCTION("""COMPUTED_VALUE"""),"")</f>
        <v/>
      </c>
      <c r="C136" s="63" t="str">
        <f>IFERROR(__xludf.DUMMYFUNCTION("""COMPUTED_VALUE"""),"")</f>
        <v/>
      </c>
      <c r="D136" s="63" t="str">
        <f>IFERROR(__xludf.DUMMYFUNCTION("""COMPUTED_VALUE"""),"")</f>
        <v/>
      </c>
      <c r="E136" s="51" t="str">
        <f>IFERROR(__xludf.DUMMYFUNCTION("""COMPUTED_VALUE"""),"")</f>
        <v/>
      </c>
      <c r="F136" s="82" t="str">
        <f>IFERROR(__xludf.DUMMYFUNCTION("""COMPUTED_VALUE"""),"")</f>
        <v/>
      </c>
      <c r="G136" s="52" t="str">
        <f>IFERROR(__xludf.DUMMYFUNCTION("""COMPUTED_VALUE"""),"")</f>
        <v/>
      </c>
      <c r="H136" s="53" t="str">
        <f>IFERROR(__xludf.DUMMYFUNCTION("""COMPUTED_VALUE"""),"")</f>
        <v/>
      </c>
      <c r="I136" s="53" t="str">
        <f>IFERROR(__xludf.DUMMYFUNCTION("""COMPUTED_VALUE"""),"")</f>
        <v/>
      </c>
      <c r="J136" s="53" t="str">
        <f>IFERROR(__xludf.DUMMYFUNCTION("""COMPUTED_VALUE"""),"")</f>
        <v/>
      </c>
      <c r="K136" s="54" t="str">
        <f>IFERROR(__xludf.DUMMYFUNCTION("""COMPUTED_VALUE"""),"")</f>
        <v/>
      </c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6"/>
      <c r="W136" s="56"/>
      <c r="X136" s="56"/>
      <c r="Y136" s="56"/>
      <c r="Z136" s="57"/>
      <c r="AA136" s="58"/>
      <c r="AB136" s="59"/>
    </row>
    <row r="137" ht="13.5" customHeight="1">
      <c r="A137" s="60" t="str">
        <f>IFERROR(__xludf.DUMMYFUNCTION("""COMPUTED_VALUE"""),"")</f>
        <v/>
      </c>
      <c r="B137" s="64" t="str">
        <f>IFERROR(__xludf.DUMMYFUNCTION("""COMPUTED_VALUE"""),"")</f>
        <v/>
      </c>
      <c r="C137" s="63" t="str">
        <f>IFERROR(__xludf.DUMMYFUNCTION("""COMPUTED_VALUE"""),"")</f>
        <v/>
      </c>
      <c r="D137" s="63" t="str">
        <f>IFERROR(__xludf.DUMMYFUNCTION("""COMPUTED_VALUE"""),"")</f>
        <v/>
      </c>
      <c r="E137" s="51" t="str">
        <f>IFERROR(__xludf.DUMMYFUNCTION("""COMPUTED_VALUE"""),"")</f>
        <v/>
      </c>
      <c r="F137" s="82" t="str">
        <f>IFERROR(__xludf.DUMMYFUNCTION("""COMPUTED_VALUE"""),"")</f>
        <v/>
      </c>
      <c r="G137" s="52" t="str">
        <f>IFERROR(__xludf.DUMMYFUNCTION("""COMPUTED_VALUE"""),"")</f>
        <v/>
      </c>
      <c r="H137" s="53" t="str">
        <f>IFERROR(__xludf.DUMMYFUNCTION("""COMPUTED_VALUE"""),"")</f>
        <v/>
      </c>
      <c r="I137" s="53" t="str">
        <f>IFERROR(__xludf.DUMMYFUNCTION("""COMPUTED_VALUE"""),"")</f>
        <v/>
      </c>
      <c r="J137" s="53" t="str">
        <f>IFERROR(__xludf.DUMMYFUNCTION("""COMPUTED_VALUE"""),"")</f>
        <v/>
      </c>
      <c r="K137" s="54" t="str">
        <f>IFERROR(__xludf.DUMMYFUNCTION("""COMPUTED_VALUE"""),"")</f>
        <v/>
      </c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6"/>
      <c r="W137" s="56"/>
      <c r="X137" s="56"/>
      <c r="Y137" s="56"/>
      <c r="Z137" s="57"/>
      <c r="AA137" s="58"/>
      <c r="AB137" s="59"/>
    </row>
    <row r="138" ht="13.5" customHeight="1">
      <c r="A138" s="60" t="str">
        <f>IFERROR(__xludf.DUMMYFUNCTION("""COMPUTED_VALUE"""),"")</f>
        <v/>
      </c>
      <c r="B138" s="64" t="str">
        <f>IFERROR(__xludf.DUMMYFUNCTION("""COMPUTED_VALUE"""),"")</f>
        <v/>
      </c>
      <c r="C138" s="63" t="str">
        <f>IFERROR(__xludf.DUMMYFUNCTION("""COMPUTED_VALUE"""),"")</f>
        <v/>
      </c>
      <c r="D138" s="63" t="str">
        <f>IFERROR(__xludf.DUMMYFUNCTION("""COMPUTED_VALUE"""),"")</f>
        <v/>
      </c>
      <c r="E138" s="51" t="str">
        <f>IFERROR(__xludf.DUMMYFUNCTION("""COMPUTED_VALUE"""),"")</f>
        <v/>
      </c>
      <c r="F138" s="82" t="str">
        <f>IFERROR(__xludf.DUMMYFUNCTION("""COMPUTED_VALUE"""),"")</f>
        <v/>
      </c>
      <c r="G138" s="52" t="str">
        <f>IFERROR(__xludf.DUMMYFUNCTION("""COMPUTED_VALUE"""),"")</f>
        <v/>
      </c>
      <c r="H138" s="53" t="str">
        <f>IFERROR(__xludf.DUMMYFUNCTION("""COMPUTED_VALUE"""),"")</f>
        <v/>
      </c>
      <c r="I138" s="53" t="str">
        <f>IFERROR(__xludf.DUMMYFUNCTION("""COMPUTED_VALUE"""),"")</f>
        <v/>
      </c>
      <c r="J138" s="53" t="str">
        <f>IFERROR(__xludf.DUMMYFUNCTION("""COMPUTED_VALUE"""),"")</f>
        <v/>
      </c>
      <c r="K138" s="54" t="str">
        <f>IFERROR(__xludf.DUMMYFUNCTION("""COMPUTED_VALUE"""),"")</f>
        <v/>
      </c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6"/>
      <c r="W138" s="56"/>
      <c r="X138" s="56"/>
      <c r="Y138" s="56"/>
      <c r="Z138" s="57"/>
      <c r="AA138" s="58"/>
      <c r="AB138" s="59"/>
    </row>
    <row r="139" ht="13.5" customHeight="1">
      <c r="A139" s="60" t="str">
        <f>IFERROR(__xludf.DUMMYFUNCTION("""COMPUTED_VALUE"""),"")</f>
        <v/>
      </c>
      <c r="B139" s="64" t="str">
        <f>IFERROR(__xludf.DUMMYFUNCTION("""COMPUTED_VALUE"""),"")</f>
        <v/>
      </c>
      <c r="C139" s="63" t="str">
        <f>IFERROR(__xludf.DUMMYFUNCTION("""COMPUTED_VALUE"""),"")</f>
        <v/>
      </c>
      <c r="D139" s="63" t="str">
        <f>IFERROR(__xludf.DUMMYFUNCTION("""COMPUTED_VALUE"""),"")</f>
        <v/>
      </c>
      <c r="E139" s="51" t="str">
        <f>IFERROR(__xludf.DUMMYFUNCTION("""COMPUTED_VALUE"""),"")</f>
        <v/>
      </c>
      <c r="F139" s="82" t="str">
        <f>IFERROR(__xludf.DUMMYFUNCTION("""COMPUTED_VALUE"""),"")</f>
        <v/>
      </c>
      <c r="G139" s="52" t="str">
        <f>IFERROR(__xludf.DUMMYFUNCTION("""COMPUTED_VALUE"""),"")</f>
        <v/>
      </c>
      <c r="H139" s="53" t="str">
        <f>IFERROR(__xludf.DUMMYFUNCTION("""COMPUTED_VALUE"""),"")</f>
        <v/>
      </c>
      <c r="I139" s="53" t="str">
        <f>IFERROR(__xludf.DUMMYFUNCTION("""COMPUTED_VALUE"""),"")</f>
        <v/>
      </c>
      <c r="J139" s="53" t="str">
        <f>IFERROR(__xludf.DUMMYFUNCTION("""COMPUTED_VALUE"""),"")</f>
        <v/>
      </c>
      <c r="K139" s="54" t="str">
        <f>IFERROR(__xludf.DUMMYFUNCTION("""COMPUTED_VALUE"""),"")</f>
        <v/>
      </c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6"/>
      <c r="W139" s="56"/>
      <c r="X139" s="56"/>
      <c r="Y139" s="56"/>
      <c r="Z139" s="57"/>
      <c r="AA139" s="58"/>
      <c r="AB139" s="59"/>
    </row>
    <row r="140" ht="13.5" customHeight="1">
      <c r="A140" s="60" t="str">
        <f>IFERROR(__xludf.DUMMYFUNCTION("""COMPUTED_VALUE"""),"")</f>
        <v/>
      </c>
      <c r="B140" s="64" t="str">
        <f>IFERROR(__xludf.DUMMYFUNCTION("""COMPUTED_VALUE"""),"")</f>
        <v/>
      </c>
      <c r="C140" s="63" t="str">
        <f>IFERROR(__xludf.DUMMYFUNCTION("""COMPUTED_VALUE"""),"")</f>
        <v/>
      </c>
      <c r="D140" s="63" t="str">
        <f>IFERROR(__xludf.DUMMYFUNCTION("""COMPUTED_VALUE"""),"")</f>
        <v/>
      </c>
      <c r="E140" s="51" t="str">
        <f>IFERROR(__xludf.DUMMYFUNCTION("""COMPUTED_VALUE"""),"")</f>
        <v/>
      </c>
      <c r="F140" s="82" t="str">
        <f>IFERROR(__xludf.DUMMYFUNCTION("""COMPUTED_VALUE"""),"")</f>
        <v/>
      </c>
      <c r="G140" s="52" t="str">
        <f>IFERROR(__xludf.DUMMYFUNCTION("""COMPUTED_VALUE"""),"")</f>
        <v/>
      </c>
      <c r="H140" s="53" t="str">
        <f>IFERROR(__xludf.DUMMYFUNCTION("""COMPUTED_VALUE"""),"")</f>
        <v/>
      </c>
      <c r="I140" s="53" t="str">
        <f>IFERROR(__xludf.DUMMYFUNCTION("""COMPUTED_VALUE"""),"")</f>
        <v/>
      </c>
      <c r="J140" s="53" t="str">
        <f>IFERROR(__xludf.DUMMYFUNCTION("""COMPUTED_VALUE"""),"")</f>
        <v/>
      </c>
      <c r="K140" s="54" t="str">
        <f>IFERROR(__xludf.DUMMYFUNCTION("""COMPUTED_VALUE"""),"")</f>
        <v/>
      </c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6"/>
      <c r="W140" s="56"/>
      <c r="X140" s="56"/>
      <c r="Y140" s="56"/>
      <c r="Z140" s="57"/>
      <c r="AA140" s="58"/>
      <c r="AB140" s="59"/>
    </row>
    <row r="141" ht="13.5" customHeight="1">
      <c r="A141" s="60" t="str">
        <f>IFERROR(__xludf.DUMMYFUNCTION("""COMPUTED_VALUE"""),"")</f>
        <v/>
      </c>
      <c r="B141" s="64" t="str">
        <f>IFERROR(__xludf.DUMMYFUNCTION("""COMPUTED_VALUE"""),"")</f>
        <v/>
      </c>
      <c r="C141" s="63" t="str">
        <f>IFERROR(__xludf.DUMMYFUNCTION("""COMPUTED_VALUE"""),"")</f>
        <v/>
      </c>
      <c r="D141" s="63" t="str">
        <f>IFERROR(__xludf.DUMMYFUNCTION("""COMPUTED_VALUE"""),"")</f>
        <v/>
      </c>
      <c r="E141" s="51" t="str">
        <f>IFERROR(__xludf.DUMMYFUNCTION("""COMPUTED_VALUE"""),"")</f>
        <v/>
      </c>
      <c r="F141" s="82" t="str">
        <f>IFERROR(__xludf.DUMMYFUNCTION("""COMPUTED_VALUE"""),"")</f>
        <v/>
      </c>
      <c r="G141" s="52" t="str">
        <f>IFERROR(__xludf.DUMMYFUNCTION("""COMPUTED_VALUE"""),"")</f>
        <v/>
      </c>
      <c r="H141" s="53" t="str">
        <f>IFERROR(__xludf.DUMMYFUNCTION("""COMPUTED_VALUE"""),"")</f>
        <v/>
      </c>
      <c r="I141" s="53" t="str">
        <f>IFERROR(__xludf.DUMMYFUNCTION("""COMPUTED_VALUE"""),"")</f>
        <v/>
      </c>
      <c r="J141" s="53" t="str">
        <f>IFERROR(__xludf.DUMMYFUNCTION("""COMPUTED_VALUE"""),"")</f>
        <v/>
      </c>
      <c r="K141" s="54" t="str">
        <f>IFERROR(__xludf.DUMMYFUNCTION("""COMPUTED_VALUE"""),"")</f>
        <v/>
      </c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6"/>
      <c r="W141" s="56"/>
      <c r="X141" s="56"/>
      <c r="Y141" s="56"/>
      <c r="Z141" s="57"/>
      <c r="AA141" s="58"/>
      <c r="AB141" s="59"/>
    </row>
    <row r="142" ht="13.5" customHeight="1">
      <c r="A142" s="60" t="str">
        <f>IFERROR(__xludf.DUMMYFUNCTION("""COMPUTED_VALUE"""),"")</f>
        <v/>
      </c>
      <c r="B142" s="64" t="str">
        <f>IFERROR(__xludf.DUMMYFUNCTION("""COMPUTED_VALUE"""),"")</f>
        <v/>
      </c>
      <c r="C142" s="63" t="str">
        <f>IFERROR(__xludf.DUMMYFUNCTION("""COMPUTED_VALUE"""),"")</f>
        <v/>
      </c>
      <c r="D142" s="63" t="str">
        <f>IFERROR(__xludf.DUMMYFUNCTION("""COMPUTED_VALUE"""),"")</f>
        <v/>
      </c>
      <c r="E142" s="51" t="str">
        <f>IFERROR(__xludf.DUMMYFUNCTION("""COMPUTED_VALUE"""),"")</f>
        <v/>
      </c>
      <c r="F142" s="82" t="str">
        <f>IFERROR(__xludf.DUMMYFUNCTION("""COMPUTED_VALUE"""),"")</f>
        <v/>
      </c>
      <c r="G142" s="52" t="str">
        <f>IFERROR(__xludf.DUMMYFUNCTION("""COMPUTED_VALUE"""),"")</f>
        <v/>
      </c>
      <c r="H142" s="53" t="str">
        <f>IFERROR(__xludf.DUMMYFUNCTION("""COMPUTED_VALUE"""),"")</f>
        <v/>
      </c>
      <c r="I142" s="53" t="str">
        <f>IFERROR(__xludf.DUMMYFUNCTION("""COMPUTED_VALUE"""),"")</f>
        <v/>
      </c>
      <c r="J142" s="53" t="str">
        <f>IFERROR(__xludf.DUMMYFUNCTION("""COMPUTED_VALUE"""),"")</f>
        <v/>
      </c>
      <c r="K142" s="54" t="str">
        <f>IFERROR(__xludf.DUMMYFUNCTION("""COMPUTED_VALUE"""),"")</f>
        <v/>
      </c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6"/>
      <c r="W142" s="56"/>
      <c r="X142" s="56"/>
      <c r="Y142" s="56"/>
      <c r="Z142" s="57"/>
      <c r="AA142" s="58"/>
      <c r="AB142" s="59"/>
    </row>
    <row r="143" ht="13.5" customHeight="1">
      <c r="A143" s="60" t="str">
        <f>IFERROR(__xludf.DUMMYFUNCTION("""COMPUTED_VALUE"""),"")</f>
        <v/>
      </c>
      <c r="B143" s="64" t="str">
        <f>IFERROR(__xludf.DUMMYFUNCTION("""COMPUTED_VALUE"""),"")</f>
        <v/>
      </c>
      <c r="C143" s="63" t="str">
        <f>IFERROR(__xludf.DUMMYFUNCTION("""COMPUTED_VALUE"""),"")</f>
        <v/>
      </c>
      <c r="D143" s="63" t="str">
        <f>IFERROR(__xludf.DUMMYFUNCTION("""COMPUTED_VALUE"""),"")</f>
        <v/>
      </c>
      <c r="E143" s="51" t="str">
        <f>IFERROR(__xludf.DUMMYFUNCTION("""COMPUTED_VALUE"""),"")</f>
        <v/>
      </c>
      <c r="F143" s="82" t="str">
        <f>IFERROR(__xludf.DUMMYFUNCTION("""COMPUTED_VALUE"""),"")</f>
        <v/>
      </c>
      <c r="G143" s="52" t="str">
        <f>IFERROR(__xludf.DUMMYFUNCTION("""COMPUTED_VALUE"""),"")</f>
        <v/>
      </c>
      <c r="H143" s="53" t="str">
        <f>IFERROR(__xludf.DUMMYFUNCTION("""COMPUTED_VALUE"""),"")</f>
        <v/>
      </c>
      <c r="I143" s="53" t="str">
        <f>IFERROR(__xludf.DUMMYFUNCTION("""COMPUTED_VALUE"""),"")</f>
        <v/>
      </c>
      <c r="J143" s="53" t="str">
        <f>IFERROR(__xludf.DUMMYFUNCTION("""COMPUTED_VALUE"""),"")</f>
        <v/>
      </c>
      <c r="K143" s="54" t="str">
        <f>IFERROR(__xludf.DUMMYFUNCTION("""COMPUTED_VALUE"""),"")</f>
        <v/>
      </c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6"/>
      <c r="W143" s="56"/>
      <c r="X143" s="56"/>
      <c r="Y143" s="56"/>
      <c r="Z143" s="57"/>
      <c r="AA143" s="58"/>
      <c r="AB143" s="59"/>
    </row>
    <row r="144" ht="13.5" customHeight="1">
      <c r="A144" s="60" t="str">
        <f>IFERROR(__xludf.DUMMYFUNCTION("""COMPUTED_VALUE"""),"")</f>
        <v/>
      </c>
      <c r="B144" s="64" t="str">
        <f>IFERROR(__xludf.DUMMYFUNCTION("""COMPUTED_VALUE"""),"")</f>
        <v/>
      </c>
      <c r="C144" s="63" t="str">
        <f>IFERROR(__xludf.DUMMYFUNCTION("""COMPUTED_VALUE"""),"")</f>
        <v/>
      </c>
      <c r="D144" s="63" t="str">
        <f>IFERROR(__xludf.DUMMYFUNCTION("""COMPUTED_VALUE"""),"")</f>
        <v/>
      </c>
      <c r="E144" s="51" t="str">
        <f>IFERROR(__xludf.DUMMYFUNCTION("""COMPUTED_VALUE"""),"")</f>
        <v/>
      </c>
      <c r="F144" s="82" t="str">
        <f>IFERROR(__xludf.DUMMYFUNCTION("""COMPUTED_VALUE"""),"")</f>
        <v/>
      </c>
      <c r="G144" s="52" t="str">
        <f>IFERROR(__xludf.DUMMYFUNCTION("""COMPUTED_VALUE"""),"")</f>
        <v/>
      </c>
      <c r="H144" s="53" t="str">
        <f>IFERROR(__xludf.DUMMYFUNCTION("""COMPUTED_VALUE"""),"")</f>
        <v/>
      </c>
      <c r="I144" s="53" t="str">
        <f>IFERROR(__xludf.DUMMYFUNCTION("""COMPUTED_VALUE"""),"")</f>
        <v/>
      </c>
      <c r="J144" s="53" t="str">
        <f>IFERROR(__xludf.DUMMYFUNCTION("""COMPUTED_VALUE"""),"")</f>
        <v/>
      </c>
      <c r="K144" s="54" t="str">
        <f>IFERROR(__xludf.DUMMYFUNCTION("""COMPUTED_VALUE"""),"")</f>
        <v/>
      </c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6"/>
      <c r="W144" s="56"/>
      <c r="X144" s="56"/>
      <c r="Y144" s="56"/>
      <c r="Z144" s="57"/>
      <c r="AA144" s="58"/>
      <c r="AB144" s="59"/>
    </row>
    <row r="145" ht="13.5" customHeight="1">
      <c r="A145" s="60" t="str">
        <f>IFERROR(__xludf.DUMMYFUNCTION("""COMPUTED_VALUE"""),"")</f>
        <v/>
      </c>
      <c r="B145" s="64" t="str">
        <f>IFERROR(__xludf.DUMMYFUNCTION("""COMPUTED_VALUE"""),"")</f>
        <v/>
      </c>
      <c r="C145" s="63" t="str">
        <f>IFERROR(__xludf.DUMMYFUNCTION("""COMPUTED_VALUE"""),"")</f>
        <v/>
      </c>
      <c r="D145" s="63" t="str">
        <f>IFERROR(__xludf.DUMMYFUNCTION("""COMPUTED_VALUE"""),"")</f>
        <v/>
      </c>
      <c r="E145" s="51" t="str">
        <f>IFERROR(__xludf.DUMMYFUNCTION("""COMPUTED_VALUE"""),"")</f>
        <v/>
      </c>
      <c r="F145" s="82" t="str">
        <f>IFERROR(__xludf.DUMMYFUNCTION("""COMPUTED_VALUE"""),"")</f>
        <v/>
      </c>
      <c r="G145" s="52" t="str">
        <f>IFERROR(__xludf.DUMMYFUNCTION("""COMPUTED_VALUE"""),"")</f>
        <v/>
      </c>
      <c r="H145" s="53" t="str">
        <f>IFERROR(__xludf.DUMMYFUNCTION("""COMPUTED_VALUE"""),"")</f>
        <v/>
      </c>
      <c r="I145" s="53" t="str">
        <f>IFERROR(__xludf.DUMMYFUNCTION("""COMPUTED_VALUE"""),"")</f>
        <v/>
      </c>
      <c r="J145" s="53" t="str">
        <f>IFERROR(__xludf.DUMMYFUNCTION("""COMPUTED_VALUE"""),"")</f>
        <v/>
      </c>
      <c r="K145" s="54" t="str">
        <f>IFERROR(__xludf.DUMMYFUNCTION("""COMPUTED_VALUE"""),"")</f>
        <v/>
      </c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6"/>
      <c r="W145" s="56"/>
      <c r="X145" s="56"/>
      <c r="Y145" s="56"/>
      <c r="Z145" s="57"/>
      <c r="AA145" s="58"/>
      <c r="AB145" s="59"/>
    </row>
    <row r="146" ht="13.5" customHeight="1">
      <c r="A146" s="60" t="str">
        <f>IFERROR(__xludf.DUMMYFUNCTION("""COMPUTED_VALUE"""),"")</f>
        <v/>
      </c>
      <c r="B146" s="64" t="str">
        <f>IFERROR(__xludf.DUMMYFUNCTION("""COMPUTED_VALUE"""),"")</f>
        <v/>
      </c>
      <c r="C146" s="63" t="str">
        <f>IFERROR(__xludf.DUMMYFUNCTION("""COMPUTED_VALUE"""),"")</f>
        <v/>
      </c>
      <c r="D146" s="63" t="str">
        <f>IFERROR(__xludf.DUMMYFUNCTION("""COMPUTED_VALUE"""),"")</f>
        <v/>
      </c>
      <c r="E146" s="51" t="str">
        <f>IFERROR(__xludf.DUMMYFUNCTION("""COMPUTED_VALUE"""),"")</f>
        <v/>
      </c>
      <c r="F146" s="82" t="str">
        <f>IFERROR(__xludf.DUMMYFUNCTION("""COMPUTED_VALUE"""),"")</f>
        <v/>
      </c>
      <c r="G146" s="52" t="str">
        <f>IFERROR(__xludf.DUMMYFUNCTION("""COMPUTED_VALUE"""),"")</f>
        <v/>
      </c>
      <c r="H146" s="53" t="str">
        <f>IFERROR(__xludf.DUMMYFUNCTION("""COMPUTED_VALUE"""),"")</f>
        <v/>
      </c>
      <c r="I146" s="53" t="str">
        <f>IFERROR(__xludf.DUMMYFUNCTION("""COMPUTED_VALUE"""),"")</f>
        <v/>
      </c>
      <c r="J146" s="53" t="str">
        <f>IFERROR(__xludf.DUMMYFUNCTION("""COMPUTED_VALUE"""),"")</f>
        <v/>
      </c>
      <c r="K146" s="54" t="str">
        <f>IFERROR(__xludf.DUMMYFUNCTION("""COMPUTED_VALUE"""),"")</f>
        <v/>
      </c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6"/>
      <c r="W146" s="56"/>
      <c r="X146" s="56"/>
      <c r="Y146" s="56"/>
      <c r="Z146" s="57"/>
      <c r="AA146" s="58"/>
      <c r="AB146" s="59"/>
    </row>
    <row r="147" ht="13.5" customHeight="1">
      <c r="A147" s="60" t="str">
        <f>IFERROR(__xludf.DUMMYFUNCTION("""COMPUTED_VALUE"""),"")</f>
        <v/>
      </c>
      <c r="B147" s="64" t="str">
        <f>IFERROR(__xludf.DUMMYFUNCTION("""COMPUTED_VALUE"""),"")</f>
        <v/>
      </c>
      <c r="C147" s="63" t="str">
        <f>IFERROR(__xludf.DUMMYFUNCTION("""COMPUTED_VALUE"""),"")</f>
        <v/>
      </c>
      <c r="D147" s="63" t="str">
        <f>IFERROR(__xludf.DUMMYFUNCTION("""COMPUTED_VALUE"""),"")</f>
        <v/>
      </c>
      <c r="E147" s="51" t="str">
        <f>IFERROR(__xludf.DUMMYFUNCTION("""COMPUTED_VALUE"""),"")</f>
        <v/>
      </c>
      <c r="F147" s="82" t="str">
        <f>IFERROR(__xludf.DUMMYFUNCTION("""COMPUTED_VALUE"""),"")</f>
        <v/>
      </c>
      <c r="G147" s="52" t="str">
        <f>IFERROR(__xludf.DUMMYFUNCTION("""COMPUTED_VALUE"""),"")</f>
        <v/>
      </c>
      <c r="H147" s="53" t="str">
        <f>IFERROR(__xludf.DUMMYFUNCTION("""COMPUTED_VALUE"""),"")</f>
        <v/>
      </c>
      <c r="I147" s="53" t="str">
        <f>IFERROR(__xludf.DUMMYFUNCTION("""COMPUTED_VALUE"""),"")</f>
        <v/>
      </c>
      <c r="J147" s="53" t="str">
        <f>IFERROR(__xludf.DUMMYFUNCTION("""COMPUTED_VALUE"""),"")</f>
        <v/>
      </c>
      <c r="K147" s="54" t="str">
        <f>IFERROR(__xludf.DUMMYFUNCTION("""COMPUTED_VALUE"""),"")</f>
        <v/>
      </c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6"/>
      <c r="W147" s="56"/>
      <c r="X147" s="56"/>
      <c r="Y147" s="56"/>
      <c r="Z147" s="57"/>
      <c r="AA147" s="58"/>
      <c r="AB147" s="59"/>
    </row>
    <row r="148" ht="13.5" customHeight="1">
      <c r="A148" s="60" t="str">
        <f>IFERROR(__xludf.DUMMYFUNCTION("""COMPUTED_VALUE"""),"")</f>
        <v/>
      </c>
      <c r="B148" s="64" t="str">
        <f>IFERROR(__xludf.DUMMYFUNCTION("""COMPUTED_VALUE"""),"")</f>
        <v/>
      </c>
      <c r="C148" s="63" t="str">
        <f>IFERROR(__xludf.DUMMYFUNCTION("""COMPUTED_VALUE"""),"")</f>
        <v/>
      </c>
      <c r="D148" s="63" t="str">
        <f>IFERROR(__xludf.DUMMYFUNCTION("""COMPUTED_VALUE"""),"")</f>
        <v/>
      </c>
      <c r="E148" s="51" t="str">
        <f>IFERROR(__xludf.DUMMYFUNCTION("""COMPUTED_VALUE"""),"")</f>
        <v/>
      </c>
      <c r="F148" s="82" t="str">
        <f>IFERROR(__xludf.DUMMYFUNCTION("""COMPUTED_VALUE"""),"")</f>
        <v/>
      </c>
      <c r="G148" s="52" t="str">
        <f>IFERROR(__xludf.DUMMYFUNCTION("""COMPUTED_VALUE"""),"")</f>
        <v/>
      </c>
      <c r="H148" s="53" t="str">
        <f>IFERROR(__xludf.DUMMYFUNCTION("""COMPUTED_VALUE"""),"")</f>
        <v/>
      </c>
      <c r="I148" s="53" t="str">
        <f>IFERROR(__xludf.DUMMYFUNCTION("""COMPUTED_VALUE"""),"")</f>
        <v/>
      </c>
      <c r="J148" s="53" t="str">
        <f>IFERROR(__xludf.DUMMYFUNCTION("""COMPUTED_VALUE"""),"")</f>
        <v/>
      </c>
      <c r="K148" s="54" t="str">
        <f>IFERROR(__xludf.DUMMYFUNCTION("""COMPUTED_VALUE"""),"")</f>
        <v/>
      </c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6"/>
      <c r="W148" s="56"/>
      <c r="X148" s="56"/>
      <c r="Y148" s="56"/>
      <c r="Z148" s="57"/>
      <c r="AA148" s="58"/>
      <c r="AB148" s="59"/>
    </row>
    <row r="149" ht="13.5" customHeight="1">
      <c r="A149" s="60" t="str">
        <f>IFERROR(__xludf.DUMMYFUNCTION("""COMPUTED_VALUE"""),"")</f>
        <v/>
      </c>
      <c r="B149" s="64" t="str">
        <f>IFERROR(__xludf.DUMMYFUNCTION("""COMPUTED_VALUE"""),"")</f>
        <v/>
      </c>
      <c r="C149" s="63" t="str">
        <f>IFERROR(__xludf.DUMMYFUNCTION("""COMPUTED_VALUE"""),"")</f>
        <v/>
      </c>
      <c r="D149" s="63" t="str">
        <f>IFERROR(__xludf.DUMMYFUNCTION("""COMPUTED_VALUE"""),"")</f>
        <v/>
      </c>
      <c r="E149" s="51" t="str">
        <f>IFERROR(__xludf.DUMMYFUNCTION("""COMPUTED_VALUE"""),"")</f>
        <v/>
      </c>
      <c r="F149" s="82" t="str">
        <f>IFERROR(__xludf.DUMMYFUNCTION("""COMPUTED_VALUE"""),"")</f>
        <v/>
      </c>
      <c r="G149" s="52" t="str">
        <f>IFERROR(__xludf.DUMMYFUNCTION("""COMPUTED_VALUE"""),"")</f>
        <v/>
      </c>
      <c r="H149" s="53" t="str">
        <f>IFERROR(__xludf.DUMMYFUNCTION("""COMPUTED_VALUE"""),"")</f>
        <v/>
      </c>
      <c r="I149" s="53" t="str">
        <f>IFERROR(__xludf.DUMMYFUNCTION("""COMPUTED_VALUE"""),"")</f>
        <v/>
      </c>
      <c r="J149" s="53" t="str">
        <f>IFERROR(__xludf.DUMMYFUNCTION("""COMPUTED_VALUE"""),"")</f>
        <v/>
      </c>
      <c r="K149" s="54" t="str">
        <f>IFERROR(__xludf.DUMMYFUNCTION("""COMPUTED_VALUE"""),"")</f>
        <v/>
      </c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6"/>
      <c r="W149" s="56"/>
      <c r="X149" s="56"/>
      <c r="Y149" s="56"/>
      <c r="Z149" s="57"/>
      <c r="AA149" s="58"/>
      <c r="AB149" s="59"/>
    </row>
    <row r="150" ht="13.5" customHeight="1">
      <c r="A150" s="60" t="str">
        <f>IFERROR(__xludf.DUMMYFUNCTION("""COMPUTED_VALUE"""),"")</f>
        <v/>
      </c>
      <c r="B150" s="64" t="str">
        <f>IFERROR(__xludf.DUMMYFUNCTION("""COMPUTED_VALUE"""),"")</f>
        <v/>
      </c>
      <c r="C150" s="63" t="str">
        <f>IFERROR(__xludf.DUMMYFUNCTION("""COMPUTED_VALUE"""),"")</f>
        <v/>
      </c>
      <c r="D150" s="63" t="str">
        <f>IFERROR(__xludf.DUMMYFUNCTION("""COMPUTED_VALUE"""),"")</f>
        <v/>
      </c>
      <c r="E150" s="51" t="str">
        <f>IFERROR(__xludf.DUMMYFUNCTION("""COMPUTED_VALUE"""),"")</f>
        <v/>
      </c>
      <c r="F150" s="82" t="str">
        <f>IFERROR(__xludf.DUMMYFUNCTION("""COMPUTED_VALUE"""),"")</f>
        <v/>
      </c>
      <c r="G150" s="52" t="str">
        <f>IFERROR(__xludf.DUMMYFUNCTION("""COMPUTED_VALUE"""),"")</f>
        <v/>
      </c>
      <c r="H150" s="53" t="str">
        <f>IFERROR(__xludf.DUMMYFUNCTION("""COMPUTED_VALUE"""),"")</f>
        <v/>
      </c>
      <c r="I150" s="53" t="str">
        <f>IFERROR(__xludf.DUMMYFUNCTION("""COMPUTED_VALUE"""),"")</f>
        <v/>
      </c>
      <c r="J150" s="53" t="str">
        <f>IFERROR(__xludf.DUMMYFUNCTION("""COMPUTED_VALUE"""),"")</f>
        <v/>
      </c>
      <c r="K150" s="54" t="str">
        <f>IFERROR(__xludf.DUMMYFUNCTION("""COMPUTED_VALUE"""),"")</f>
        <v/>
      </c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6"/>
      <c r="W150" s="56"/>
      <c r="X150" s="56"/>
      <c r="Y150" s="56"/>
      <c r="Z150" s="57"/>
      <c r="AA150" s="58"/>
      <c r="AB150" s="59"/>
    </row>
    <row r="151" ht="13.5" customHeight="1">
      <c r="A151" s="60" t="str">
        <f>IFERROR(__xludf.DUMMYFUNCTION("""COMPUTED_VALUE"""),"")</f>
        <v/>
      </c>
      <c r="B151" s="64" t="str">
        <f>IFERROR(__xludf.DUMMYFUNCTION("""COMPUTED_VALUE"""),"")</f>
        <v/>
      </c>
      <c r="C151" s="63" t="str">
        <f>IFERROR(__xludf.DUMMYFUNCTION("""COMPUTED_VALUE"""),"")</f>
        <v/>
      </c>
      <c r="D151" s="63" t="str">
        <f>IFERROR(__xludf.DUMMYFUNCTION("""COMPUTED_VALUE"""),"")</f>
        <v/>
      </c>
      <c r="E151" s="51" t="str">
        <f>IFERROR(__xludf.DUMMYFUNCTION("""COMPUTED_VALUE"""),"")</f>
        <v/>
      </c>
      <c r="F151" s="82" t="str">
        <f>IFERROR(__xludf.DUMMYFUNCTION("""COMPUTED_VALUE"""),"")</f>
        <v/>
      </c>
      <c r="G151" s="52" t="str">
        <f>IFERROR(__xludf.DUMMYFUNCTION("""COMPUTED_VALUE"""),"")</f>
        <v/>
      </c>
      <c r="H151" s="53" t="str">
        <f>IFERROR(__xludf.DUMMYFUNCTION("""COMPUTED_VALUE"""),"")</f>
        <v/>
      </c>
      <c r="I151" s="53" t="str">
        <f>IFERROR(__xludf.DUMMYFUNCTION("""COMPUTED_VALUE"""),"")</f>
        <v/>
      </c>
      <c r="J151" s="53" t="str">
        <f>IFERROR(__xludf.DUMMYFUNCTION("""COMPUTED_VALUE"""),"")</f>
        <v/>
      </c>
      <c r="K151" s="54" t="str">
        <f>IFERROR(__xludf.DUMMYFUNCTION("""COMPUTED_VALUE"""),"")</f>
        <v/>
      </c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6"/>
      <c r="W151" s="56"/>
      <c r="X151" s="56"/>
      <c r="Y151" s="56"/>
      <c r="Z151" s="57"/>
      <c r="AA151" s="58"/>
      <c r="AB151" s="59"/>
    </row>
    <row r="152" ht="13.5" customHeight="1">
      <c r="A152" s="60" t="str">
        <f>IFERROR(__xludf.DUMMYFUNCTION("""COMPUTED_VALUE"""),"")</f>
        <v/>
      </c>
      <c r="B152" s="64" t="str">
        <f>IFERROR(__xludf.DUMMYFUNCTION("""COMPUTED_VALUE"""),"")</f>
        <v/>
      </c>
      <c r="C152" s="63" t="str">
        <f>IFERROR(__xludf.DUMMYFUNCTION("""COMPUTED_VALUE"""),"")</f>
        <v/>
      </c>
      <c r="D152" s="63" t="str">
        <f>IFERROR(__xludf.DUMMYFUNCTION("""COMPUTED_VALUE"""),"")</f>
        <v/>
      </c>
      <c r="E152" s="51" t="str">
        <f>IFERROR(__xludf.DUMMYFUNCTION("""COMPUTED_VALUE"""),"")</f>
        <v/>
      </c>
      <c r="F152" s="82" t="str">
        <f>IFERROR(__xludf.DUMMYFUNCTION("""COMPUTED_VALUE"""),"")</f>
        <v/>
      </c>
      <c r="G152" s="52" t="str">
        <f>IFERROR(__xludf.DUMMYFUNCTION("""COMPUTED_VALUE"""),"")</f>
        <v/>
      </c>
      <c r="H152" s="53" t="str">
        <f>IFERROR(__xludf.DUMMYFUNCTION("""COMPUTED_VALUE"""),"")</f>
        <v/>
      </c>
      <c r="I152" s="53" t="str">
        <f>IFERROR(__xludf.DUMMYFUNCTION("""COMPUTED_VALUE"""),"")</f>
        <v/>
      </c>
      <c r="J152" s="53" t="str">
        <f>IFERROR(__xludf.DUMMYFUNCTION("""COMPUTED_VALUE"""),"")</f>
        <v/>
      </c>
      <c r="K152" s="54" t="str">
        <f>IFERROR(__xludf.DUMMYFUNCTION("""COMPUTED_VALUE"""),"")</f>
        <v/>
      </c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6"/>
      <c r="W152" s="56"/>
      <c r="X152" s="56"/>
      <c r="Y152" s="56"/>
      <c r="Z152" s="57"/>
      <c r="AA152" s="58"/>
      <c r="AB152" s="59"/>
    </row>
    <row r="153" ht="13.5" customHeight="1">
      <c r="A153" s="60" t="str">
        <f>IFERROR(__xludf.DUMMYFUNCTION("""COMPUTED_VALUE"""),"")</f>
        <v/>
      </c>
      <c r="B153" s="64" t="str">
        <f>IFERROR(__xludf.DUMMYFUNCTION("""COMPUTED_VALUE"""),"")</f>
        <v/>
      </c>
      <c r="C153" s="63" t="str">
        <f>IFERROR(__xludf.DUMMYFUNCTION("""COMPUTED_VALUE"""),"")</f>
        <v/>
      </c>
      <c r="D153" s="63" t="str">
        <f>IFERROR(__xludf.DUMMYFUNCTION("""COMPUTED_VALUE"""),"")</f>
        <v/>
      </c>
      <c r="E153" s="51" t="str">
        <f>IFERROR(__xludf.DUMMYFUNCTION("""COMPUTED_VALUE"""),"")</f>
        <v/>
      </c>
      <c r="F153" s="82" t="str">
        <f>IFERROR(__xludf.DUMMYFUNCTION("""COMPUTED_VALUE"""),"")</f>
        <v/>
      </c>
      <c r="G153" s="52" t="str">
        <f>IFERROR(__xludf.DUMMYFUNCTION("""COMPUTED_VALUE"""),"")</f>
        <v/>
      </c>
      <c r="H153" s="53" t="str">
        <f>IFERROR(__xludf.DUMMYFUNCTION("""COMPUTED_VALUE"""),"")</f>
        <v/>
      </c>
      <c r="I153" s="53" t="str">
        <f>IFERROR(__xludf.DUMMYFUNCTION("""COMPUTED_VALUE"""),"")</f>
        <v/>
      </c>
      <c r="J153" s="53" t="str">
        <f>IFERROR(__xludf.DUMMYFUNCTION("""COMPUTED_VALUE"""),"")</f>
        <v/>
      </c>
      <c r="K153" s="54" t="str">
        <f>IFERROR(__xludf.DUMMYFUNCTION("""COMPUTED_VALUE"""),"")</f>
        <v/>
      </c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6"/>
      <c r="W153" s="56"/>
      <c r="X153" s="56"/>
      <c r="Y153" s="56"/>
      <c r="Z153" s="57"/>
      <c r="AA153" s="58"/>
      <c r="AB153" s="59"/>
    </row>
    <row r="154" ht="13.5" customHeight="1">
      <c r="A154" s="60" t="str">
        <f>IFERROR(__xludf.DUMMYFUNCTION("""COMPUTED_VALUE"""),"")</f>
        <v/>
      </c>
      <c r="B154" s="64" t="str">
        <f>IFERROR(__xludf.DUMMYFUNCTION("""COMPUTED_VALUE"""),"")</f>
        <v/>
      </c>
      <c r="C154" s="63" t="str">
        <f>IFERROR(__xludf.DUMMYFUNCTION("""COMPUTED_VALUE"""),"")</f>
        <v/>
      </c>
      <c r="D154" s="63" t="str">
        <f>IFERROR(__xludf.DUMMYFUNCTION("""COMPUTED_VALUE"""),"")</f>
        <v/>
      </c>
      <c r="E154" s="51" t="str">
        <f>IFERROR(__xludf.DUMMYFUNCTION("""COMPUTED_VALUE"""),"")</f>
        <v/>
      </c>
      <c r="F154" s="82" t="str">
        <f>IFERROR(__xludf.DUMMYFUNCTION("""COMPUTED_VALUE"""),"")</f>
        <v/>
      </c>
      <c r="G154" s="52" t="str">
        <f>IFERROR(__xludf.DUMMYFUNCTION("""COMPUTED_VALUE"""),"")</f>
        <v/>
      </c>
      <c r="H154" s="53" t="str">
        <f>IFERROR(__xludf.DUMMYFUNCTION("""COMPUTED_VALUE"""),"")</f>
        <v/>
      </c>
      <c r="I154" s="53" t="str">
        <f>IFERROR(__xludf.DUMMYFUNCTION("""COMPUTED_VALUE"""),"")</f>
        <v/>
      </c>
      <c r="J154" s="53" t="str">
        <f>IFERROR(__xludf.DUMMYFUNCTION("""COMPUTED_VALUE"""),"")</f>
        <v/>
      </c>
      <c r="K154" s="54" t="str">
        <f>IFERROR(__xludf.DUMMYFUNCTION("""COMPUTED_VALUE"""),"")</f>
        <v/>
      </c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6"/>
      <c r="W154" s="56"/>
      <c r="X154" s="56"/>
      <c r="Y154" s="56"/>
      <c r="Z154" s="57"/>
      <c r="AA154" s="58"/>
      <c r="AB154" s="59"/>
    </row>
    <row r="155" ht="13.5" customHeight="1">
      <c r="A155" s="60" t="str">
        <f>IFERROR(__xludf.DUMMYFUNCTION("""COMPUTED_VALUE"""),"")</f>
        <v/>
      </c>
      <c r="B155" s="64" t="str">
        <f>IFERROR(__xludf.DUMMYFUNCTION("""COMPUTED_VALUE"""),"")</f>
        <v/>
      </c>
      <c r="C155" s="63" t="str">
        <f>IFERROR(__xludf.DUMMYFUNCTION("""COMPUTED_VALUE"""),"")</f>
        <v/>
      </c>
      <c r="D155" s="63" t="str">
        <f>IFERROR(__xludf.DUMMYFUNCTION("""COMPUTED_VALUE"""),"")</f>
        <v/>
      </c>
      <c r="E155" s="51" t="str">
        <f>IFERROR(__xludf.DUMMYFUNCTION("""COMPUTED_VALUE"""),"")</f>
        <v/>
      </c>
      <c r="F155" s="82" t="str">
        <f>IFERROR(__xludf.DUMMYFUNCTION("""COMPUTED_VALUE"""),"")</f>
        <v/>
      </c>
      <c r="G155" s="52" t="str">
        <f>IFERROR(__xludf.DUMMYFUNCTION("""COMPUTED_VALUE"""),"")</f>
        <v/>
      </c>
      <c r="H155" s="53" t="str">
        <f>IFERROR(__xludf.DUMMYFUNCTION("""COMPUTED_VALUE"""),"")</f>
        <v/>
      </c>
      <c r="I155" s="53" t="str">
        <f>IFERROR(__xludf.DUMMYFUNCTION("""COMPUTED_VALUE"""),"")</f>
        <v/>
      </c>
      <c r="J155" s="53" t="str">
        <f>IFERROR(__xludf.DUMMYFUNCTION("""COMPUTED_VALUE"""),"")</f>
        <v/>
      </c>
      <c r="K155" s="54" t="str">
        <f>IFERROR(__xludf.DUMMYFUNCTION("""COMPUTED_VALUE"""),"")</f>
        <v/>
      </c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6"/>
      <c r="W155" s="56"/>
      <c r="X155" s="56"/>
      <c r="Y155" s="56"/>
      <c r="Z155" s="57"/>
      <c r="AA155" s="58"/>
      <c r="AB155" s="59"/>
    </row>
    <row r="156" ht="13.5" customHeight="1">
      <c r="A156" s="60" t="str">
        <f>IFERROR(__xludf.DUMMYFUNCTION("""COMPUTED_VALUE"""),"")</f>
        <v/>
      </c>
      <c r="B156" s="64" t="str">
        <f>IFERROR(__xludf.DUMMYFUNCTION("""COMPUTED_VALUE"""),"")</f>
        <v/>
      </c>
      <c r="C156" s="63" t="str">
        <f>IFERROR(__xludf.DUMMYFUNCTION("""COMPUTED_VALUE"""),"")</f>
        <v/>
      </c>
      <c r="D156" s="63" t="str">
        <f>IFERROR(__xludf.DUMMYFUNCTION("""COMPUTED_VALUE"""),"")</f>
        <v/>
      </c>
      <c r="E156" s="51" t="str">
        <f>IFERROR(__xludf.DUMMYFUNCTION("""COMPUTED_VALUE"""),"")</f>
        <v/>
      </c>
      <c r="F156" s="82" t="str">
        <f>IFERROR(__xludf.DUMMYFUNCTION("""COMPUTED_VALUE"""),"")</f>
        <v/>
      </c>
      <c r="G156" s="52" t="str">
        <f>IFERROR(__xludf.DUMMYFUNCTION("""COMPUTED_VALUE"""),"")</f>
        <v/>
      </c>
      <c r="H156" s="53" t="str">
        <f>IFERROR(__xludf.DUMMYFUNCTION("""COMPUTED_VALUE"""),"")</f>
        <v/>
      </c>
      <c r="I156" s="53" t="str">
        <f>IFERROR(__xludf.DUMMYFUNCTION("""COMPUTED_VALUE"""),"")</f>
        <v/>
      </c>
      <c r="J156" s="53" t="str">
        <f>IFERROR(__xludf.DUMMYFUNCTION("""COMPUTED_VALUE"""),"")</f>
        <v/>
      </c>
      <c r="K156" s="54" t="str">
        <f>IFERROR(__xludf.DUMMYFUNCTION("""COMPUTED_VALUE"""),"")</f>
        <v/>
      </c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6"/>
      <c r="W156" s="56"/>
      <c r="X156" s="56"/>
      <c r="Y156" s="56"/>
      <c r="Z156" s="57"/>
      <c r="AA156" s="58"/>
      <c r="AB156" s="59"/>
    </row>
    <row r="157" ht="13.5" customHeight="1">
      <c r="A157" s="60" t="str">
        <f>IFERROR(__xludf.DUMMYFUNCTION("""COMPUTED_VALUE"""),"")</f>
        <v/>
      </c>
      <c r="B157" s="64" t="str">
        <f>IFERROR(__xludf.DUMMYFUNCTION("""COMPUTED_VALUE"""),"")</f>
        <v/>
      </c>
      <c r="C157" s="63" t="str">
        <f>IFERROR(__xludf.DUMMYFUNCTION("""COMPUTED_VALUE"""),"")</f>
        <v/>
      </c>
      <c r="D157" s="63" t="str">
        <f>IFERROR(__xludf.DUMMYFUNCTION("""COMPUTED_VALUE"""),"")</f>
        <v/>
      </c>
      <c r="E157" s="51" t="str">
        <f>IFERROR(__xludf.DUMMYFUNCTION("""COMPUTED_VALUE"""),"")</f>
        <v/>
      </c>
      <c r="F157" s="82" t="str">
        <f>IFERROR(__xludf.DUMMYFUNCTION("""COMPUTED_VALUE"""),"")</f>
        <v/>
      </c>
      <c r="G157" s="52" t="str">
        <f>IFERROR(__xludf.DUMMYFUNCTION("""COMPUTED_VALUE"""),"")</f>
        <v/>
      </c>
      <c r="H157" s="53" t="str">
        <f>IFERROR(__xludf.DUMMYFUNCTION("""COMPUTED_VALUE"""),"")</f>
        <v/>
      </c>
      <c r="I157" s="53" t="str">
        <f>IFERROR(__xludf.DUMMYFUNCTION("""COMPUTED_VALUE"""),"")</f>
        <v/>
      </c>
      <c r="J157" s="53" t="str">
        <f>IFERROR(__xludf.DUMMYFUNCTION("""COMPUTED_VALUE"""),"")</f>
        <v/>
      </c>
      <c r="K157" s="54" t="str">
        <f>IFERROR(__xludf.DUMMYFUNCTION("""COMPUTED_VALUE"""),"")</f>
        <v/>
      </c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6"/>
      <c r="W157" s="56"/>
      <c r="X157" s="56"/>
      <c r="Y157" s="56"/>
      <c r="Z157" s="57"/>
      <c r="AA157" s="58"/>
      <c r="AB157" s="59"/>
    </row>
    <row r="158" ht="13.5" customHeight="1">
      <c r="A158" s="60" t="str">
        <f>IFERROR(__xludf.DUMMYFUNCTION("""COMPUTED_VALUE"""),"")</f>
        <v/>
      </c>
      <c r="B158" s="64" t="str">
        <f>IFERROR(__xludf.DUMMYFUNCTION("""COMPUTED_VALUE"""),"")</f>
        <v/>
      </c>
      <c r="C158" s="63" t="str">
        <f>IFERROR(__xludf.DUMMYFUNCTION("""COMPUTED_VALUE"""),"")</f>
        <v/>
      </c>
      <c r="D158" s="63" t="str">
        <f>IFERROR(__xludf.DUMMYFUNCTION("""COMPUTED_VALUE"""),"")</f>
        <v/>
      </c>
      <c r="E158" s="51" t="str">
        <f>IFERROR(__xludf.DUMMYFUNCTION("""COMPUTED_VALUE"""),"")</f>
        <v/>
      </c>
      <c r="F158" s="82" t="str">
        <f>IFERROR(__xludf.DUMMYFUNCTION("""COMPUTED_VALUE"""),"")</f>
        <v/>
      </c>
      <c r="G158" s="52" t="str">
        <f>IFERROR(__xludf.DUMMYFUNCTION("""COMPUTED_VALUE"""),"")</f>
        <v/>
      </c>
      <c r="H158" s="53" t="str">
        <f>IFERROR(__xludf.DUMMYFUNCTION("""COMPUTED_VALUE"""),"")</f>
        <v/>
      </c>
      <c r="I158" s="53" t="str">
        <f>IFERROR(__xludf.DUMMYFUNCTION("""COMPUTED_VALUE"""),"")</f>
        <v/>
      </c>
      <c r="J158" s="53" t="str">
        <f>IFERROR(__xludf.DUMMYFUNCTION("""COMPUTED_VALUE"""),"")</f>
        <v/>
      </c>
      <c r="K158" s="54" t="str">
        <f>IFERROR(__xludf.DUMMYFUNCTION("""COMPUTED_VALUE"""),"")</f>
        <v/>
      </c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6"/>
      <c r="W158" s="56"/>
      <c r="X158" s="56"/>
      <c r="Y158" s="56"/>
      <c r="Z158" s="57"/>
      <c r="AA158" s="58"/>
      <c r="AB158" s="59"/>
    </row>
    <row r="159" ht="13.5" customHeight="1">
      <c r="A159" s="60" t="str">
        <f>IFERROR(__xludf.DUMMYFUNCTION("""COMPUTED_VALUE"""),"")</f>
        <v/>
      </c>
      <c r="B159" s="64" t="str">
        <f>IFERROR(__xludf.DUMMYFUNCTION("""COMPUTED_VALUE"""),"")</f>
        <v/>
      </c>
      <c r="C159" s="63" t="str">
        <f>IFERROR(__xludf.DUMMYFUNCTION("""COMPUTED_VALUE"""),"")</f>
        <v/>
      </c>
      <c r="D159" s="63" t="str">
        <f>IFERROR(__xludf.DUMMYFUNCTION("""COMPUTED_VALUE"""),"")</f>
        <v/>
      </c>
      <c r="E159" s="51" t="str">
        <f>IFERROR(__xludf.DUMMYFUNCTION("""COMPUTED_VALUE"""),"")</f>
        <v/>
      </c>
      <c r="F159" s="82" t="str">
        <f>IFERROR(__xludf.DUMMYFUNCTION("""COMPUTED_VALUE"""),"")</f>
        <v/>
      </c>
      <c r="G159" s="52" t="str">
        <f>IFERROR(__xludf.DUMMYFUNCTION("""COMPUTED_VALUE"""),"")</f>
        <v/>
      </c>
      <c r="H159" s="53" t="str">
        <f>IFERROR(__xludf.DUMMYFUNCTION("""COMPUTED_VALUE"""),"")</f>
        <v/>
      </c>
      <c r="I159" s="53" t="str">
        <f>IFERROR(__xludf.DUMMYFUNCTION("""COMPUTED_VALUE"""),"")</f>
        <v/>
      </c>
      <c r="J159" s="53" t="str">
        <f>IFERROR(__xludf.DUMMYFUNCTION("""COMPUTED_VALUE"""),"")</f>
        <v/>
      </c>
      <c r="K159" s="54" t="str">
        <f>IFERROR(__xludf.DUMMYFUNCTION("""COMPUTED_VALUE"""),"")</f>
        <v/>
      </c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6"/>
      <c r="W159" s="56"/>
      <c r="X159" s="56"/>
      <c r="Y159" s="56"/>
      <c r="Z159" s="57"/>
      <c r="AA159" s="58"/>
      <c r="AB159" s="59"/>
    </row>
    <row r="160" ht="13.5" customHeight="1">
      <c r="A160" s="60" t="str">
        <f>IFERROR(__xludf.DUMMYFUNCTION("""COMPUTED_VALUE"""),"")</f>
        <v/>
      </c>
      <c r="B160" s="64" t="str">
        <f>IFERROR(__xludf.DUMMYFUNCTION("""COMPUTED_VALUE"""),"")</f>
        <v/>
      </c>
      <c r="C160" s="63" t="str">
        <f>IFERROR(__xludf.DUMMYFUNCTION("""COMPUTED_VALUE"""),"")</f>
        <v/>
      </c>
      <c r="D160" s="63" t="str">
        <f>IFERROR(__xludf.DUMMYFUNCTION("""COMPUTED_VALUE"""),"")</f>
        <v/>
      </c>
      <c r="E160" s="51" t="str">
        <f>IFERROR(__xludf.DUMMYFUNCTION("""COMPUTED_VALUE"""),"")</f>
        <v/>
      </c>
      <c r="F160" s="82" t="str">
        <f>IFERROR(__xludf.DUMMYFUNCTION("""COMPUTED_VALUE"""),"")</f>
        <v/>
      </c>
      <c r="G160" s="52" t="str">
        <f>IFERROR(__xludf.DUMMYFUNCTION("""COMPUTED_VALUE"""),"")</f>
        <v/>
      </c>
      <c r="H160" s="53" t="str">
        <f>IFERROR(__xludf.DUMMYFUNCTION("""COMPUTED_VALUE"""),"")</f>
        <v/>
      </c>
      <c r="I160" s="53" t="str">
        <f>IFERROR(__xludf.DUMMYFUNCTION("""COMPUTED_VALUE"""),"")</f>
        <v/>
      </c>
      <c r="J160" s="53" t="str">
        <f>IFERROR(__xludf.DUMMYFUNCTION("""COMPUTED_VALUE"""),"")</f>
        <v/>
      </c>
      <c r="K160" s="54" t="str">
        <f>IFERROR(__xludf.DUMMYFUNCTION("""COMPUTED_VALUE"""),"")</f>
        <v/>
      </c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6"/>
      <c r="W160" s="56"/>
      <c r="X160" s="56"/>
      <c r="Y160" s="56"/>
      <c r="Z160" s="57"/>
      <c r="AA160" s="58"/>
      <c r="AB160" s="59"/>
    </row>
    <row r="161" ht="13.5" customHeight="1">
      <c r="A161" s="60" t="str">
        <f>IFERROR(__xludf.DUMMYFUNCTION("""COMPUTED_VALUE"""),"")</f>
        <v/>
      </c>
      <c r="B161" s="64" t="str">
        <f>IFERROR(__xludf.DUMMYFUNCTION("""COMPUTED_VALUE"""),"")</f>
        <v/>
      </c>
      <c r="C161" s="63" t="str">
        <f>IFERROR(__xludf.DUMMYFUNCTION("""COMPUTED_VALUE"""),"")</f>
        <v/>
      </c>
      <c r="D161" s="63" t="str">
        <f>IFERROR(__xludf.DUMMYFUNCTION("""COMPUTED_VALUE"""),"")</f>
        <v/>
      </c>
      <c r="E161" s="51" t="str">
        <f>IFERROR(__xludf.DUMMYFUNCTION("""COMPUTED_VALUE"""),"")</f>
        <v/>
      </c>
      <c r="F161" s="82" t="str">
        <f>IFERROR(__xludf.DUMMYFUNCTION("""COMPUTED_VALUE"""),"")</f>
        <v/>
      </c>
      <c r="G161" s="52" t="str">
        <f>IFERROR(__xludf.DUMMYFUNCTION("""COMPUTED_VALUE"""),"")</f>
        <v/>
      </c>
      <c r="H161" s="53" t="str">
        <f>IFERROR(__xludf.DUMMYFUNCTION("""COMPUTED_VALUE"""),"")</f>
        <v/>
      </c>
      <c r="I161" s="53" t="str">
        <f>IFERROR(__xludf.DUMMYFUNCTION("""COMPUTED_VALUE"""),"")</f>
        <v/>
      </c>
      <c r="J161" s="53" t="str">
        <f>IFERROR(__xludf.DUMMYFUNCTION("""COMPUTED_VALUE"""),"")</f>
        <v/>
      </c>
      <c r="K161" s="54" t="str">
        <f>IFERROR(__xludf.DUMMYFUNCTION("""COMPUTED_VALUE"""),"")</f>
        <v/>
      </c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6"/>
      <c r="W161" s="56"/>
      <c r="X161" s="56"/>
      <c r="Y161" s="56"/>
      <c r="Z161" s="57"/>
      <c r="AA161" s="58"/>
      <c r="AB161" s="59"/>
    </row>
    <row r="162" ht="13.5" customHeight="1">
      <c r="A162" s="60" t="str">
        <f>IFERROR(__xludf.DUMMYFUNCTION("""COMPUTED_VALUE"""),"")</f>
        <v/>
      </c>
      <c r="B162" s="64" t="str">
        <f>IFERROR(__xludf.DUMMYFUNCTION("""COMPUTED_VALUE"""),"")</f>
        <v/>
      </c>
      <c r="C162" s="63" t="str">
        <f>IFERROR(__xludf.DUMMYFUNCTION("""COMPUTED_VALUE"""),"")</f>
        <v/>
      </c>
      <c r="D162" s="63" t="str">
        <f>IFERROR(__xludf.DUMMYFUNCTION("""COMPUTED_VALUE"""),"")</f>
        <v/>
      </c>
      <c r="E162" s="51" t="str">
        <f>IFERROR(__xludf.DUMMYFUNCTION("""COMPUTED_VALUE"""),"")</f>
        <v/>
      </c>
      <c r="F162" s="82" t="str">
        <f>IFERROR(__xludf.DUMMYFUNCTION("""COMPUTED_VALUE"""),"")</f>
        <v/>
      </c>
      <c r="G162" s="52" t="str">
        <f>IFERROR(__xludf.DUMMYFUNCTION("""COMPUTED_VALUE"""),"")</f>
        <v/>
      </c>
      <c r="H162" s="53" t="str">
        <f>IFERROR(__xludf.DUMMYFUNCTION("""COMPUTED_VALUE"""),"")</f>
        <v/>
      </c>
      <c r="I162" s="53" t="str">
        <f>IFERROR(__xludf.DUMMYFUNCTION("""COMPUTED_VALUE"""),"")</f>
        <v/>
      </c>
      <c r="J162" s="53" t="str">
        <f>IFERROR(__xludf.DUMMYFUNCTION("""COMPUTED_VALUE"""),"")</f>
        <v/>
      </c>
      <c r="K162" s="54" t="str">
        <f>IFERROR(__xludf.DUMMYFUNCTION("""COMPUTED_VALUE"""),"")</f>
        <v/>
      </c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6"/>
      <c r="W162" s="56"/>
      <c r="X162" s="56"/>
      <c r="Y162" s="56"/>
      <c r="Z162" s="57"/>
      <c r="AA162" s="58"/>
      <c r="AB162" s="59"/>
    </row>
    <row r="163" ht="13.5" customHeight="1">
      <c r="A163" s="60" t="str">
        <f>IFERROR(__xludf.DUMMYFUNCTION("""COMPUTED_VALUE"""),"")</f>
        <v/>
      </c>
      <c r="B163" s="64" t="str">
        <f>IFERROR(__xludf.DUMMYFUNCTION("""COMPUTED_VALUE"""),"")</f>
        <v/>
      </c>
      <c r="C163" s="63" t="str">
        <f>IFERROR(__xludf.DUMMYFUNCTION("""COMPUTED_VALUE"""),"")</f>
        <v/>
      </c>
      <c r="D163" s="63" t="str">
        <f>IFERROR(__xludf.DUMMYFUNCTION("""COMPUTED_VALUE"""),"")</f>
        <v/>
      </c>
      <c r="E163" s="51" t="str">
        <f>IFERROR(__xludf.DUMMYFUNCTION("""COMPUTED_VALUE"""),"")</f>
        <v/>
      </c>
      <c r="F163" s="82" t="str">
        <f>IFERROR(__xludf.DUMMYFUNCTION("""COMPUTED_VALUE"""),"")</f>
        <v/>
      </c>
      <c r="G163" s="52" t="str">
        <f>IFERROR(__xludf.DUMMYFUNCTION("""COMPUTED_VALUE"""),"")</f>
        <v/>
      </c>
      <c r="H163" s="53" t="str">
        <f>IFERROR(__xludf.DUMMYFUNCTION("""COMPUTED_VALUE"""),"")</f>
        <v/>
      </c>
      <c r="I163" s="53" t="str">
        <f>IFERROR(__xludf.DUMMYFUNCTION("""COMPUTED_VALUE"""),"")</f>
        <v/>
      </c>
      <c r="J163" s="53" t="str">
        <f>IFERROR(__xludf.DUMMYFUNCTION("""COMPUTED_VALUE"""),"")</f>
        <v/>
      </c>
      <c r="K163" s="54" t="str">
        <f>IFERROR(__xludf.DUMMYFUNCTION("""COMPUTED_VALUE"""),"")</f>
        <v/>
      </c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6"/>
      <c r="W163" s="56"/>
      <c r="X163" s="56"/>
      <c r="Y163" s="56"/>
      <c r="Z163" s="57"/>
      <c r="AA163" s="58"/>
      <c r="AB163" s="59"/>
    </row>
    <row r="164" ht="13.5" customHeight="1">
      <c r="A164" s="60" t="str">
        <f>IFERROR(__xludf.DUMMYFUNCTION("""COMPUTED_VALUE"""),"")</f>
        <v/>
      </c>
      <c r="B164" s="64" t="str">
        <f>IFERROR(__xludf.DUMMYFUNCTION("""COMPUTED_VALUE"""),"")</f>
        <v/>
      </c>
      <c r="C164" s="63" t="str">
        <f>IFERROR(__xludf.DUMMYFUNCTION("""COMPUTED_VALUE"""),"")</f>
        <v/>
      </c>
      <c r="D164" s="63" t="str">
        <f>IFERROR(__xludf.DUMMYFUNCTION("""COMPUTED_VALUE"""),"")</f>
        <v/>
      </c>
      <c r="E164" s="51" t="str">
        <f>IFERROR(__xludf.DUMMYFUNCTION("""COMPUTED_VALUE"""),"")</f>
        <v/>
      </c>
      <c r="F164" s="82" t="str">
        <f>IFERROR(__xludf.DUMMYFUNCTION("""COMPUTED_VALUE"""),"")</f>
        <v/>
      </c>
      <c r="G164" s="52" t="str">
        <f>IFERROR(__xludf.DUMMYFUNCTION("""COMPUTED_VALUE"""),"")</f>
        <v/>
      </c>
      <c r="H164" s="53" t="str">
        <f>IFERROR(__xludf.DUMMYFUNCTION("""COMPUTED_VALUE"""),"")</f>
        <v/>
      </c>
      <c r="I164" s="53" t="str">
        <f>IFERROR(__xludf.DUMMYFUNCTION("""COMPUTED_VALUE"""),"")</f>
        <v/>
      </c>
      <c r="J164" s="53" t="str">
        <f>IFERROR(__xludf.DUMMYFUNCTION("""COMPUTED_VALUE"""),"")</f>
        <v/>
      </c>
      <c r="K164" s="54" t="str">
        <f>IFERROR(__xludf.DUMMYFUNCTION("""COMPUTED_VALUE"""),"")</f>
        <v/>
      </c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6"/>
      <c r="W164" s="56"/>
      <c r="X164" s="56"/>
      <c r="Y164" s="56"/>
      <c r="Z164" s="57"/>
      <c r="AA164" s="58"/>
      <c r="AB164" s="59"/>
    </row>
    <row r="165" ht="13.5" customHeight="1">
      <c r="A165" s="60" t="str">
        <f>IFERROR(__xludf.DUMMYFUNCTION("""COMPUTED_VALUE"""),"")</f>
        <v/>
      </c>
      <c r="B165" s="64" t="str">
        <f>IFERROR(__xludf.DUMMYFUNCTION("""COMPUTED_VALUE"""),"")</f>
        <v/>
      </c>
      <c r="C165" s="63" t="str">
        <f>IFERROR(__xludf.DUMMYFUNCTION("""COMPUTED_VALUE"""),"")</f>
        <v/>
      </c>
      <c r="D165" s="63" t="str">
        <f>IFERROR(__xludf.DUMMYFUNCTION("""COMPUTED_VALUE"""),"")</f>
        <v/>
      </c>
      <c r="E165" s="51" t="str">
        <f>IFERROR(__xludf.DUMMYFUNCTION("""COMPUTED_VALUE"""),"")</f>
        <v/>
      </c>
      <c r="F165" s="82" t="str">
        <f>IFERROR(__xludf.DUMMYFUNCTION("""COMPUTED_VALUE"""),"")</f>
        <v/>
      </c>
      <c r="G165" s="52" t="str">
        <f>IFERROR(__xludf.DUMMYFUNCTION("""COMPUTED_VALUE"""),"")</f>
        <v/>
      </c>
      <c r="H165" s="53" t="str">
        <f>IFERROR(__xludf.DUMMYFUNCTION("""COMPUTED_VALUE"""),"")</f>
        <v/>
      </c>
      <c r="I165" s="53" t="str">
        <f>IFERROR(__xludf.DUMMYFUNCTION("""COMPUTED_VALUE"""),"")</f>
        <v/>
      </c>
      <c r="J165" s="53" t="str">
        <f>IFERROR(__xludf.DUMMYFUNCTION("""COMPUTED_VALUE"""),"")</f>
        <v/>
      </c>
      <c r="K165" s="54" t="str">
        <f>IFERROR(__xludf.DUMMYFUNCTION("""COMPUTED_VALUE"""),"")</f>
        <v/>
      </c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6"/>
      <c r="W165" s="56"/>
      <c r="X165" s="56"/>
      <c r="Y165" s="56"/>
      <c r="Z165" s="57"/>
      <c r="AA165" s="58"/>
      <c r="AB165" s="59"/>
    </row>
    <row r="166" ht="13.5" customHeight="1">
      <c r="A166" s="60" t="str">
        <f>IFERROR(__xludf.DUMMYFUNCTION("""COMPUTED_VALUE"""),"")</f>
        <v/>
      </c>
      <c r="B166" s="64" t="str">
        <f>IFERROR(__xludf.DUMMYFUNCTION("""COMPUTED_VALUE"""),"")</f>
        <v/>
      </c>
      <c r="C166" s="63" t="str">
        <f>IFERROR(__xludf.DUMMYFUNCTION("""COMPUTED_VALUE"""),"")</f>
        <v/>
      </c>
      <c r="D166" s="63" t="str">
        <f>IFERROR(__xludf.DUMMYFUNCTION("""COMPUTED_VALUE"""),"")</f>
        <v/>
      </c>
      <c r="E166" s="51" t="str">
        <f>IFERROR(__xludf.DUMMYFUNCTION("""COMPUTED_VALUE"""),"")</f>
        <v/>
      </c>
      <c r="F166" s="82" t="str">
        <f>IFERROR(__xludf.DUMMYFUNCTION("""COMPUTED_VALUE"""),"")</f>
        <v/>
      </c>
      <c r="G166" s="52" t="str">
        <f>IFERROR(__xludf.DUMMYFUNCTION("""COMPUTED_VALUE"""),"")</f>
        <v/>
      </c>
      <c r="H166" s="53" t="str">
        <f>IFERROR(__xludf.DUMMYFUNCTION("""COMPUTED_VALUE"""),"")</f>
        <v/>
      </c>
      <c r="I166" s="53" t="str">
        <f>IFERROR(__xludf.DUMMYFUNCTION("""COMPUTED_VALUE"""),"")</f>
        <v/>
      </c>
      <c r="J166" s="53" t="str">
        <f>IFERROR(__xludf.DUMMYFUNCTION("""COMPUTED_VALUE"""),"")</f>
        <v/>
      </c>
      <c r="K166" s="54" t="str">
        <f>IFERROR(__xludf.DUMMYFUNCTION("""COMPUTED_VALUE"""),"")</f>
        <v/>
      </c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6"/>
      <c r="W166" s="56"/>
      <c r="X166" s="56"/>
      <c r="Y166" s="56"/>
      <c r="Z166" s="57"/>
      <c r="AA166" s="58"/>
      <c r="AB166" s="59"/>
    </row>
    <row r="167" ht="13.5" customHeight="1">
      <c r="A167" s="60" t="str">
        <f>IFERROR(__xludf.DUMMYFUNCTION("""COMPUTED_VALUE"""),"")</f>
        <v/>
      </c>
      <c r="B167" s="64" t="str">
        <f>IFERROR(__xludf.DUMMYFUNCTION("""COMPUTED_VALUE"""),"")</f>
        <v/>
      </c>
      <c r="C167" s="63" t="str">
        <f>IFERROR(__xludf.DUMMYFUNCTION("""COMPUTED_VALUE"""),"")</f>
        <v/>
      </c>
      <c r="D167" s="63" t="str">
        <f>IFERROR(__xludf.DUMMYFUNCTION("""COMPUTED_VALUE"""),"")</f>
        <v/>
      </c>
      <c r="E167" s="51" t="str">
        <f>IFERROR(__xludf.DUMMYFUNCTION("""COMPUTED_VALUE"""),"")</f>
        <v/>
      </c>
      <c r="F167" s="82" t="str">
        <f>IFERROR(__xludf.DUMMYFUNCTION("""COMPUTED_VALUE"""),"")</f>
        <v/>
      </c>
      <c r="G167" s="52" t="str">
        <f>IFERROR(__xludf.DUMMYFUNCTION("""COMPUTED_VALUE"""),"")</f>
        <v/>
      </c>
      <c r="H167" s="53" t="str">
        <f>IFERROR(__xludf.DUMMYFUNCTION("""COMPUTED_VALUE"""),"")</f>
        <v/>
      </c>
      <c r="I167" s="53" t="str">
        <f>IFERROR(__xludf.DUMMYFUNCTION("""COMPUTED_VALUE"""),"")</f>
        <v/>
      </c>
      <c r="J167" s="53" t="str">
        <f>IFERROR(__xludf.DUMMYFUNCTION("""COMPUTED_VALUE"""),"")</f>
        <v/>
      </c>
      <c r="K167" s="54" t="str">
        <f>IFERROR(__xludf.DUMMYFUNCTION("""COMPUTED_VALUE"""),"")</f>
        <v/>
      </c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6"/>
      <c r="W167" s="56"/>
      <c r="X167" s="56"/>
      <c r="Y167" s="56"/>
      <c r="Z167" s="57"/>
      <c r="AA167" s="58"/>
      <c r="AB167" s="59"/>
    </row>
    <row r="168" ht="13.5" customHeight="1">
      <c r="A168" s="60" t="str">
        <f>IFERROR(__xludf.DUMMYFUNCTION("""COMPUTED_VALUE"""),"")</f>
        <v/>
      </c>
      <c r="B168" s="64" t="str">
        <f>IFERROR(__xludf.DUMMYFUNCTION("""COMPUTED_VALUE"""),"")</f>
        <v/>
      </c>
      <c r="C168" s="63" t="str">
        <f>IFERROR(__xludf.DUMMYFUNCTION("""COMPUTED_VALUE"""),"")</f>
        <v/>
      </c>
      <c r="D168" s="63" t="str">
        <f>IFERROR(__xludf.DUMMYFUNCTION("""COMPUTED_VALUE"""),"")</f>
        <v/>
      </c>
      <c r="E168" s="51" t="str">
        <f>IFERROR(__xludf.DUMMYFUNCTION("""COMPUTED_VALUE"""),"")</f>
        <v/>
      </c>
      <c r="F168" s="82" t="str">
        <f>IFERROR(__xludf.DUMMYFUNCTION("""COMPUTED_VALUE"""),"")</f>
        <v/>
      </c>
      <c r="G168" s="52" t="str">
        <f>IFERROR(__xludf.DUMMYFUNCTION("""COMPUTED_VALUE"""),"")</f>
        <v/>
      </c>
      <c r="H168" s="53" t="str">
        <f>IFERROR(__xludf.DUMMYFUNCTION("""COMPUTED_VALUE"""),"")</f>
        <v/>
      </c>
      <c r="I168" s="53" t="str">
        <f>IFERROR(__xludf.DUMMYFUNCTION("""COMPUTED_VALUE"""),"")</f>
        <v/>
      </c>
      <c r="J168" s="53" t="str">
        <f>IFERROR(__xludf.DUMMYFUNCTION("""COMPUTED_VALUE"""),"")</f>
        <v/>
      </c>
      <c r="K168" s="54" t="str">
        <f>IFERROR(__xludf.DUMMYFUNCTION("""COMPUTED_VALUE"""),"")</f>
        <v/>
      </c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6"/>
      <c r="W168" s="56"/>
      <c r="X168" s="56"/>
      <c r="Y168" s="56"/>
      <c r="Z168" s="57"/>
      <c r="AA168" s="58"/>
      <c r="AB168" s="59"/>
    </row>
    <row r="169" ht="13.5" customHeight="1">
      <c r="A169" s="60" t="str">
        <f>IFERROR(__xludf.DUMMYFUNCTION("""COMPUTED_VALUE"""),"")</f>
        <v/>
      </c>
      <c r="B169" s="64" t="str">
        <f>IFERROR(__xludf.DUMMYFUNCTION("""COMPUTED_VALUE"""),"")</f>
        <v/>
      </c>
      <c r="C169" s="63" t="str">
        <f>IFERROR(__xludf.DUMMYFUNCTION("""COMPUTED_VALUE"""),"")</f>
        <v/>
      </c>
      <c r="D169" s="63" t="str">
        <f>IFERROR(__xludf.DUMMYFUNCTION("""COMPUTED_VALUE"""),"")</f>
        <v/>
      </c>
      <c r="E169" s="51" t="str">
        <f>IFERROR(__xludf.DUMMYFUNCTION("""COMPUTED_VALUE"""),"")</f>
        <v/>
      </c>
      <c r="F169" s="82" t="str">
        <f>IFERROR(__xludf.DUMMYFUNCTION("""COMPUTED_VALUE"""),"")</f>
        <v/>
      </c>
      <c r="G169" s="52" t="str">
        <f>IFERROR(__xludf.DUMMYFUNCTION("""COMPUTED_VALUE"""),"")</f>
        <v/>
      </c>
      <c r="H169" s="53" t="str">
        <f>IFERROR(__xludf.DUMMYFUNCTION("""COMPUTED_VALUE"""),"")</f>
        <v/>
      </c>
      <c r="I169" s="53" t="str">
        <f>IFERROR(__xludf.DUMMYFUNCTION("""COMPUTED_VALUE"""),"")</f>
        <v/>
      </c>
      <c r="J169" s="53" t="str">
        <f>IFERROR(__xludf.DUMMYFUNCTION("""COMPUTED_VALUE"""),"")</f>
        <v/>
      </c>
      <c r="K169" s="54" t="str">
        <f>IFERROR(__xludf.DUMMYFUNCTION("""COMPUTED_VALUE"""),"")</f>
        <v/>
      </c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6"/>
      <c r="W169" s="56"/>
      <c r="X169" s="56"/>
      <c r="Y169" s="56"/>
      <c r="Z169" s="57"/>
      <c r="AA169" s="58"/>
      <c r="AB169" s="59"/>
    </row>
    <row r="170" ht="13.5" customHeight="1">
      <c r="A170" s="60" t="str">
        <f>IFERROR(__xludf.DUMMYFUNCTION("""COMPUTED_VALUE"""),"")</f>
        <v/>
      </c>
      <c r="B170" s="64" t="str">
        <f>IFERROR(__xludf.DUMMYFUNCTION("""COMPUTED_VALUE"""),"")</f>
        <v/>
      </c>
      <c r="C170" s="63" t="str">
        <f>IFERROR(__xludf.DUMMYFUNCTION("""COMPUTED_VALUE"""),"")</f>
        <v/>
      </c>
      <c r="D170" s="63" t="str">
        <f>IFERROR(__xludf.DUMMYFUNCTION("""COMPUTED_VALUE"""),"")</f>
        <v/>
      </c>
      <c r="E170" s="51" t="str">
        <f>IFERROR(__xludf.DUMMYFUNCTION("""COMPUTED_VALUE"""),"")</f>
        <v/>
      </c>
      <c r="F170" s="82" t="str">
        <f>IFERROR(__xludf.DUMMYFUNCTION("""COMPUTED_VALUE"""),"")</f>
        <v/>
      </c>
      <c r="G170" s="52" t="str">
        <f>IFERROR(__xludf.DUMMYFUNCTION("""COMPUTED_VALUE"""),"")</f>
        <v/>
      </c>
      <c r="H170" s="53" t="str">
        <f>IFERROR(__xludf.DUMMYFUNCTION("""COMPUTED_VALUE"""),"")</f>
        <v/>
      </c>
      <c r="I170" s="53" t="str">
        <f>IFERROR(__xludf.DUMMYFUNCTION("""COMPUTED_VALUE"""),"")</f>
        <v/>
      </c>
      <c r="J170" s="53" t="str">
        <f>IFERROR(__xludf.DUMMYFUNCTION("""COMPUTED_VALUE"""),"")</f>
        <v/>
      </c>
      <c r="K170" s="54" t="str">
        <f>IFERROR(__xludf.DUMMYFUNCTION("""COMPUTED_VALUE"""),"")</f>
        <v/>
      </c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6"/>
      <c r="W170" s="56"/>
      <c r="X170" s="56"/>
      <c r="Y170" s="56"/>
      <c r="Z170" s="57"/>
      <c r="AA170" s="58"/>
      <c r="AB170" s="58"/>
    </row>
    <row r="171" ht="13.5" customHeight="1">
      <c r="A171" s="60" t="str">
        <f>IFERROR(__xludf.DUMMYFUNCTION("""COMPUTED_VALUE"""),"")</f>
        <v/>
      </c>
      <c r="B171" s="64" t="str">
        <f>IFERROR(__xludf.DUMMYFUNCTION("""COMPUTED_VALUE"""),"")</f>
        <v/>
      </c>
      <c r="C171" s="63" t="str">
        <f>IFERROR(__xludf.DUMMYFUNCTION("""COMPUTED_VALUE"""),"")</f>
        <v/>
      </c>
      <c r="D171" s="63" t="str">
        <f>IFERROR(__xludf.DUMMYFUNCTION("""COMPUTED_VALUE"""),"")</f>
        <v/>
      </c>
      <c r="E171" s="51" t="str">
        <f>IFERROR(__xludf.DUMMYFUNCTION("""COMPUTED_VALUE"""),"")</f>
        <v/>
      </c>
      <c r="F171" s="82" t="str">
        <f>IFERROR(__xludf.DUMMYFUNCTION("""COMPUTED_VALUE"""),"")</f>
        <v/>
      </c>
      <c r="G171" s="52" t="str">
        <f>IFERROR(__xludf.DUMMYFUNCTION("""COMPUTED_VALUE"""),"")</f>
        <v/>
      </c>
      <c r="H171" s="53" t="str">
        <f>IFERROR(__xludf.DUMMYFUNCTION("""COMPUTED_VALUE"""),"")</f>
        <v/>
      </c>
      <c r="I171" s="53" t="str">
        <f>IFERROR(__xludf.DUMMYFUNCTION("""COMPUTED_VALUE"""),"")</f>
        <v/>
      </c>
      <c r="J171" s="53" t="str">
        <f>IFERROR(__xludf.DUMMYFUNCTION("""COMPUTED_VALUE"""),"")</f>
        <v/>
      </c>
      <c r="K171" s="54" t="str">
        <f>IFERROR(__xludf.DUMMYFUNCTION("""COMPUTED_VALUE"""),"")</f>
        <v/>
      </c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6"/>
      <c r="W171" s="56"/>
      <c r="X171" s="56"/>
      <c r="Y171" s="56"/>
      <c r="Z171" s="57"/>
      <c r="AA171" s="58"/>
      <c r="AB171" s="58"/>
    </row>
    <row r="172" ht="13.5" customHeight="1">
      <c r="A172" s="60" t="str">
        <f>IFERROR(__xludf.DUMMYFUNCTION("""COMPUTED_VALUE"""),"")</f>
        <v/>
      </c>
      <c r="B172" s="64" t="str">
        <f>IFERROR(__xludf.DUMMYFUNCTION("""COMPUTED_VALUE"""),"")</f>
        <v/>
      </c>
      <c r="C172" s="63" t="str">
        <f>IFERROR(__xludf.DUMMYFUNCTION("""COMPUTED_VALUE"""),"")</f>
        <v/>
      </c>
      <c r="D172" s="63" t="str">
        <f>IFERROR(__xludf.DUMMYFUNCTION("""COMPUTED_VALUE"""),"")</f>
        <v/>
      </c>
      <c r="E172" s="51" t="str">
        <f>IFERROR(__xludf.DUMMYFUNCTION("""COMPUTED_VALUE"""),"")</f>
        <v/>
      </c>
      <c r="F172" s="82" t="str">
        <f>IFERROR(__xludf.DUMMYFUNCTION("""COMPUTED_VALUE"""),"")</f>
        <v/>
      </c>
      <c r="G172" s="52" t="str">
        <f>IFERROR(__xludf.DUMMYFUNCTION("""COMPUTED_VALUE"""),"")</f>
        <v/>
      </c>
      <c r="H172" s="53" t="str">
        <f>IFERROR(__xludf.DUMMYFUNCTION("""COMPUTED_VALUE"""),"")</f>
        <v/>
      </c>
      <c r="I172" s="53" t="str">
        <f>IFERROR(__xludf.DUMMYFUNCTION("""COMPUTED_VALUE"""),"")</f>
        <v/>
      </c>
      <c r="J172" s="53" t="str">
        <f>IFERROR(__xludf.DUMMYFUNCTION("""COMPUTED_VALUE"""),"")</f>
        <v/>
      </c>
      <c r="K172" s="54" t="str">
        <f>IFERROR(__xludf.DUMMYFUNCTION("""COMPUTED_VALUE"""),"")</f>
        <v/>
      </c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6"/>
      <c r="W172" s="56"/>
      <c r="X172" s="56"/>
      <c r="Y172" s="56"/>
      <c r="Z172" s="57"/>
      <c r="AA172" s="58"/>
      <c r="AB172" s="58"/>
    </row>
    <row r="173" ht="13.5" customHeight="1">
      <c r="A173" s="60" t="str">
        <f>IFERROR(__xludf.DUMMYFUNCTION("""COMPUTED_VALUE"""),"")</f>
        <v/>
      </c>
      <c r="B173" s="64" t="str">
        <f>IFERROR(__xludf.DUMMYFUNCTION("""COMPUTED_VALUE"""),"")</f>
        <v/>
      </c>
      <c r="C173" s="63" t="str">
        <f>IFERROR(__xludf.DUMMYFUNCTION("""COMPUTED_VALUE"""),"")</f>
        <v/>
      </c>
      <c r="D173" s="63" t="str">
        <f>IFERROR(__xludf.DUMMYFUNCTION("""COMPUTED_VALUE"""),"")</f>
        <v/>
      </c>
      <c r="E173" s="51" t="str">
        <f>IFERROR(__xludf.DUMMYFUNCTION("""COMPUTED_VALUE"""),"")</f>
        <v/>
      </c>
      <c r="F173" s="82" t="str">
        <f>IFERROR(__xludf.DUMMYFUNCTION("""COMPUTED_VALUE"""),"")</f>
        <v/>
      </c>
      <c r="G173" s="52" t="str">
        <f>IFERROR(__xludf.DUMMYFUNCTION("""COMPUTED_VALUE"""),"")</f>
        <v/>
      </c>
      <c r="H173" s="53" t="str">
        <f>IFERROR(__xludf.DUMMYFUNCTION("""COMPUTED_VALUE"""),"")</f>
        <v/>
      </c>
      <c r="I173" s="53" t="str">
        <f>IFERROR(__xludf.DUMMYFUNCTION("""COMPUTED_VALUE"""),"")</f>
        <v/>
      </c>
      <c r="J173" s="53" t="str">
        <f>IFERROR(__xludf.DUMMYFUNCTION("""COMPUTED_VALUE"""),"")</f>
        <v/>
      </c>
      <c r="K173" s="54" t="str">
        <f>IFERROR(__xludf.DUMMYFUNCTION("""COMPUTED_VALUE"""),"")</f>
        <v/>
      </c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6"/>
      <c r="W173" s="56"/>
      <c r="X173" s="56"/>
      <c r="Y173" s="56"/>
      <c r="Z173" s="57"/>
      <c r="AA173" s="58"/>
      <c r="AB173" s="58"/>
    </row>
    <row r="174" ht="13.5" customHeight="1">
      <c r="A174" s="60" t="str">
        <f>IFERROR(__xludf.DUMMYFUNCTION("""COMPUTED_VALUE"""),"")</f>
        <v/>
      </c>
      <c r="B174" s="64" t="str">
        <f>IFERROR(__xludf.DUMMYFUNCTION("""COMPUTED_VALUE"""),"")</f>
        <v/>
      </c>
      <c r="C174" s="63" t="str">
        <f>IFERROR(__xludf.DUMMYFUNCTION("""COMPUTED_VALUE"""),"")</f>
        <v/>
      </c>
      <c r="D174" s="63" t="str">
        <f>IFERROR(__xludf.DUMMYFUNCTION("""COMPUTED_VALUE"""),"")</f>
        <v/>
      </c>
      <c r="E174" s="51" t="str">
        <f>IFERROR(__xludf.DUMMYFUNCTION("""COMPUTED_VALUE"""),"")</f>
        <v/>
      </c>
      <c r="F174" s="82" t="str">
        <f>IFERROR(__xludf.DUMMYFUNCTION("""COMPUTED_VALUE"""),"")</f>
        <v/>
      </c>
      <c r="G174" s="52" t="str">
        <f>IFERROR(__xludf.DUMMYFUNCTION("""COMPUTED_VALUE"""),"")</f>
        <v/>
      </c>
      <c r="H174" s="53" t="str">
        <f>IFERROR(__xludf.DUMMYFUNCTION("""COMPUTED_VALUE"""),"")</f>
        <v/>
      </c>
      <c r="I174" s="53" t="str">
        <f>IFERROR(__xludf.DUMMYFUNCTION("""COMPUTED_VALUE"""),"")</f>
        <v/>
      </c>
      <c r="J174" s="53" t="str">
        <f>IFERROR(__xludf.DUMMYFUNCTION("""COMPUTED_VALUE"""),"")</f>
        <v/>
      </c>
      <c r="K174" s="54" t="str">
        <f>IFERROR(__xludf.DUMMYFUNCTION("""COMPUTED_VALUE"""),"")</f>
        <v/>
      </c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6"/>
      <c r="W174" s="56"/>
      <c r="X174" s="56"/>
      <c r="Y174" s="56"/>
      <c r="Z174" s="57"/>
      <c r="AA174" s="58"/>
      <c r="AB174" s="58"/>
    </row>
    <row r="175" ht="13.5" customHeight="1">
      <c r="A175" s="60" t="str">
        <f>IFERROR(__xludf.DUMMYFUNCTION("""COMPUTED_VALUE"""),"")</f>
        <v/>
      </c>
      <c r="B175" s="64" t="str">
        <f>IFERROR(__xludf.DUMMYFUNCTION("""COMPUTED_VALUE"""),"")</f>
        <v/>
      </c>
      <c r="C175" s="63" t="str">
        <f>IFERROR(__xludf.DUMMYFUNCTION("""COMPUTED_VALUE"""),"")</f>
        <v/>
      </c>
      <c r="D175" s="63" t="str">
        <f>IFERROR(__xludf.DUMMYFUNCTION("""COMPUTED_VALUE"""),"")</f>
        <v/>
      </c>
      <c r="E175" s="51" t="str">
        <f>IFERROR(__xludf.DUMMYFUNCTION("""COMPUTED_VALUE"""),"")</f>
        <v/>
      </c>
      <c r="F175" s="82" t="str">
        <f>IFERROR(__xludf.DUMMYFUNCTION("""COMPUTED_VALUE"""),"")</f>
        <v/>
      </c>
      <c r="G175" s="52" t="str">
        <f>IFERROR(__xludf.DUMMYFUNCTION("""COMPUTED_VALUE"""),"")</f>
        <v/>
      </c>
      <c r="H175" s="53" t="str">
        <f>IFERROR(__xludf.DUMMYFUNCTION("""COMPUTED_VALUE"""),"")</f>
        <v/>
      </c>
      <c r="I175" s="53" t="str">
        <f>IFERROR(__xludf.DUMMYFUNCTION("""COMPUTED_VALUE"""),"")</f>
        <v/>
      </c>
      <c r="J175" s="53" t="str">
        <f>IFERROR(__xludf.DUMMYFUNCTION("""COMPUTED_VALUE"""),"")</f>
        <v/>
      </c>
      <c r="K175" s="54" t="str">
        <f>IFERROR(__xludf.DUMMYFUNCTION("""COMPUTED_VALUE"""),"")</f>
        <v/>
      </c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6"/>
      <c r="W175" s="56"/>
      <c r="X175" s="56"/>
      <c r="Y175" s="56"/>
      <c r="Z175" s="57"/>
      <c r="AA175" s="58"/>
      <c r="AB175" s="58"/>
    </row>
    <row r="176" ht="13.5" customHeight="1">
      <c r="A176" s="60" t="str">
        <f>IFERROR(__xludf.DUMMYFUNCTION("""COMPUTED_VALUE"""),"")</f>
        <v/>
      </c>
      <c r="B176" s="64" t="str">
        <f>IFERROR(__xludf.DUMMYFUNCTION("""COMPUTED_VALUE"""),"")</f>
        <v/>
      </c>
      <c r="C176" s="63" t="str">
        <f>IFERROR(__xludf.DUMMYFUNCTION("""COMPUTED_VALUE"""),"")</f>
        <v/>
      </c>
      <c r="D176" s="63" t="str">
        <f>IFERROR(__xludf.DUMMYFUNCTION("""COMPUTED_VALUE"""),"")</f>
        <v/>
      </c>
      <c r="E176" s="51" t="str">
        <f>IFERROR(__xludf.DUMMYFUNCTION("""COMPUTED_VALUE"""),"")</f>
        <v/>
      </c>
      <c r="F176" s="82" t="str">
        <f>IFERROR(__xludf.DUMMYFUNCTION("""COMPUTED_VALUE"""),"")</f>
        <v/>
      </c>
      <c r="G176" s="52" t="str">
        <f>IFERROR(__xludf.DUMMYFUNCTION("""COMPUTED_VALUE"""),"")</f>
        <v/>
      </c>
      <c r="H176" s="53" t="str">
        <f>IFERROR(__xludf.DUMMYFUNCTION("""COMPUTED_VALUE"""),"")</f>
        <v/>
      </c>
      <c r="I176" s="53" t="str">
        <f>IFERROR(__xludf.DUMMYFUNCTION("""COMPUTED_VALUE"""),"")</f>
        <v/>
      </c>
      <c r="J176" s="53" t="str">
        <f>IFERROR(__xludf.DUMMYFUNCTION("""COMPUTED_VALUE"""),"")</f>
        <v/>
      </c>
      <c r="K176" s="54" t="str">
        <f>IFERROR(__xludf.DUMMYFUNCTION("""COMPUTED_VALUE"""),"")</f>
        <v/>
      </c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6"/>
      <c r="W176" s="56"/>
      <c r="X176" s="56"/>
      <c r="Y176" s="56"/>
      <c r="Z176" s="57"/>
      <c r="AA176" s="58"/>
      <c r="AB176" s="58"/>
    </row>
    <row r="177" ht="13.5" customHeight="1">
      <c r="A177" s="60" t="str">
        <f>IFERROR(__xludf.DUMMYFUNCTION("""COMPUTED_VALUE"""),"")</f>
        <v/>
      </c>
      <c r="B177" s="64" t="str">
        <f>IFERROR(__xludf.DUMMYFUNCTION("""COMPUTED_VALUE"""),"")</f>
        <v/>
      </c>
      <c r="C177" s="63" t="str">
        <f>IFERROR(__xludf.DUMMYFUNCTION("""COMPUTED_VALUE"""),"")</f>
        <v/>
      </c>
      <c r="D177" s="63" t="str">
        <f>IFERROR(__xludf.DUMMYFUNCTION("""COMPUTED_VALUE"""),"")</f>
        <v/>
      </c>
      <c r="E177" s="51" t="str">
        <f>IFERROR(__xludf.DUMMYFUNCTION("""COMPUTED_VALUE"""),"")</f>
        <v/>
      </c>
      <c r="F177" s="82" t="str">
        <f>IFERROR(__xludf.DUMMYFUNCTION("""COMPUTED_VALUE"""),"")</f>
        <v/>
      </c>
      <c r="G177" s="52" t="str">
        <f>IFERROR(__xludf.DUMMYFUNCTION("""COMPUTED_VALUE"""),"")</f>
        <v/>
      </c>
      <c r="H177" s="53" t="str">
        <f>IFERROR(__xludf.DUMMYFUNCTION("""COMPUTED_VALUE"""),"")</f>
        <v/>
      </c>
      <c r="I177" s="53" t="str">
        <f>IFERROR(__xludf.DUMMYFUNCTION("""COMPUTED_VALUE"""),"")</f>
        <v/>
      </c>
      <c r="J177" s="53" t="str">
        <f>IFERROR(__xludf.DUMMYFUNCTION("""COMPUTED_VALUE"""),"")</f>
        <v/>
      </c>
      <c r="K177" s="54" t="str">
        <f>IFERROR(__xludf.DUMMYFUNCTION("""COMPUTED_VALUE"""),"")</f>
        <v/>
      </c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6"/>
      <c r="W177" s="56"/>
      <c r="X177" s="56"/>
      <c r="Y177" s="56"/>
      <c r="Z177" s="57"/>
      <c r="AA177" s="58"/>
      <c r="AB177" s="58"/>
    </row>
    <row r="178" ht="13.5" customHeight="1">
      <c r="A178" s="60" t="str">
        <f>IFERROR(__xludf.DUMMYFUNCTION("""COMPUTED_VALUE"""),"")</f>
        <v/>
      </c>
      <c r="B178" s="64" t="str">
        <f>IFERROR(__xludf.DUMMYFUNCTION("""COMPUTED_VALUE"""),"")</f>
        <v/>
      </c>
      <c r="C178" s="63" t="str">
        <f>IFERROR(__xludf.DUMMYFUNCTION("""COMPUTED_VALUE"""),"")</f>
        <v/>
      </c>
      <c r="D178" s="63" t="str">
        <f>IFERROR(__xludf.DUMMYFUNCTION("""COMPUTED_VALUE"""),"")</f>
        <v/>
      </c>
      <c r="E178" s="51" t="str">
        <f>IFERROR(__xludf.DUMMYFUNCTION("""COMPUTED_VALUE"""),"")</f>
        <v/>
      </c>
      <c r="F178" s="82" t="str">
        <f>IFERROR(__xludf.DUMMYFUNCTION("""COMPUTED_VALUE"""),"")</f>
        <v/>
      </c>
      <c r="G178" s="52" t="str">
        <f>IFERROR(__xludf.DUMMYFUNCTION("""COMPUTED_VALUE"""),"")</f>
        <v/>
      </c>
      <c r="H178" s="53" t="str">
        <f>IFERROR(__xludf.DUMMYFUNCTION("""COMPUTED_VALUE"""),"")</f>
        <v/>
      </c>
      <c r="I178" s="53" t="str">
        <f>IFERROR(__xludf.DUMMYFUNCTION("""COMPUTED_VALUE"""),"")</f>
        <v/>
      </c>
      <c r="J178" s="53" t="str">
        <f>IFERROR(__xludf.DUMMYFUNCTION("""COMPUTED_VALUE"""),"")</f>
        <v/>
      </c>
      <c r="K178" s="54" t="str">
        <f>IFERROR(__xludf.DUMMYFUNCTION("""COMPUTED_VALUE"""),"")</f>
        <v/>
      </c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6"/>
      <c r="W178" s="56"/>
      <c r="X178" s="56"/>
      <c r="Y178" s="56"/>
      <c r="Z178" s="57"/>
      <c r="AA178" s="58"/>
      <c r="AB178" s="58"/>
    </row>
    <row r="179" ht="13.5" customHeight="1">
      <c r="A179" s="60" t="str">
        <f>IFERROR(__xludf.DUMMYFUNCTION("""COMPUTED_VALUE"""),"")</f>
        <v/>
      </c>
      <c r="B179" s="64" t="str">
        <f>IFERROR(__xludf.DUMMYFUNCTION("""COMPUTED_VALUE"""),"")</f>
        <v/>
      </c>
      <c r="C179" s="63" t="str">
        <f>IFERROR(__xludf.DUMMYFUNCTION("""COMPUTED_VALUE"""),"")</f>
        <v/>
      </c>
      <c r="D179" s="63" t="str">
        <f>IFERROR(__xludf.DUMMYFUNCTION("""COMPUTED_VALUE"""),"")</f>
        <v/>
      </c>
      <c r="E179" s="51" t="str">
        <f>IFERROR(__xludf.DUMMYFUNCTION("""COMPUTED_VALUE"""),"")</f>
        <v/>
      </c>
      <c r="F179" s="82" t="str">
        <f>IFERROR(__xludf.DUMMYFUNCTION("""COMPUTED_VALUE"""),"")</f>
        <v/>
      </c>
      <c r="G179" s="52" t="str">
        <f>IFERROR(__xludf.DUMMYFUNCTION("""COMPUTED_VALUE"""),"")</f>
        <v/>
      </c>
      <c r="H179" s="53" t="str">
        <f>IFERROR(__xludf.DUMMYFUNCTION("""COMPUTED_VALUE"""),"")</f>
        <v/>
      </c>
      <c r="I179" s="53" t="str">
        <f>IFERROR(__xludf.DUMMYFUNCTION("""COMPUTED_VALUE"""),"")</f>
        <v/>
      </c>
      <c r="J179" s="53" t="str">
        <f>IFERROR(__xludf.DUMMYFUNCTION("""COMPUTED_VALUE"""),"")</f>
        <v/>
      </c>
      <c r="K179" s="54" t="str">
        <f>IFERROR(__xludf.DUMMYFUNCTION("""COMPUTED_VALUE"""),"")</f>
        <v/>
      </c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6"/>
      <c r="W179" s="56"/>
      <c r="X179" s="56"/>
      <c r="Y179" s="56"/>
      <c r="Z179" s="57"/>
      <c r="AA179" s="58"/>
      <c r="AB179" s="58"/>
    </row>
    <row r="180" ht="13.5" customHeight="1">
      <c r="A180" s="60" t="str">
        <f>IFERROR(__xludf.DUMMYFUNCTION("""COMPUTED_VALUE"""),"")</f>
        <v/>
      </c>
      <c r="B180" s="64" t="str">
        <f>IFERROR(__xludf.DUMMYFUNCTION("""COMPUTED_VALUE"""),"")</f>
        <v/>
      </c>
      <c r="C180" s="63" t="str">
        <f>IFERROR(__xludf.DUMMYFUNCTION("""COMPUTED_VALUE"""),"")</f>
        <v/>
      </c>
      <c r="D180" s="63" t="str">
        <f>IFERROR(__xludf.DUMMYFUNCTION("""COMPUTED_VALUE"""),"")</f>
        <v/>
      </c>
      <c r="E180" s="51" t="str">
        <f>IFERROR(__xludf.DUMMYFUNCTION("""COMPUTED_VALUE"""),"")</f>
        <v/>
      </c>
      <c r="F180" s="82" t="str">
        <f>IFERROR(__xludf.DUMMYFUNCTION("""COMPUTED_VALUE"""),"")</f>
        <v/>
      </c>
      <c r="G180" s="52" t="str">
        <f>IFERROR(__xludf.DUMMYFUNCTION("""COMPUTED_VALUE"""),"")</f>
        <v/>
      </c>
      <c r="H180" s="53" t="str">
        <f>IFERROR(__xludf.DUMMYFUNCTION("""COMPUTED_VALUE"""),"")</f>
        <v/>
      </c>
      <c r="I180" s="53" t="str">
        <f>IFERROR(__xludf.DUMMYFUNCTION("""COMPUTED_VALUE"""),"")</f>
        <v/>
      </c>
      <c r="J180" s="53" t="str">
        <f>IFERROR(__xludf.DUMMYFUNCTION("""COMPUTED_VALUE"""),"")</f>
        <v/>
      </c>
      <c r="K180" s="54" t="str">
        <f>IFERROR(__xludf.DUMMYFUNCTION("""COMPUTED_VALUE"""),"")</f>
        <v/>
      </c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6"/>
      <c r="W180" s="56"/>
      <c r="X180" s="56"/>
      <c r="Y180" s="56"/>
      <c r="Z180" s="57"/>
      <c r="AA180" s="58"/>
      <c r="AB180" s="58"/>
    </row>
    <row r="181" ht="13.5" customHeight="1">
      <c r="A181" s="65"/>
      <c r="B181" s="66"/>
      <c r="C181" s="67"/>
      <c r="D181" s="67"/>
      <c r="E181" s="66"/>
      <c r="F181" s="66"/>
      <c r="G181" s="66"/>
      <c r="H181" s="66"/>
      <c r="I181" s="66"/>
      <c r="J181" s="66"/>
      <c r="K181" s="69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6"/>
      <c r="W181" s="56"/>
      <c r="X181" s="56"/>
      <c r="Y181" s="56"/>
      <c r="Z181" s="57"/>
      <c r="AA181" s="58"/>
      <c r="AB181" s="58"/>
    </row>
    <row r="182" ht="13.5" customHeight="1">
      <c r="A182" s="65"/>
      <c r="B182" s="66"/>
      <c r="C182" s="67"/>
      <c r="D182" s="67"/>
      <c r="E182" s="66"/>
      <c r="F182" s="66"/>
      <c r="G182" s="66"/>
      <c r="H182" s="66"/>
      <c r="I182" s="66"/>
      <c r="J182" s="66"/>
      <c r="K182" s="69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6"/>
      <c r="W182" s="56"/>
      <c r="X182" s="56"/>
      <c r="Y182" s="56"/>
      <c r="Z182" s="57"/>
      <c r="AA182" s="58"/>
      <c r="AB182" s="58"/>
    </row>
    <row r="183" ht="15.75" customHeight="1">
      <c r="A183" s="65"/>
      <c r="B183" s="66"/>
      <c r="C183" s="67"/>
      <c r="D183" s="67"/>
      <c r="E183" s="66"/>
      <c r="F183" s="66"/>
      <c r="G183" s="66"/>
      <c r="H183" s="66"/>
      <c r="I183" s="66"/>
      <c r="J183" s="66"/>
      <c r="K183" s="69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7"/>
      <c r="AA183" s="58"/>
      <c r="AB183" s="58"/>
    </row>
    <row r="184" ht="15.75" customHeight="1">
      <c r="A184" s="65"/>
      <c r="B184" s="66"/>
      <c r="C184" s="67"/>
      <c r="D184" s="67"/>
      <c r="E184" s="66"/>
      <c r="F184" s="66"/>
      <c r="G184" s="66"/>
      <c r="H184" s="66"/>
      <c r="I184" s="66"/>
      <c r="J184" s="66"/>
      <c r="K184" s="69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7"/>
      <c r="AA184" s="58"/>
      <c r="AB184" s="58"/>
    </row>
    <row r="185" ht="15.75" customHeight="1">
      <c r="A185" s="65"/>
      <c r="B185" s="66"/>
      <c r="C185" s="67"/>
      <c r="D185" s="67"/>
      <c r="E185" s="66"/>
      <c r="F185" s="66"/>
      <c r="G185" s="66"/>
      <c r="H185" s="66"/>
      <c r="I185" s="66"/>
      <c r="J185" s="66"/>
      <c r="K185" s="69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7"/>
      <c r="AA185" s="58"/>
      <c r="AB185" s="58"/>
    </row>
    <row r="186" ht="15.75" customHeight="1">
      <c r="A186" s="65"/>
      <c r="B186" s="66"/>
      <c r="C186" s="67"/>
      <c r="D186" s="67"/>
      <c r="E186" s="66"/>
      <c r="F186" s="66"/>
      <c r="G186" s="66"/>
      <c r="H186" s="66"/>
      <c r="I186" s="66"/>
      <c r="J186" s="66"/>
      <c r="K186" s="69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7"/>
      <c r="AA186" s="58"/>
      <c r="AB186" s="58"/>
    </row>
    <row r="187" ht="15.75" customHeight="1">
      <c r="A187" s="65"/>
      <c r="B187" s="66"/>
      <c r="C187" s="67"/>
      <c r="D187" s="67"/>
      <c r="E187" s="66"/>
      <c r="F187" s="66"/>
      <c r="G187" s="66"/>
      <c r="H187" s="66"/>
      <c r="I187" s="66"/>
      <c r="J187" s="66"/>
      <c r="K187" s="69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7"/>
      <c r="AA187" s="58"/>
      <c r="AB187" s="58"/>
    </row>
    <row r="188" ht="15.75" customHeight="1">
      <c r="A188" s="65"/>
      <c r="B188" s="66"/>
      <c r="C188" s="67"/>
      <c r="D188" s="67"/>
      <c r="E188" s="66"/>
      <c r="F188" s="66"/>
      <c r="G188" s="66"/>
      <c r="H188" s="66"/>
      <c r="I188" s="66"/>
      <c r="J188" s="66"/>
      <c r="K188" s="69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7"/>
      <c r="AA188" s="58"/>
      <c r="AB188" s="58"/>
    </row>
    <row r="189" ht="15.75" customHeight="1">
      <c r="A189" s="65"/>
      <c r="B189" s="66"/>
      <c r="C189" s="67"/>
      <c r="D189" s="67"/>
      <c r="E189" s="66"/>
      <c r="F189" s="66"/>
      <c r="G189" s="66"/>
      <c r="H189" s="66"/>
      <c r="I189" s="66"/>
      <c r="J189" s="66"/>
      <c r="K189" s="69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7"/>
      <c r="AA189" s="58"/>
      <c r="AB189" s="58"/>
    </row>
    <row r="190" ht="15.75" customHeight="1">
      <c r="A190" s="65"/>
      <c r="B190" s="66"/>
      <c r="C190" s="67"/>
      <c r="D190" s="67"/>
      <c r="E190" s="66"/>
      <c r="F190" s="66"/>
      <c r="G190" s="66"/>
      <c r="H190" s="66"/>
      <c r="I190" s="66"/>
      <c r="J190" s="66"/>
      <c r="K190" s="69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7"/>
      <c r="AA190" s="58"/>
      <c r="AB190" s="58"/>
    </row>
    <row r="191" ht="15.75" customHeight="1">
      <c r="A191" s="65"/>
      <c r="B191" s="66"/>
      <c r="C191" s="67"/>
      <c r="D191" s="67"/>
      <c r="E191" s="66"/>
      <c r="F191" s="66"/>
      <c r="G191" s="66"/>
      <c r="H191" s="66"/>
      <c r="I191" s="66"/>
      <c r="J191" s="66"/>
      <c r="K191" s="69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7"/>
      <c r="AA191" s="58"/>
      <c r="AB191" s="58"/>
    </row>
    <row r="192" ht="15.75" customHeight="1">
      <c r="A192" s="65"/>
      <c r="B192" s="66"/>
      <c r="C192" s="67"/>
      <c r="D192" s="67"/>
      <c r="E192" s="66"/>
      <c r="F192" s="66"/>
      <c r="G192" s="66"/>
      <c r="H192" s="66"/>
      <c r="I192" s="66"/>
      <c r="J192" s="66"/>
      <c r="K192" s="69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7"/>
      <c r="AA192" s="58"/>
      <c r="AB192" s="58"/>
    </row>
    <row r="193" ht="15.75" customHeight="1">
      <c r="A193" s="65"/>
      <c r="B193" s="66"/>
      <c r="C193" s="67"/>
      <c r="D193" s="67"/>
      <c r="E193" s="66"/>
      <c r="F193" s="66"/>
      <c r="G193" s="66"/>
      <c r="H193" s="66"/>
      <c r="I193" s="66"/>
      <c r="J193" s="66"/>
      <c r="K193" s="69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7"/>
      <c r="AA193" s="58"/>
      <c r="AB193" s="58"/>
    </row>
    <row r="194" ht="15.75" customHeight="1">
      <c r="A194" s="65"/>
      <c r="B194" s="66"/>
      <c r="C194" s="67"/>
      <c r="D194" s="67"/>
      <c r="E194" s="66"/>
      <c r="F194" s="66"/>
      <c r="G194" s="66"/>
      <c r="H194" s="66"/>
      <c r="I194" s="66"/>
      <c r="J194" s="66"/>
      <c r="K194" s="69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7"/>
      <c r="AA194" s="58"/>
      <c r="AB194" s="58"/>
    </row>
    <row r="195" ht="15.75" customHeight="1">
      <c r="A195" s="65"/>
      <c r="B195" s="66"/>
      <c r="C195" s="67"/>
      <c r="D195" s="67"/>
      <c r="E195" s="66"/>
      <c r="F195" s="66"/>
      <c r="G195" s="66"/>
      <c r="H195" s="66"/>
      <c r="I195" s="66"/>
      <c r="J195" s="66"/>
      <c r="K195" s="69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7"/>
      <c r="AA195" s="58"/>
      <c r="AB195" s="58"/>
    </row>
    <row r="196" ht="15.75" customHeight="1">
      <c r="A196" s="65"/>
      <c r="B196" s="66"/>
      <c r="C196" s="67"/>
      <c r="D196" s="67"/>
      <c r="E196" s="66"/>
      <c r="F196" s="66"/>
      <c r="G196" s="66"/>
      <c r="H196" s="66"/>
      <c r="I196" s="66"/>
      <c r="J196" s="66"/>
      <c r="K196" s="69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7"/>
      <c r="AA196" s="58"/>
      <c r="AB196" s="58"/>
    </row>
    <row r="197" ht="15.75" customHeight="1">
      <c r="A197" s="65"/>
      <c r="B197" s="66"/>
      <c r="C197" s="67"/>
      <c r="D197" s="67"/>
      <c r="E197" s="66"/>
      <c r="F197" s="66"/>
      <c r="G197" s="66"/>
      <c r="H197" s="66"/>
      <c r="I197" s="66"/>
      <c r="J197" s="66"/>
      <c r="K197" s="69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7"/>
      <c r="AA197" s="58"/>
      <c r="AB197" s="58"/>
    </row>
    <row r="198" ht="15.75" customHeight="1">
      <c r="A198" s="65"/>
      <c r="B198" s="66"/>
      <c r="C198" s="67"/>
      <c r="D198" s="67"/>
      <c r="E198" s="66"/>
      <c r="F198" s="66"/>
      <c r="G198" s="66"/>
      <c r="H198" s="66"/>
      <c r="I198" s="66"/>
      <c r="J198" s="66"/>
      <c r="K198" s="69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7"/>
      <c r="AA198" s="58"/>
      <c r="AB198" s="58"/>
    </row>
    <row r="199" ht="15.75" customHeight="1">
      <c r="A199" s="65"/>
      <c r="B199" s="66"/>
      <c r="C199" s="67"/>
      <c r="D199" s="67"/>
      <c r="E199" s="66"/>
      <c r="F199" s="66"/>
      <c r="G199" s="66"/>
      <c r="H199" s="66"/>
      <c r="I199" s="66"/>
      <c r="J199" s="66"/>
      <c r="K199" s="69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7"/>
      <c r="AA199" s="58"/>
      <c r="AB199" s="58"/>
    </row>
    <row r="200" ht="15.75" customHeight="1">
      <c r="A200" s="65"/>
      <c r="B200" s="66"/>
      <c r="C200" s="67"/>
      <c r="D200" s="67"/>
      <c r="E200" s="66"/>
      <c r="F200" s="66"/>
      <c r="G200" s="66"/>
      <c r="H200" s="66"/>
      <c r="I200" s="66"/>
      <c r="J200" s="66"/>
      <c r="K200" s="69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7"/>
      <c r="AA200" s="58"/>
      <c r="AB200" s="58"/>
    </row>
    <row r="201" ht="15.75" customHeight="1">
      <c r="A201" s="65"/>
      <c r="B201" s="66"/>
      <c r="C201" s="67"/>
      <c r="D201" s="67"/>
      <c r="E201" s="66"/>
      <c r="F201" s="66"/>
      <c r="G201" s="66"/>
      <c r="H201" s="66"/>
      <c r="I201" s="66"/>
      <c r="J201" s="66"/>
      <c r="K201" s="69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7"/>
      <c r="AA201" s="58"/>
      <c r="AB201" s="58"/>
    </row>
    <row r="202" ht="15.75" customHeight="1">
      <c r="A202" s="65"/>
      <c r="B202" s="66"/>
      <c r="C202" s="67"/>
      <c r="D202" s="67"/>
      <c r="E202" s="66"/>
      <c r="F202" s="66"/>
      <c r="G202" s="66"/>
      <c r="H202" s="66"/>
      <c r="I202" s="66"/>
      <c r="J202" s="66"/>
      <c r="K202" s="69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7"/>
      <c r="AA202" s="58"/>
      <c r="AB202" s="58"/>
    </row>
    <row r="203" ht="15.75" customHeight="1">
      <c r="A203" s="65"/>
      <c r="B203" s="66"/>
      <c r="C203" s="67"/>
      <c r="D203" s="67"/>
      <c r="E203" s="66"/>
      <c r="F203" s="66"/>
      <c r="G203" s="66"/>
      <c r="H203" s="66"/>
      <c r="I203" s="66"/>
      <c r="J203" s="66"/>
      <c r="K203" s="69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7"/>
      <c r="AA203" s="58"/>
      <c r="AB203" s="58"/>
    </row>
    <row r="204" ht="15.75" customHeight="1">
      <c r="A204" s="65"/>
      <c r="B204" s="66"/>
      <c r="C204" s="67"/>
      <c r="D204" s="67"/>
      <c r="E204" s="66"/>
      <c r="F204" s="66"/>
      <c r="G204" s="66"/>
      <c r="H204" s="66"/>
      <c r="I204" s="66"/>
      <c r="J204" s="66"/>
      <c r="K204" s="69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7"/>
      <c r="AA204" s="58"/>
      <c r="AB204" s="58"/>
    </row>
    <row r="205" ht="15.75" customHeight="1">
      <c r="A205" s="65"/>
      <c r="B205" s="66"/>
      <c r="C205" s="67"/>
      <c r="D205" s="67"/>
      <c r="E205" s="66"/>
      <c r="F205" s="66"/>
      <c r="G205" s="66"/>
      <c r="H205" s="66"/>
      <c r="I205" s="66"/>
      <c r="J205" s="66"/>
      <c r="K205" s="69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7"/>
      <c r="AA205" s="58"/>
      <c r="AB205" s="58"/>
    </row>
    <row r="206" ht="15.75" customHeight="1">
      <c r="A206" s="65"/>
      <c r="B206" s="66"/>
      <c r="C206" s="67"/>
      <c r="D206" s="67"/>
      <c r="E206" s="66"/>
      <c r="F206" s="66"/>
      <c r="G206" s="66"/>
      <c r="H206" s="66"/>
      <c r="I206" s="66"/>
      <c r="J206" s="66"/>
      <c r="K206" s="69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7"/>
      <c r="AA206" s="58"/>
      <c r="AB206" s="58"/>
    </row>
    <row r="207" ht="15.75" customHeight="1">
      <c r="A207" s="65"/>
      <c r="B207" s="66"/>
      <c r="C207" s="67"/>
      <c r="D207" s="67"/>
      <c r="E207" s="66"/>
      <c r="F207" s="66"/>
      <c r="G207" s="66"/>
      <c r="H207" s="66"/>
      <c r="I207" s="66"/>
      <c r="J207" s="66"/>
      <c r="K207" s="69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7"/>
      <c r="AA207" s="58"/>
      <c r="AB207" s="58"/>
    </row>
    <row r="208" ht="15.75" customHeight="1">
      <c r="A208" s="65"/>
      <c r="B208" s="66"/>
      <c r="C208" s="67"/>
      <c r="D208" s="67"/>
      <c r="E208" s="66"/>
      <c r="F208" s="66"/>
      <c r="G208" s="66"/>
      <c r="H208" s="66"/>
      <c r="I208" s="66"/>
      <c r="J208" s="66"/>
      <c r="K208" s="69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7"/>
      <c r="AA208" s="58"/>
      <c r="AB208" s="58"/>
    </row>
    <row r="209" ht="15.75" customHeight="1">
      <c r="A209" s="65"/>
      <c r="B209" s="66"/>
      <c r="C209" s="67"/>
      <c r="D209" s="67"/>
      <c r="E209" s="66"/>
      <c r="F209" s="66"/>
      <c r="G209" s="66"/>
      <c r="H209" s="66"/>
      <c r="I209" s="66"/>
      <c r="J209" s="66"/>
      <c r="K209" s="69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7"/>
      <c r="AA209" s="58"/>
      <c r="AB209" s="58"/>
    </row>
    <row r="210" ht="15.75" customHeight="1">
      <c r="A210" s="65"/>
      <c r="B210" s="66"/>
      <c r="C210" s="67"/>
      <c r="D210" s="67"/>
      <c r="E210" s="66"/>
      <c r="F210" s="66"/>
      <c r="G210" s="66"/>
      <c r="H210" s="66"/>
      <c r="I210" s="66"/>
      <c r="J210" s="66"/>
      <c r="K210" s="69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7"/>
      <c r="AA210" s="58"/>
      <c r="AB210" s="58"/>
    </row>
    <row r="211" ht="15.75" customHeight="1">
      <c r="A211" s="65"/>
      <c r="B211" s="66"/>
      <c r="C211" s="67"/>
      <c r="D211" s="67"/>
      <c r="E211" s="66"/>
      <c r="F211" s="66"/>
      <c r="G211" s="66"/>
      <c r="H211" s="66"/>
      <c r="I211" s="66"/>
      <c r="J211" s="66"/>
      <c r="K211" s="69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7"/>
      <c r="AA211" s="58"/>
      <c r="AB211" s="58"/>
    </row>
    <row r="212" ht="15.75" customHeight="1">
      <c r="A212" s="65"/>
      <c r="B212" s="66"/>
      <c r="C212" s="67"/>
      <c r="D212" s="67"/>
      <c r="E212" s="66"/>
      <c r="F212" s="66"/>
      <c r="G212" s="66"/>
      <c r="H212" s="66"/>
      <c r="I212" s="66"/>
      <c r="J212" s="66"/>
      <c r="K212" s="69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7"/>
      <c r="AA212" s="58"/>
      <c r="AB212" s="58"/>
    </row>
    <row r="213" ht="15.75" customHeight="1">
      <c r="A213" s="65"/>
      <c r="B213" s="66"/>
      <c r="C213" s="67"/>
      <c r="D213" s="67"/>
      <c r="E213" s="66"/>
      <c r="F213" s="66"/>
      <c r="G213" s="66"/>
      <c r="H213" s="66"/>
      <c r="I213" s="66"/>
      <c r="J213" s="66"/>
      <c r="K213" s="69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7"/>
      <c r="AA213" s="58"/>
      <c r="AB213" s="58"/>
    </row>
    <row r="214" ht="15.75" customHeight="1">
      <c r="A214" s="65"/>
      <c r="B214" s="66"/>
      <c r="C214" s="67"/>
      <c r="D214" s="67"/>
      <c r="E214" s="66"/>
      <c r="F214" s="66"/>
      <c r="G214" s="66"/>
      <c r="H214" s="66"/>
      <c r="I214" s="66"/>
      <c r="J214" s="66"/>
      <c r="K214" s="69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7"/>
      <c r="AA214" s="58"/>
      <c r="AB214" s="58"/>
    </row>
    <row r="215" ht="15.75" customHeight="1">
      <c r="A215" s="65"/>
      <c r="B215" s="66"/>
      <c r="C215" s="67"/>
      <c r="D215" s="67"/>
      <c r="E215" s="66"/>
      <c r="F215" s="66"/>
      <c r="G215" s="66"/>
      <c r="H215" s="66"/>
      <c r="I215" s="66"/>
      <c r="J215" s="66"/>
      <c r="K215" s="69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7"/>
      <c r="AA215" s="58"/>
      <c r="AB215" s="58"/>
    </row>
    <row r="216" ht="15.75" customHeight="1">
      <c r="A216" s="65"/>
      <c r="B216" s="66"/>
      <c r="C216" s="67"/>
      <c r="D216" s="67"/>
      <c r="E216" s="66"/>
      <c r="F216" s="66"/>
      <c r="G216" s="66"/>
      <c r="H216" s="66"/>
      <c r="I216" s="66"/>
      <c r="J216" s="66"/>
      <c r="K216" s="69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7"/>
      <c r="AA216" s="58"/>
      <c r="AB216" s="58"/>
    </row>
    <row r="217" ht="15.75" customHeight="1">
      <c r="A217" s="65"/>
      <c r="B217" s="66"/>
      <c r="C217" s="67"/>
      <c r="D217" s="67"/>
      <c r="E217" s="66"/>
      <c r="F217" s="66"/>
      <c r="G217" s="66"/>
      <c r="H217" s="66"/>
      <c r="I217" s="66"/>
      <c r="J217" s="66"/>
      <c r="K217" s="69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7"/>
      <c r="AA217" s="58"/>
      <c r="AB217" s="58"/>
    </row>
    <row r="218" ht="15.75" customHeight="1">
      <c r="A218" s="65"/>
      <c r="B218" s="66"/>
      <c r="C218" s="67"/>
      <c r="D218" s="67"/>
      <c r="E218" s="66"/>
      <c r="F218" s="66"/>
      <c r="G218" s="66"/>
      <c r="H218" s="66"/>
      <c r="I218" s="66"/>
      <c r="J218" s="66"/>
      <c r="K218" s="69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7"/>
      <c r="AA218" s="58"/>
      <c r="AB218" s="58"/>
    </row>
    <row r="219" ht="15.75" customHeight="1">
      <c r="A219" s="65"/>
      <c r="B219" s="66"/>
      <c r="C219" s="67"/>
      <c r="D219" s="67"/>
      <c r="E219" s="66"/>
      <c r="F219" s="66"/>
      <c r="G219" s="66"/>
      <c r="H219" s="66"/>
      <c r="I219" s="66"/>
      <c r="J219" s="66"/>
      <c r="K219" s="69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7"/>
      <c r="AA219" s="58"/>
      <c r="AB219" s="58"/>
    </row>
    <row r="220" ht="15.75" customHeight="1">
      <c r="A220" s="65"/>
      <c r="B220" s="66"/>
      <c r="C220" s="67"/>
      <c r="D220" s="67"/>
      <c r="E220" s="66"/>
      <c r="F220" s="66"/>
      <c r="G220" s="66"/>
      <c r="H220" s="66"/>
      <c r="I220" s="66"/>
      <c r="J220" s="66"/>
      <c r="K220" s="69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7"/>
      <c r="AA220" s="58"/>
      <c r="AB220" s="58"/>
    </row>
    <row r="221" ht="15.75" customHeight="1">
      <c r="A221" s="65"/>
      <c r="B221" s="66"/>
      <c r="C221" s="67"/>
      <c r="D221" s="67"/>
      <c r="E221" s="66"/>
      <c r="F221" s="66"/>
      <c r="G221" s="66"/>
      <c r="H221" s="66"/>
      <c r="I221" s="66"/>
      <c r="J221" s="66"/>
      <c r="K221" s="69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7"/>
      <c r="AA221" s="58"/>
      <c r="AB221" s="58"/>
    </row>
    <row r="222" ht="15.75" customHeight="1">
      <c r="A222" s="65"/>
      <c r="B222" s="66"/>
      <c r="C222" s="67"/>
      <c r="D222" s="67"/>
      <c r="E222" s="66"/>
      <c r="F222" s="66"/>
      <c r="G222" s="66"/>
      <c r="H222" s="66"/>
      <c r="I222" s="66"/>
      <c r="J222" s="66"/>
      <c r="K222" s="69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7"/>
      <c r="AA222" s="58"/>
      <c r="AB222" s="58"/>
    </row>
    <row r="223" ht="15.75" customHeight="1">
      <c r="A223" s="65"/>
      <c r="B223" s="66"/>
      <c r="C223" s="67"/>
      <c r="D223" s="67"/>
      <c r="E223" s="66"/>
      <c r="F223" s="66"/>
      <c r="G223" s="66"/>
      <c r="H223" s="66"/>
      <c r="I223" s="66"/>
      <c r="J223" s="66"/>
      <c r="K223" s="69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7"/>
      <c r="AA223" s="58"/>
      <c r="AB223" s="58"/>
    </row>
    <row r="224" ht="15.75" customHeight="1">
      <c r="A224" s="65"/>
      <c r="B224" s="66"/>
      <c r="C224" s="67"/>
      <c r="D224" s="67"/>
      <c r="E224" s="66"/>
      <c r="F224" s="66"/>
      <c r="G224" s="66"/>
      <c r="H224" s="66"/>
      <c r="I224" s="66"/>
      <c r="J224" s="66"/>
      <c r="K224" s="69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7"/>
      <c r="AA224" s="58"/>
      <c r="AB224" s="58"/>
    </row>
    <row r="225" ht="15.75" customHeight="1">
      <c r="A225" s="65"/>
      <c r="B225" s="66"/>
      <c r="C225" s="67"/>
      <c r="D225" s="67"/>
      <c r="E225" s="66"/>
      <c r="F225" s="66"/>
      <c r="G225" s="66"/>
      <c r="H225" s="66"/>
      <c r="I225" s="66"/>
      <c r="J225" s="66"/>
      <c r="K225" s="69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7"/>
      <c r="AA225" s="58"/>
      <c r="AB225" s="58"/>
    </row>
    <row r="226" ht="15.75" customHeight="1">
      <c r="A226" s="65"/>
      <c r="B226" s="66"/>
      <c r="C226" s="67"/>
      <c r="D226" s="67"/>
      <c r="E226" s="66"/>
      <c r="F226" s="66"/>
      <c r="G226" s="66"/>
      <c r="H226" s="66"/>
      <c r="I226" s="66"/>
      <c r="J226" s="66"/>
      <c r="K226" s="69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7"/>
      <c r="AA226" s="58"/>
      <c r="AB226" s="58"/>
    </row>
    <row r="227" ht="15.75" customHeight="1">
      <c r="A227" s="65"/>
      <c r="B227" s="66"/>
      <c r="C227" s="67"/>
      <c r="D227" s="67"/>
      <c r="E227" s="66"/>
      <c r="F227" s="66"/>
      <c r="G227" s="66"/>
      <c r="H227" s="66"/>
      <c r="I227" s="66"/>
      <c r="J227" s="66"/>
      <c r="K227" s="69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7"/>
      <c r="AA227" s="58"/>
      <c r="AB227" s="58"/>
    </row>
    <row r="228" ht="15.75" customHeight="1">
      <c r="A228" s="65"/>
      <c r="B228" s="66"/>
      <c r="C228" s="67"/>
      <c r="D228" s="67"/>
      <c r="E228" s="66"/>
      <c r="F228" s="66"/>
      <c r="G228" s="66"/>
      <c r="H228" s="66"/>
      <c r="I228" s="66"/>
      <c r="J228" s="66"/>
      <c r="K228" s="69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7"/>
      <c r="AA228" s="58"/>
      <c r="AB228" s="58"/>
    </row>
    <row r="229" ht="15.75" customHeight="1">
      <c r="A229" s="65"/>
      <c r="B229" s="66"/>
      <c r="C229" s="67"/>
      <c r="D229" s="67"/>
      <c r="E229" s="66"/>
      <c r="F229" s="66"/>
      <c r="G229" s="66"/>
      <c r="H229" s="66"/>
      <c r="I229" s="66"/>
      <c r="J229" s="66"/>
      <c r="K229" s="69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7"/>
      <c r="AA229" s="58"/>
      <c r="AB229" s="58"/>
    </row>
    <row r="230" ht="15.75" customHeight="1">
      <c r="A230" s="65"/>
      <c r="B230" s="66"/>
      <c r="C230" s="67"/>
      <c r="D230" s="67"/>
      <c r="E230" s="66"/>
      <c r="F230" s="66"/>
      <c r="G230" s="66"/>
      <c r="H230" s="66"/>
      <c r="I230" s="66"/>
      <c r="J230" s="66"/>
      <c r="K230" s="69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7"/>
      <c r="AA230" s="58"/>
      <c r="AB230" s="58"/>
    </row>
    <row r="231" ht="15.75" customHeight="1">
      <c r="A231" s="65"/>
      <c r="B231" s="66"/>
      <c r="C231" s="67"/>
      <c r="D231" s="67"/>
      <c r="E231" s="66"/>
      <c r="F231" s="66"/>
      <c r="G231" s="66"/>
      <c r="H231" s="66"/>
      <c r="I231" s="66"/>
      <c r="J231" s="66"/>
      <c r="K231" s="69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7"/>
      <c r="AA231" s="58"/>
      <c r="AB231" s="58"/>
    </row>
    <row r="232" ht="15.75" customHeight="1">
      <c r="A232" s="65"/>
      <c r="B232" s="66"/>
      <c r="C232" s="67"/>
      <c r="D232" s="67"/>
      <c r="E232" s="66"/>
      <c r="F232" s="66"/>
      <c r="G232" s="66"/>
      <c r="H232" s="66"/>
      <c r="I232" s="66"/>
      <c r="J232" s="66"/>
      <c r="K232" s="69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7"/>
      <c r="AA232" s="58"/>
      <c r="AB232" s="58"/>
    </row>
    <row r="233" ht="15.75" customHeight="1">
      <c r="A233" s="65"/>
      <c r="B233" s="66"/>
      <c r="C233" s="67"/>
      <c r="D233" s="67"/>
      <c r="E233" s="66"/>
      <c r="F233" s="66"/>
      <c r="G233" s="66"/>
      <c r="H233" s="66"/>
      <c r="I233" s="66"/>
      <c r="J233" s="66"/>
      <c r="K233" s="69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7"/>
      <c r="AA233" s="58"/>
      <c r="AB233" s="58"/>
    </row>
    <row r="234" ht="15.75" customHeight="1">
      <c r="A234" s="65"/>
      <c r="B234" s="66"/>
      <c r="C234" s="67"/>
      <c r="D234" s="67"/>
      <c r="E234" s="66"/>
      <c r="F234" s="66"/>
      <c r="G234" s="66"/>
      <c r="H234" s="66"/>
      <c r="I234" s="66"/>
      <c r="J234" s="66"/>
      <c r="K234" s="69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7"/>
      <c r="AA234" s="58"/>
      <c r="AB234" s="58"/>
    </row>
    <row r="235" ht="15.75" customHeight="1">
      <c r="A235" s="65"/>
      <c r="B235" s="66"/>
      <c r="C235" s="67"/>
      <c r="D235" s="67"/>
      <c r="E235" s="66"/>
      <c r="F235" s="66"/>
      <c r="G235" s="66"/>
      <c r="H235" s="66"/>
      <c r="I235" s="66"/>
      <c r="J235" s="66"/>
      <c r="K235" s="69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7"/>
      <c r="AA235" s="58"/>
      <c r="AB235" s="58"/>
    </row>
    <row r="236" ht="15.75" customHeight="1">
      <c r="A236" s="65"/>
      <c r="B236" s="66"/>
      <c r="C236" s="67"/>
      <c r="D236" s="67"/>
      <c r="E236" s="66"/>
      <c r="F236" s="66"/>
      <c r="G236" s="66"/>
      <c r="H236" s="66"/>
      <c r="I236" s="66"/>
      <c r="J236" s="66"/>
      <c r="K236" s="69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7"/>
      <c r="AA236" s="58"/>
      <c r="AB236" s="58"/>
    </row>
    <row r="237" ht="15.75" customHeight="1">
      <c r="A237" s="65"/>
      <c r="B237" s="66"/>
      <c r="C237" s="67"/>
      <c r="D237" s="67"/>
      <c r="E237" s="66"/>
      <c r="F237" s="66"/>
      <c r="G237" s="66"/>
      <c r="H237" s="66"/>
      <c r="I237" s="66"/>
      <c r="J237" s="66"/>
      <c r="K237" s="69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7"/>
      <c r="AA237" s="58"/>
      <c r="AB237" s="58"/>
    </row>
    <row r="238" ht="15.75" customHeight="1">
      <c r="A238" s="65"/>
      <c r="B238" s="66"/>
      <c r="C238" s="67"/>
      <c r="D238" s="67"/>
      <c r="E238" s="66"/>
      <c r="F238" s="66"/>
      <c r="G238" s="66"/>
      <c r="H238" s="66"/>
      <c r="I238" s="66"/>
      <c r="J238" s="66"/>
      <c r="K238" s="69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7"/>
      <c r="AA238" s="58"/>
      <c r="AB238" s="58"/>
    </row>
    <row r="239" ht="15.75" customHeight="1">
      <c r="A239" s="65"/>
      <c r="B239" s="66"/>
      <c r="C239" s="67"/>
      <c r="D239" s="67"/>
      <c r="E239" s="66"/>
      <c r="F239" s="66"/>
      <c r="G239" s="66"/>
      <c r="H239" s="66"/>
      <c r="I239" s="66"/>
      <c r="J239" s="66"/>
      <c r="K239" s="69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7"/>
      <c r="AA239" s="58"/>
      <c r="AB239" s="58"/>
    </row>
    <row r="240" ht="15.75" customHeight="1">
      <c r="A240" s="65"/>
      <c r="B240" s="66"/>
      <c r="C240" s="67"/>
      <c r="D240" s="67"/>
      <c r="E240" s="66"/>
      <c r="F240" s="66"/>
      <c r="G240" s="66"/>
      <c r="H240" s="66"/>
      <c r="I240" s="66"/>
      <c r="J240" s="66"/>
      <c r="K240" s="69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7"/>
      <c r="AA240" s="58"/>
      <c r="AB240" s="58"/>
    </row>
    <row r="241" ht="15.75" customHeight="1">
      <c r="A241" s="65"/>
      <c r="B241" s="66"/>
      <c r="C241" s="67"/>
      <c r="D241" s="67"/>
      <c r="E241" s="66"/>
      <c r="F241" s="66"/>
      <c r="G241" s="66"/>
      <c r="H241" s="66"/>
      <c r="I241" s="66"/>
      <c r="J241" s="66"/>
      <c r="K241" s="69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7"/>
      <c r="AA241" s="58"/>
      <c r="AB241" s="58"/>
    </row>
    <row r="242" ht="15.75" customHeight="1">
      <c r="A242" s="65"/>
      <c r="B242" s="66"/>
      <c r="C242" s="67"/>
      <c r="D242" s="67"/>
      <c r="E242" s="66"/>
      <c r="F242" s="66"/>
      <c r="G242" s="66"/>
      <c r="H242" s="66"/>
      <c r="I242" s="66"/>
      <c r="J242" s="66"/>
      <c r="K242" s="69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7"/>
      <c r="AA242" s="58"/>
      <c r="AB242" s="58"/>
    </row>
    <row r="243" ht="15.75" customHeight="1">
      <c r="A243" s="65"/>
      <c r="B243" s="66"/>
      <c r="C243" s="67"/>
      <c r="D243" s="67"/>
      <c r="E243" s="66"/>
      <c r="F243" s="66"/>
      <c r="G243" s="66"/>
      <c r="H243" s="66"/>
      <c r="I243" s="66"/>
      <c r="J243" s="66"/>
      <c r="K243" s="69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7"/>
      <c r="AA243" s="58"/>
      <c r="AB243" s="58"/>
    </row>
    <row r="244" ht="15.75" customHeight="1">
      <c r="A244" s="65"/>
      <c r="B244" s="66"/>
      <c r="C244" s="67"/>
      <c r="D244" s="67"/>
      <c r="E244" s="66"/>
      <c r="F244" s="66"/>
      <c r="G244" s="66"/>
      <c r="H244" s="66"/>
      <c r="I244" s="66"/>
      <c r="J244" s="66"/>
      <c r="K244" s="69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7"/>
      <c r="AA244" s="58"/>
      <c r="AB244" s="58"/>
    </row>
    <row r="245" ht="15.75" customHeight="1">
      <c r="A245" s="65"/>
      <c r="B245" s="66"/>
      <c r="C245" s="67"/>
      <c r="D245" s="67"/>
      <c r="E245" s="66"/>
      <c r="F245" s="66"/>
      <c r="G245" s="66"/>
      <c r="H245" s="66"/>
      <c r="I245" s="66"/>
      <c r="J245" s="66"/>
      <c r="K245" s="69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7"/>
      <c r="AA245" s="58"/>
      <c r="AB245" s="58"/>
    </row>
    <row r="246" ht="15.75" customHeight="1">
      <c r="A246" s="65"/>
      <c r="B246" s="66"/>
      <c r="C246" s="67"/>
      <c r="D246" s="67"/>
      <c r="E246" s="66"/>
      <c r="F246" s="66"/>
      <c r="G246" s="66"/>
      <c r="H246" s="66"/>
      <c r="I246" s="66"/>
      <c r="J246" s="66"/>
      <c r="K246" s="69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7"/>
      <c r="AA246" s="58"/>
      <c r="AB246" s="58"/>
    </row>
    <row r="247" ht="15.75" customHeight="1">
      <c r="A247" s="65"/>
      <c r="B247" s="66"/>
      <c r="C247" s="67"/>
      <c r="D247" s="67"/>
      <c r="E247" s="66"/>
      <c r="F247" s="66"/>
      <c r="G247" s="66"/>
      <c r="H247" s="66"/>
      <c r="I247" s="66"/>
      <c r="J247" s="66"/>
      <c r="K247" s="69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7"/>
      <c r="AA247" s="58"/>
      <c r="AB247" s="58"/>
    </row>
    <row r="248" ht="15.75" customHeight="1">
      <c r="A248" s="65"/>
      <c r="B248" s="66"/>
      <c r="C248" s="67"/>
      <c r="D248" s="67"/>
      <c r="E248" s="66"/>
      <c r="F248" s="66"/>
      <c r="G248" s="66"/>
      <c r="H248" s="66"/>
      <c r="I248" s="66"/>
      <c r="J248" s="66"/>
      <c r="K248" s="69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7"/>
      <c r="AA248" s="58"/>
      <c r="AB248" s="58"/>
    </row>
    <row r="249" ht="15.75" customHeight="1">
      <c r="A249" s="65"/>
      <c r="B249" s="66"/>
      <c r="C249" s="67"/>
      <c r="D249" s="67"/>
      <c r="E249" s="66"/>
      <c r="F249" s="66"/>
      <c r="G249" s="66"/>
      <c r="H249" s="66"/>
      <c r="I249" s="66"/>
      <c r="J249" s="66"/>
      <c r="K249" s="69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7"/>
      <c r="AA249" s="58"/>
      <c r="AB249" s="58"/>
    </row>
    <row r="250" ht="15.75" customHeight="1">
      <c r="A250" s="65"/>
      <c r="B250" s="66"/>
      <c r="C250" s="67"/>
      <c r="D250" s="67"/>
      <c r="E250" s="66"/>
      <c r="F250" s="66"/>
      <c r="G250" s="66"/>
      <c r="H250" s="66"/>
      <c r="I250" s="66"/>
      <c r="J250" s="66"/>
      <c r="K250" s="69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7"/>
      <c r="AA250" s="58"/>
      <c r="AB250" s="58"/>
    </row>
    <row r="251" ht="15.75" customHeight="1">
      <c r="A251" s="65"/>
      <c r="B251" s="66"/>
      <c r="C251" s="67"/>
      <c r="D251" s="67"/>
      <c r="E251" s="66"/>
      <c r="F251" s="66"/>
      <c r="G251" s="66"/>
      <c r="H251" s="66"/>
      <c r="I251" s="66"/>
      <c r="J251" s="66"/>
      <c r="K251" s="69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7"/>
      <c r="AA251" s="58"/>
      <c r="AB251" s="58"/>
    </row>
    <row r="252" ht="15.75" customHeight="1">
      <c r="A252" s="65"/>
      <c r="B252" s="66"/>
      <c r="C252" s="67"/>
      <c r="D252" s="67"/>
      <c r="E252" s="66"/>
      <c r="F252" s="66"/>
      <c r="G252" s="66"/>
      <c r="H252" s="66"/>
      <c r="I252" s="66"/>
      <c r="J252" s="66"/>
      <c r="K252" s="69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7"/>
      <c r="AA252" s="58"/>
      <c r="AB252" s="58"/>
    </row>
    <row r="253" ht="15.75" customHeight="1">
      <c r="A253" s="65"/>
      <c r="B253" s="66"/>
      <c r="C253" s="67"/>
      <c r="D253" s="67"/>
      <c r="E253" s="66"/>
      <c r="F253" s="66"/>
      <c r="G253" s="66"/>
      <c r="H253" s="66"/>
      <c r="I253" s="66"/>
      <c r="J253" s="66"/>
      <c r="K253" s="69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7"/>
      <c r="AA253" s="58"/>
      <c r="AB253" s="58"/>
    </row>
    <row r="254" ht="15.75" customHeight="1">
      <c r="A254" s="65"/>
      <c r="B254" s="66"/>
      <c r="C254" s="67"/>
      <c r="D254" s="67"/>
      <c r="E254" s="66"/>
      <c r="F254" s="66"/>
      <c r="G254" s="66"/>
      <c r="H254" s="66"/>
      <c r="I254" s="66"/>
      <c r="J254" s="66"/>
      <c r="K254" s="69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7"/>
      <c r="AA254" s="58"/>
      <c r="AB254" s="58"/>
    </row>
    <row r="255" ht="15.75" customHeight="1">
      <c r="A255" s="65"/>
      <c r="B255" s="66"/>
      <c r="C255" s="67"/>
      <c r="D255" s="67"/>
      <c r="E255" s="66"/>
      <c r="F255" s="66"/>
      <c r="G255" s="66"/>
      <c r="H255" s="66"/>
      <c r="I255" s="66"/>
      <c r="J255" s="66"/>
      <c r="K255" s="69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7"/>
      <c r="AA255" s="58"/>
      <c r="AB255" s="58"/>
    </row>
    <row r="256" ht="15.75" customHeight="1">
      <c r="A256" s="65"/>
      <c r="B256" s="66"/>
      <c r="C256" s="67"/>
      <c r="D256" s="67"/>
      <c r="E256" s="66"/>
      <c r="F256" s="66"/>
      <c r="G256" s="66"/>
      <c r="H256" s="66"/>
      <c r="I256" s="66"/>
      <c r="J256" s="66"/>
      <c r="K256" s="69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7"/>
      <c r="AA256" s="58"/>
      <c r="AB256" s="58"/>
    </row>
    <row r="257" ht="15.75" customHeight="1">
      <c r="A257" s="65"/>
      <c r="B257" s="66"/>
      <c r="C257" s="67"/>
      <c r="D257" s="67"/>
      <c r="E257" s="66"/>
      <c r="F257" s="66"/>
      <c r="G257" s="66"/>
      <c r="H257" s="66"/>
      <c r="I257" s="66"/>
      <c r="J257" s="66"/>
      <c r="K257" s="69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7"/>
      <c r="AA257" s="58"/>
      <c r="AB257" s="58"/>
    </row>
    <row r="258" ht="15.75" customHeight="1">
      <c r="A258" s="65"/>
      <c r="B258" s="66"/>
      <c r="C258" s="67"/>
      <c r="D258" s="67"/>
      <c r="E258" s="66"/>
      <c r="F258" s="66"/>
      <c r="G258" s="66"/>
      <c r="H258" s="66"/>
      <c r="I258" s="66"/>
      <c r="J258" s="66"/>
      <c r="K258" s="69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7"/>
      <c r="AA258" s="58"/>
      <c r="AB258" s="58"/>
    </row>
    <row r="259" ht="15.75" customHeight="1">
      <c r="A259" s="65"/>
      <c r="B259" s="66"/>
      <c r="C259" s="67"/>
      <c r="D259" s="67"/>
      <c r="E259" s="66"/>
      <c r="F259" s="66"/>
      <c r="G259" s="66"/>
      <c r="H259" s="66"/>
      <c r="I259" s="66"/>
      <c r="J259" s="66"/>
      <c r="K259" s="69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7"/>
      <c r="AA259" s="58"/>
      <c r="AB259" s="58"/>
    </row>
    <row r="260" ht="15.75" customHeight="1">
      <c r="A260" s="65"/>
      <c r="B260" s="66"/>
      <c r="C260" s="67"/>
      <c r="D260" s="67"/>
      <c r="E260" s="66"/>
      <c r="F260" s="66"/>
      <c r="G260" s="66"/>
      <c r="H260" s="66"/>
      <c r="I260" s="66"/>
      <c r="J260" s="66"/>
      <c r="K260" s="69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7"/>
      <c r="AA260" s="58"/>
      <c r="AB260" s="58"/>
    </row>
    <row r="261" ht="15.75" customHeight="1">
      <c r="A261" s="65"/>
      <c r="B261" s="66"/>
      <c r="C261" s="67"/>
      <c r="D261" s="67"/>
      <c r="E261" s="66"/>
      <c r="F261" s="66"/>
      <c r="G261" s="66"/>
      <c r="H261" s="66"/>
      <c r="I261" s="66"/>
      <c r="J261" s="66"/>
      <c r="K261" s="69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7"/>
      <c r="AA261" s="58"/>
      <c r="AB261" s="58"/>
    </row>
    <row r="262" ht="15.75" customHeight="1">
      <c r="A262" s="65"/>
      <c r="B262" s="66"/>
      <c r="C262" s="67"/>
      <c r="D262" s="67"/>
      <c r="E262" s="66"/>
      <c r="F262" s="66"/>
      <c r="G262" s="66"/>
      <c r="H262" s="66"/>
      <c r="I262" s="66"/>
      <c r="J262" s="66"/>
      <c r="K262" s="69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7"/>
      <c r="AA262" s="58"/>
      <c r="AB262" s="58"/>
    </row>
    <row r="263" ht="15.75" customHeight="1">
      <c r="A263" s="65"/>
      <c r="B263" s="66"/>
      <c r="C263" s="67"/>
      <c r="D263" s="67"/>
      <c r="E263" s="66"/>
      <c r="F263" s="66"/>
      <c r="G263" s="66"/>
      <c r="H263" s="66"/>
      <c r="I263" s="66"/>
      <c r="J263" s="66"/>
      <c r="K263" s="69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7"/>
      <c r="AA263" s="58"/>
      <c r="AB263" s="58"/>
    </row>
    <row r="264" ht="15.75" customHeight="1">
      <c r="A264" s="65"/>
      <c r="B264" s="66"/>
      <c r="C264" s="67"/>
      <c r="D264" s="67"/>
      <c r="E264" s="66"/>
      <c r="F264" s="66"/>
      <c r="G264" s="66"/>
      <c r="H264" s="66"/>
      <c r="I264" s="66"/>
      <c r="J264" s="66"/>
      <c r="K264" s="69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7"/>
      <c r="AA264" s="58"/>
      <c r="AB264" s="58"/>
    </row>
    <row r="265" ht="15.75" customHeight="1">
      <c r="A265" s="65"/>
      <c r="B265" s="66"/>
      <c r="C265" s="67"/>
      <c r="D265" s="67"/>
      <c r="E265" s="66"/>
      <c r="F265" s="66"/>
      <c r="G265" s="66"/>
      <c r="H265" s="66"/>
      <c r="I265" s="66"/>
      <c r="J265" s="66"/>
      <c r="K265" s="69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7"/>
      <c r="AA265" s="58"/>
      <c r="AB265" s="58"/>
    </row>
    <row r="266" ht="15.75" customHeight="1">
      <c r="A266" s="65"/>
      <c r="B266" s="66"/>
      <c r="C266" s="67"/>
      <c r="D266" s="67"/>
      <c r="E266" s="66"/>
      <c r="F266" s="66"/>
      <c r="G266" s="66"/>
      <c r="H266" s="66"/>
      <c r="I266" s="66"/>
      <c r="J266" s="66"/>
      <c r="K266" s="69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7"/>
      <c r="AA266" s="58"/>
      <c r="AB266" s="58"/>
    </row>
    <row r="267" ht="15.75" customHeight="1">
      <c r="A267" s="65"/>
      <c r="B267" s="66"/>
      <c r="C267" s="67"/>
      <c r="D267" s="67"/>
      <c r="E267" s="66"/>
      <c r="F267" s="66"/>
      <c r="G267" s="66"/>
      <c r="H267" s="66"/>
      <c r="I267" s="66"/>
      <c r="J267" s="66"/>
      <c r="K267" s="69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7"/>
      <c r="AA267" s="58"/>
      <c r="AB267" s="58"/>
    </row>
    <row r="268" ht="15.75" customHeight="1">
      <c r="A268" s="65"/>
      <c r="B268" s="66"/>
      <c r="C268" s="67"/>
      <c r="D268" s="67"/>
      <c r="E268" s="66"/>
      <c r="F268" s="66"/>
      <c r="G268" s="66"/>
      <c r="H268" s="66"/>
      <c r="I268" s="66"/>
      <c r="J268" s="66"/>
      <c r="K268" s="69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7"/>
      <c r="AA268" s="58"/>
      <c r="AB268" s="58"/>
    </row>
    <row r="269" ht="15.75" customHeight="1">
      <c r="A269" s="65"/>
      <c r="B269" s="66"/>
      <c r="C269" s="67"/>
      <c r="D269" s="67"/>
      <c r="E269" s="66"/>
      <c r="F269" s="66"/>
      <c r="G269" s="66"/>
      <c r="H269" s="66"/>
      <c r="I269" s="66"/>
      <c r="J269" s="66"/>
      <c r="K269" s="69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7"/>
      <c r="AA269" s="58"/>
      <c r="AB269" s="58"/>
    </row>
    <row r="270" ht="15.75" customHeight="1">
      <c r="A270" s="65"/>
      <c r="B270" s="66"/>
      <c r="C270" s="67"/>
      <c r="D270" s="67"/>
      <c r="E270" s="66"/>
      <c r="F270" s="66"/>
      <c r="G270" s="66"/>
      <c r="H270" s="66"/>
      <c r="I270" s="66"/>
      <c r="J270" s="66"/>
      <c r="K270" s="69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7"/>
      <c r="AA270" s="58"/>
      <c r="AB270" s="58"/>
    </row>
    <row r="271" ht="15.75" customHeight="1">
      <c r="A271" s="71"/>
      <c r="B271" s="72"/>
      <c r="C271" s="73"/>
      <c r="D271" s="73"/>
      <c r="E271" s="72"/>
      <c r="F271" s="72"/>
      <c r="G271" s="72"/>
      <c r="H271" s="72"/>
      <c r="I271" s="72"/>
      <c r="J271" s="72"/>
      <c r="K271" s="75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7"/>
      <c r="AA271" s="58"/>
      <c r="AB271" s="58"/>
    </row>
    <row r="272" ht="15.75" customHeight="1">
      <c r="A272" s="76"/>
      <c r="B272" s="76"/>
      <c r="C272" s="77"/>
      <c r="D272" s="77"/>
      <c r="E272" s="76"/>
      <c r="F272" s="76"/>
      <c r="G272" s="76"/>
      <c r="H272" s="76"/>
      <c r="I272" s="76"/>
      <c r="J272" s="76"/>
      <c r="K272" s="7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7"/>
      <c r="AA272" s="58"/>
      <c r="AB272" s="58"/>
    </row>
    <row r="273" ht="15.75" customHeight="1">
      <c r="A273" s="76"/>
      <c r="B273" s="76"/>
      <c r="C273" s="77"/>
      <c r="D273" s="77"/>
      <c r="E273" s="76"/>
      <c r="F273" s="76"/>
      <c r="G273" s="76"/>
      <c r="H273" s="76"/>
      <c r="I273" s="76"/>
      <c r="J273" s="76"/>
      <c r="K273" s="7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7"/>
      <c r="AA273" s="58"/>
      <c r="AB273" s="58"/>
    </row>
    <row r="274" ht="15.75" customHeight="1">
      <c r="A274" s="76"/>
      <c r="B274" s="76"/>
      <c r="C274" s="77"/>
      <c r="D274" s="77"/>
      <c r="E274" s="76"/>
      <c r="F274" s="76"/>
      <c r="G274" s="76"/>
      <c r="H274" s="76"/>
      <c r="I274" s="76"/>
      <c r="J274" s="76"/>
      <c r="K274" s="7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7"/>
      <c r="AA274" s="58"/>
      <c r="AB274" s="58"/>
    </row>
    <row r="275" ht="15.75" customHeight="1">
      <c r="A275" s="76"/>
      <c r="B275" s="76"/>
      <c r="C275" s="77"/>
      <c r="D275" s="77"/>
      <c r="E275" s="76"/>
      <c r="F275" s="76"/>
      <c r="G275" s="76"/>
      <c r="H275" s="76"/>
      <c r="I275" s="76"/>
      <c r="J275" s="76"/>
      <c r="K275" s="7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7"/>
      <c r="AA275" s="58"/>
      <c r="AB275" s="58"/>
    </row>
    <row r="276" ht="15.75" customHeight="1">
      <c r="A276" s="76"/>
      <c r="B276" s="76"/>
      <c r="C276" s="77"/>
      <c r="D276" s="77"/>
      <c r="E276" s="76"/>
      <c r="F276" s="76"/>
      <c r="G276" s="76"/>
      <c r="H276" s="76"/>
      <c r="I276" s="76"/>
      <c r="J276" s="76"/>
      <c r="K276" s="7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7"/>
      <c r="AA276" s="58"/>
      <c r="AB276" s="58"/>
    </row>
    <row r="277" ht="15.75" customHeight="1">
      <c r="A277" s="76"/>
      <c r="B277" s="76"/>
      <c r="C277" s="77"/>
      <c r="D277" s="77"/>
      <c r="E277" s="76"/>
      <c r="F277" s="76"/>
      <c r="G277" s="76"/>
      <c r="H277" s="76"/>
      <c r="I277" s="76"/>
      <c r="J277" s="76"/>
      <c r="K277" s="7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7"/>
      <c r="AA277" s="58"/>
      <c r="AB277" s="58"/>
    </row>
    <row r="278" ht="15.75" customHeight="1">
      <c r="A278" s="76"/>
      <c r="B278" s="76"/>
      <c r="C278" s="77"/>
      <c r="D278" s="77"/>
      <c r="E278" s="76"/>
      <c r="F278" s="76"/>
      <c r="G278" s="76"/>
      <c r="H278" s="76"/>
      <c r="I278" s="76"/>
      <c r="J278" s="76"/>
      <c r="K278" s="7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7"/>
      <c r="AA278" s="58"/>
      <c r="AB278" s="58"/>
    </row>
    <row r="279" ht="15.75" customHeight="1">
      <c r="A279" s="76"/>
      <c r="B279" s="76"/>
      <c r="C279" s="77"/>
      <c r="D279" s="77"/>
      <c r="E279" s="76"/>
      <c r="F279" s="76"/>
      <c r="G279" s="76"/>
      <c r="H279" s="76"/>
      <c r="I279" s="76"/>
      <c r="J279" s="76"/>
      <c r="K279" s="7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7"/>
      <c r="AA279" s="58"/>
      <c r="AB279" s="58"/>
    </row>
    <row r="280" ht="15.75" customHeight="1">
      <c r="A280" s="76"/>
      <c r="B280" s="76"/>
      <c r="C280" s="77"/>
      <c r="D280" s="77"/>
      <c r="E280" s="76"/>
      <c r="F280" s="76"/>
      <c r="G280" s="76"/>
      <c r="H280" s="76"/>
      <c r="I280" s="76"/>
      <c r="J280" s="76"/>
      <c r="K280" s="7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7"/>
      <c r="AA280" s="58"/>
      <c r="AB280" s="58"/>
    </row>
    <row r="281" ht="15.75" customHeight="1">
      <c r="A281" s="76"/>
      <c r="B281" s="76"/>
      <c r="C281" s="77"/>
      <c r="D281" s="77"/>
      <c r="E281" s="76"/>
      <c r="F281" s="76"/>
      <c r="G281" s="76"/>
      <c r="H281" s="76"/>
      <c r="I281" s="76"/>
      <c r="J281" s="76"/>
      <c r="K281" s="7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7"/>
      <c r="AA281" s="58"/>
      <c r="AB281" s="58"/>
    </row>
    <row r="282" ht="15.75" customHeight="1">
      <c r="A282" s="76"/>
      <c r="B282" s="76"/>
      <c r="C282" s="77"/>
      <c r="D282" s="77"/>
      <c r="E282" s="76"/>
      <c r="F282" s="76"/>
      <c r="G282" s="76"/>
      <c r="H282" s="76"/>
      <c r="I282" s="76"/>
      <c r="J282" s="76"/>
      <c r="K282" s="7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7"/>
      <c r="AA282" s="58"/>
      <c r="AB282" s="58"/>
    </row>
    <row r="283" ht="15.75" customHeight="1">
      <c r="A283" s="76"/>
      <c r="B283" s="76"/>
      <c r="C283" s="77"/>
      <c r="D283" s="77"/>
      <c r="E283" s="76"/>
      <c r="F283" s="76"/>
      <c r="G283" s="76"/>
      <c r="H283" s="76"/>
      <c r="I283" s="76"/>
      <c r="J283" s="76"/>
      <c r="K283" s="7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7"/>
      <c r="AA283" s="58"/>
      <c r="AB283" s="58"/>
    </row>
    <row r="284" ht="15.75" customHeight="1">
      <c r="A284" s="76"/>
      <c r="B284" s="76"/>
      <c r="C284" s="77"/>
      <c r="D284" s="77"/>
      <c r="E284" s="76"/>
      <c r="F284" s="76"/>
      <c r="G284" s="76"/>
      <c r="H284" s="76"/>
      <c r="I284" s="76"/>
      <c r="J284" s="76"/>
      <c r="K284" s="7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7"/>
      <c r="AA284" s="58"/>
      <c r="AB284" s="58"/>
    </row>
    <row r="285" ht="15.75" customHeight="1">
      <c r="A285" s="76"/>
      <c r="B285" s="76"/>
      <c r="C285" s="77"/>
      <c r="D285" s="77"/>
      <c r="E285" s="76"/>
      <c r="F285" s="76"/>
      <c r="G285" s="76"/>
      <c r="H285" s="76"/>
      <c r="I285" s="76"/>
      <c r="J285" s="76"/>
      <c r="K285" s="7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7"/>
      <c r="AA285" s="58"/>
      <c r="AB285" s="58"/>
    </row>
    <row r="286" ht="15.75" customHeight="1">
      <c r="A286" s="76"/>
      <c r="B286" s="76"/>
      <c r="C286" s="77"/>
      <c r="D286" s="77"/>
      <c r="E286" s="76"/>
      <c r="F286" s="76"/>
      <c r="G286" s="76"/>
      <c r="H286" s="76"/>
      <c r="I286" s="76"/>
      <c r="J286" s="76"/>
      <c r="K286" s="7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7"/>
      <c r="AA286" s="58"/>
      <c r="AB286" s="58"/>
    </row>
    <row r="287" ht="15.75" customHeight="1">
      <c r="A287" s="76"/>
      <c r="B287" s="76"/>
      <c r="C287" s="77"/>
      <c r="D287" s="77"/>
      <c r="E287" s="76"/>
      <c r="F287" s="76"/>
      <c r="G287" s="76"/>
      <c r="H287" s="76"/>
      <c r="I287" s="76"/>
      <c r="J287" s="76"/>
      <c r="K287" s="7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7"/>
      <c r="AA287" s="58"/>
      <c r="AB287" s="58"/>
    </row>
    <row r="288" ht="15.75" customHeight="1">
      <c r="A288" s="76"/>
      <c r="B288" s="76"/>
      <c r="C288" s="77"/>
      <c r="D288" s="77"/>
      <c r="E288" s="76"/>
      <c r="F288" s="76"/>
      <c r="G288" s="76"/>
      <c r="H288" s="76"/>
      <c r="I288" s="76"/>
      <c r="J288" s="76"/>
      <c r="K288" s="7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7"/>
      <c r="AA288" s="58"/>
      <c r="AB288" s="58"/>
    </row>
    <row r="289" ht="15.75" customHeight="1">
      <c r="A289" s="76"/>
      <c r="B289" s="76"/>
      <c r="C289" s="77"/>
      <c r="D289" s="77"/>
      <c r="E289" s="76"/>
      <c r="F289" s="76"/>
      <c r="G289" s="76"/>
      <c r="H289" s="76"/>
      <c r="I289" s="76"/>
      <c r="J289" s="76"/>
      <c r="K289" s="7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7"/>
      <c r="AA289" s="58"/>
      <c r="AB289" s="58"/>
    </row>
    <row r="290" ht="15.75" customHeight="1">
      <c r="A290" s="76"/>
      <c r="B290" s="76"/>
      <c r="C290" s="77"/>
      <c r="D290" s="77"/>
      <c r="E290" s="76"/>
      <c r="F290" s="76"/>
      <c r="G290" s="76"/>
      <c r="H290" s="76"/>
      <c r="I290" s="76"/>
      <c r="J290" s="76"/>
      <c r="K290" s="7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7"/>
      <c r="AA290" s="58"/>
      <c r="AB290" s="58"/>
    </row>
    <row r="291" ht="15.75" customHeight="1">
      <c r="A291" s="76"/>
      <c r="B291" s="76"/>
      <c r="C291" s="77"/>
      <c r="D291" s="77"/>
      <c r="E291" s="76"/>
      <c r="F291" s="76"/>
      <c r="G291" s="76"/>
      <c r="H291" s="76"/>
      <c r="I291" s="76"/>
      <c r="J291" s="76"/>
      <c r="K291" s="7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7"/>
      <c r="AA291" s="58"/>
      <c r="AB291" s="58"/>
    </row>
    <row r="292" ht="15.75" customHeight="1">
      <c r="A292" s="76"/>
      <c r="B292" s="76"/>
      <c r="C292" s="77"/>
      <c r="D292" s="77"/>
      <c r="E292" s="76"/>
      <c r="F292" s="76"/>
      <c r="G292" s="76"/>
      <c r="H292" s="76"/>
      <c r="I292" s="76"/>
      <c r="J292" s="76"/>
      <c r="K292" s="7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7"/>
      <c r="AA292" s="58"/>
      <c r="AB292" s="58"/>
    </row>
    <row r="293" ht="15.75" customHeight="1">
      <c r="A293" s="76"/>
      <c r="B293" s="76"/>
      <c r="C293" s="77"/>
      <c r="D293" s="77"/>
      <c r="E293" s="76"/>
      <c r="F293" s="76"/>
      <c r="G293" s="76"/>
      <c r="H293" s="76"/>
      <c r="I293" s="76"/>
      <c r="J293" s="76"/>
      <c r="K293" s="7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7"/>
      <c r="AA293" s="58"/>
      <c r="AB293" s="58"/>
    </row>
    <row r="294" ht="15.75" customHeight="1">
      <c r="A294" s="76"/>
      <c r="B294" s="76"/>
      <c r="C294" s="77"/>
      <c r="D294" s="77"/>
      <c r="E294" s="76"/>
      <c r="F294" s="76"/>
      <c r="G294" s="76"/>
      <c r="H294" s="76"/>
      <c r="I294" s="76"/>
      <c r="J294" s="76"/>
      <c r="K294" s="7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7"/>
      <c r="AA294" s="58"/>
      <c r="AB294" s="58"/>
    </row>
    <row r="295" ht="15.75" customHeight="1">
      <c r="A295" s="76"/>
      <c r="B295" s="76"/>
      <c r="C295" s="77"/>
      <c r="D295" s="77"/>
      <c r="E295" s="76"/>
      <c r="F295" s="76"/>
      <c r="G295" s="76"/>
      <c r="H295" s="76"/>
      <c r="I295" s="76"/>
      <c r="J295" s="76"/>
      <c r="K295" s="7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7"/>
      <c r="AA295" s="58"/>
      <c r="AB295" s="58"/>
    </row>
    <row r="296" ht="15.75" customHeight="1">
      <c r="A296" s="76"/>
      <c r="B296" s="76"/>
      <c r="C296" s="77"/>
      <c r="D296" s="77"/>
      <c r="E296" s="76"/>
      <c r="F296" s="76"/>
      <c r="G296" s="76"/>
      <c r="H296" s="76"/>
      <c r="I296" s="76"/>
      <c r="J296" s="76"/>
      <c r="K296" s="7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7"/>
      <c r="AA296" s="58"/>
      <c r="AB296" s="58"/>
    </row>
    <row r="297" ht="15.75" customHeight="1">
      <c r="A297" s="76"/>
      <c r="B297" s="76"/>
      <c r="C297" s="77"/>
      <c r="D297" s="77"/>
      <c r="E297" s="76"/>
      <c r="F297" s="76"/>
      <c r="G297" s="76"/>
      <c r="H297" s="76"/>
      <c r="I297" s="76"/>
      <c r="J297" s="76"/>
      <c r="K297" s="7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7"/>
      <c r="AA297" s="58"/>
      <c r="AB297" s="58"/>
    </row>
    <row r="298" ht="15.75" customHeight="1">
      <c r="A298" s="76"/>
      <c r="B298" s="76"/>
      <c r="C298" s="77"/>
      <c r="D298" s="77"/>
      <c r="E298" s="76"/>
      <c r="F298" s="76"/>
      <c r="G298" s="76"/>
      <c r="H298" s="76"/>
      <c r="I298" s="76"/>
      <c r="J298" s="76"/>
      <c r="K298" s="7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7"/>
      <c r="AA298" s="58"/>
      <c r="AB298" s="58"/>
    </row>
    <row r="299" ht="15.75" customHeight="1">
      <c r="A299" s="76"/>
      <c r="B299" s="76"/>
      <c r="C299" s="77"/>
      <c r="D299" s="77"/>
      <c r="E299" s="76"/>
      <c r="F299" s="76"/>
      <c r="G299" s="76"/>
      <c r="H299" s="76"/>
      <c r="I299" s="76"/>
      <c r="J299" s="76"/>
      <c r="K299" s="7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7"/>
      <c r="AA299" s="58"/>
      <c r="AB299" s="58"/>
    </row>
    <row r="300" ht="15.75" customHeight="1">
      <c r="A300" s="76"/>
      <c r="B300" s="76"/>
      <c r="C300" s="77"/>
      <c r="D300" s="77"/>
      <c r="E300" s="76"/>
      <c r="F300" s="76"/>
      <c r="G300" s="76"/>
      <c r="H300" s="76"/>
      <c r="I300" s="76"/>
      <c r="J300" s="76"/>
      <c r="K300" s="7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7"/>
      <c r="AA300" s="58"/>
      <c r="AB300" s="58"/>
    </row>
    <row r="301" ht="15.75" customHeight="1">
      <c r="A301" s="76"/>
      <c r="B301" s="76"/>
      <c r="C301" s="77"/>
      <c r="D301" s="77"/>
      <c r="E301" s="76"/>
      <c r="F301" s="76"/>
      <c r="G301" s="76"/>
      <c r="H301" s="76"/>
      <c r="I301" s="76"/>
      <c r="J301" s="76"/>
      <c r="K301" s="7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7"/>
      <c r="AA301" s="58"/>
      <c r="AB301" s="58"/>
    </row>
    <row r="302" ht="15.75" customHeight="1">
      <c r="A302" s="76"/>
      <c r="B302" s="76"/>
      <c r="C302" s="77"/>
      <c r="D302" s="77"/>
      <c r="E302" s="76"/>
      <c r="F302" s="76"/>
      <c r="G302" s="76"/>
      <c r="H302" s="76"/>
      <c r="I302" s="76"/>
      <c r="J302" s="76"/>
      <c r="K302" s="7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7"/>
      <c r="AA302" s="58"/>
      <c r="AB302" s="58"/>
    </row>
    <row r="303" ht="15.75" customHeight="1">
      <c r="A303" s="76"/>
      <c r="B303" s="76"/>
      <c r="C303" s="77"/>
      <c r="D303" s="77"/>
      <c r="E303" s="76"/>
      <c r="F303" s="76"/>
      <c r="G303" s="76"/>
      <c r="H303" s="76"/>
      <c r="I303" s="76"/>
      <c r="J303" s="76"/>
      <c r="K303" s="7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7"/>
      <c r="AA303" s="58"/>
      <c r="AB303" s="58"/>
    </row>
    <row r="304" ht="15.75" customHeight="1">
      <c r="A304" s="76"/>
      <c r="B304" s="76"/>
      <c r="C304" s="77"/>
      <c r="D304" s="77"/>
      <c r="E304" s="76"/>
      <c r="F304" s="76"/>
      <c r="G304" s="76"/>
      <c r="H304" s="76"/>
      <c r="I304" s="76"/>
      <c r="J304" s="76"/>
      <c r="K304" s="7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7"/>
      <c r="AA304" s="58"/>
      <c r="AB304" s="58"/>
    </row>
    <row r="305" ht="15.75" customHeight="1">
      <c r="A305" s="76"/>
      <c r="B305" s="76"/>
      <c r="C305" s="77"/>
      <c r="D305" s="77"/>
      <c r="E305" s="76"/>
      <c r="F305" s="76"/>
      <c r="G305" s="76"/>
      <c r="H305" s="76"/>
      <c r="I305" s="76"/>
      <c r="J305" s="76"/>
      <c r="K305" s="7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7"/>
      <c r="AA305" s="58"/>
      <c r="AB305" s="58"/>
    </row>
    <row r="306" ht="15.75" customHeight="1">
      <c r="A306" s="76"/>
      <c r="B306" s="76"/>
      <c r="C306" s="77"/>
      <c r="D306" s="77"/>
      <c r="E306" s="76"/>
      <c r="F306" s="76"/>
      <c r="G306" s="76"/>
      <c r="H306" s="76"/>
      <c r="I306" s="76"/>
      <c r="J306" s="76"/>
      <c r="K306" s="7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7"/>
      <c r="AA306" s="58"/>
      <c r="AB306" s="58"/>
    </row>
    <row r="307" ht="15.75" customHeight="1">
      <c r="A307" s="76"/>
      <c r="B307" s="76"/>
      <c r="C307" s="77"/>
      <c r="D307" s="77"/>
      <c r="E307" s="76"/>
      <c r="F307" s="76"/>
      <c r="G307" s="76"/>
      <c r="H307" s="76"/>
      <c r="I307" s="76"/>
      <c r="J307" s="76"/>
      <c r="K307" s="7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7"/>
      <c r="AA307" s="58"/>
      <c r="AB307" s="58"/>
    </row>
    <row r="308" ht="15.75" customHeight="1">
      <c r="A308" s="76"/>
      <c r="B308" s="76"/>
      <c r="C308" s="77"/>
      <c r="D308" s="77"/>
      <c r="E308" s="76"/>
      <c r="F308" s="76"/>
      <c r="G308" s="76"/>
      <c r="H308" s="76"/>
      <c r="I308" s="76"/>
      <c r="J308" s="76"/>
      <c r="K308" s="7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7"/>
      <c r="AA308" s="58"/>
      <c r="AB308" s="58"/>
    </row>
    <row r="309" ht="15.75" customHeight="1">
      <c r="A309" s="78"/>
      <c r="B309" s="78"/>
      <c r="C309" s="79"/>
      <c r="D309" s="79"/>
      <c r="E309" s="78"/>
      <c r="F309" s="78"/>
      <c r="G309" s="78"/>
      <c r="H309" s="78"/>
      <c r="I309" s="78"/>
      <c r="J309" s="78"/>
      <c r="K309" s="78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7"/>
      <c r="AA309" s="58"/>
      <c r="AB309" s="59"/>
    </row>
    <row r="310" ht="15.75" customHeight="1">
      <c r="A310" s="78"/>
      <c r="B310" s="78"/>
      <c r="C310" s="79"/>
      <c r="D310" s="79"/>
      <c r="E310" s="78"/>
      <c r="F310" s="78"/>
      <c r="G310" s="78"/>
      <c r="H310" s="78"/>
      <c r="I310" s="78"/>
      <c r="J310" s="78"/>
      <c r="K310" s="78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7"/>
      <c r="AA310" s="58"/>
      <c r="AB310" s="59"/>
    </row>
    <row r="311" ht="15.75" customHeight="1">
      <c r="A311" s="78"/>
      <c r="B311" s="78"/>
      <c r="C311" s="79"/>
      <c r="D311" s="79"/>
      <c r="E311" s="78"/>
      <c r="F311" s="78"/>
      <c r="G311" s="78"/>
      <c r="H311" s="78"/>
      <c r="I311" s="78"/>
      <c r="J311" s="78"/>
      <c r="K311" s="78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7"/>
      <c r="AA311" s="58"/>
      <c r="AB311" s="59"/>
    </row>
    <row r="312" ht="15.75" customHeight="1">
      <c r="A312" s="78"/>
      <c r="B312" s="78"/>
      <c r="C312" s="79"/>
      <c r="D312" s="79"/>
      <c r="E312" s="78"/>
      <c r="F312" s="78"/>
      <c r="G312" s="78"/>
      <c r="H312" s="78"/>
      <c r="I312" s="78"/>
      <c r="J312" s="78"/>
      <c r="K312" s="78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7"/>
      <c r="AA312" s="58"/>
      <c r="AB312" s="59"/>
    </row>
    <row r="313" ht="15.75" customHeight="1">
      <c r="A313" s="78"/>
      <c r="B313" s="78"/>
      <c r="C313" s="79"/>
      <c r="D313" s="79"/>
      <c r="E313" s="78"/>
      <c r="F313" s="78"/>
      <c r="G313" s="78"/>
      <c r="H313" s="78"/>
      <c r="I313" s="78"/>
      <c r="J313" s="78"/>
      <c r="K313" s="78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7"/>
      <c r="AA313" s="58"/>
      <c r="AB313" s="59"/>
    </row>
    <row r="314" ht="15.75" customHeight="1">
      <c r="A314" s="78"/>
      <c r="B314" s="78"/>
      <c r="C314" s="79"/>
      <c r="D314" s="79"/>
      <c r="E314" s="78"/>
      <c r="F314" s="78"/>
      <c r="G314" s="78"/>
      <c r="H314" s="78"/>
      <c r="I314" s="78"/>
      <c r="J314" s="78"/>
      <c r="K314" s="78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7"/>
      <c r="AA314" s="58"/>
      <c r="AB314" s="59"/>
    </row>
    <row r="315" ht="15.75" customHeight="1">
      <c r="A315" s="78"/>
      <c r="B315" s="78"/>
      <c r="C315" s="79"/>
      <c r="D315" s="79"/>
      <c r="E315" s="78"/>
      <c r="F315" s="78"/>
      <c r="G315" s="78"/>
      <c r="H315" s="78"/>
      <c r="I315" s="78"/>
      <c r="J315" s="78"/>
      <c r="K315" s="78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7"/>
      <c r="AA315" s="58"/>
      <c r="AB315" s="59"/>
    </row>
    <row r="316" ht="15.75" customHeight="1">
      <c r="A316" s="78"/>
      <c r="B316" s="78"/>
      <c r="C316" s="79"/>
      <c r="D316" s="79"/>
      <c r="E316" s="78"/>
      <c r="F316" s="78"/>
      <c r="G316" s="78"/>
      <c r="H316" s="78"/>
      <c r="I316" s="78"/>
      <c r="J316" s="78"/>
      <c r="K316" s="78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7"/>
      <c r="AA316" s="58"/>
      <c r="AB316" s="59"/>
    </row>
    <row r="317" ht="15.75" customHeight="1">
      <c r="A317" s="78"/>
      <c r="B317" s="78"/>
      <c r="C317" s="79"/>
      <c r="D317" s="79"/>
      <c r="E317" s="78"/>
      <c r="F317" s="78"/>
      <c r="G317" s="78"/>
      <c r="H317" s="78"/>
      <c r="I317" s="78"/>
      <c r="J317" s="78"/>
      <c r="K317" s="78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7"/>
      <c r="AA317" s="58"/>
      <c r="AB317" s="59"/>
    </row>
    <row r="318" ht="15.75" customHeight="1">
      <c r="A318" s="78"/>
      <c r="B318" s="78"/>
      <c r="C318" s="79"/>
      <c r="D318" s="79"/>
      <c r="E318" s="78"/>
      <c r="F318" s="78"/>
      <c r="G318" s="78"/>
      <c r="H318" s="78"/>
      <c r="I318" s="78"/>
      <c r="J318" s="78"/>
      <c r="K318" s="78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7"/>
      <c r="AA318" s="58"/>
      <c r="AB318" s="59"/>
    </row>
    <row r="319" ht="15.75" customHeight="1">
      <c r="A319" s="78"/>
      <c r="B319" s="78"/>
      <c r="C319" s="79"/>
      <c r="D319" s="79"/>
      <c r="E319" s="78"/>
      <c r="F319" s="78"/>
      <c r="G319" s="78"/>
      <c r="H319" s="78"/>
      <c r="I319" s="78"/>
      <c r="J319" s="78"/>
      <c r="K319" s="78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7"/>
      <c r="AA319" s="58"/>
      <c r="AB319" s="59"/>
    </row>
    <row r="320" ht="15.75" customHeight="1">
      <c r="A320" s="78"/>
      <c r="B320" s="78"/>
      <c r="C320" s="79"/>
      <c r="D320" s="79"/>
      <c r="E320" s="78"/>
      <c r="F320" s="78"/>
      <c r="G320" s="78"/>
      <c r="H320" s="78"/>
      <c r="I320" s="78"/>
      <c r="J320" s="78"/>
      <c r="K320" s="78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7"/>
      <c r="AA320" s="58"/>
      <c r="AB320" s="59"/>
    </row>
    <row r="321" ht="15.75" customHeight="1">
      <c r="A321" s="78"/>
      <c r="B321" s="78"/>
      <c r="C321" s="79"/>
      <c r="D321" s="79"/>
      <c r="E321" s="78"/>
      <c r="F321" s="78"/>
      <c r="G321" s="78"/>
      <c r="H321" s="78"/>
      <c r="I321" s="78"/>
      <c r="J321" s="78"/>
      <c r="K321" s="78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7"/>
      <c r="AA321" s="58"/>
      <c r="AB321" s="59"/>
    </row>
    <row r="322" ht="15.75" customHeight="1">
      <c r="A322" s="78"/>
      <c r="B322" s="78"/>
      <c r="C322" s="79"/>
      <c r="D322" s="79"/>
      <c r="E322" s="78"/>
      <c r="F322" s="78"/>
      <c r="G322" s="78"/>
      <c r="H322" s="78"/>
      <c r="I322" s="78"/>
      <c r="J322" s="78"/>
      <c r="K322" s="78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7"/>
      <c r="AA322" s="58"/>
      <c r="AB322" s="59"/>
    </row>
    <row r="323" ht="15.75" customHeight="1">
      <c r="A323" s="78"/>
      <c r="B323" s="78"/>
      <c r="C323" s="79"/>
      <c r="D323" s="79"/>
      <c r="E323" s="78"/>
      <c r="F323" s="78"/>
      <c r="G323" s="78"/>
      <c r="H323" s="78"/>
      <c r="I323" s="78"/>
      <c r="J323" s="78"/>
      <c r="K323" s="78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7"/>
      <c r="AA323" s="58"/>
      <c r="AB323" s="59"/>
    </row>
    <row r="324" ht="15.75" customHeight="1">
      <c r="A324" s="78"/>
      <c r="B324" s="78"/>
      <c r="C324" s="79"/>
      <c r="D324" s="79"/>
      <c r="E324" s="78"/>
      <c r="F324" s="78"/>
      <c r="G324" s="78"/>
      <c r="H324" s="78"/>
      <c r="I324" s="78"/>
      <c r="J324" s="78"/>
      <c r="K324" s="78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7"/>
      <c r="AA324" s="58"/>
      <c r="AB324" s="59"/>
    </row>
    <row r="325" ht="15.75" customHeight="1">
      <c r="A325" s="78"/>
      <c r="B325" s="78"/>
      <c r="C325" s="79"/>
      <c r="D325" s="79"/>
      <c r="E325" s="78"/>
      <c r="F325" s="78"/>
      <c r="G325" s="78"/>
      <c r="H325" s="78"/>
      <c r="I325" s="78"/>
      <c r="J325" s="78"/>
      <c r="K325" s="78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7"/>
      <c r="AA325" s="58"/>
      <c r="AB325" s="59"/>
    </row>
    <row r="326" ht="15.75" customHeight="1">
      <c r="A326" s="78"/>
      <c r="B326" s="78"/>
      <c r="C326" s="79"/>
      <c r="D326" s="79"/>
      <c r="E326" s="78"/>
      <c r="F326" s="78"/>
      <c r="G326" s="78"/>
      <c r="H326" s="78"/>
      <c r="I326" s="78"/>
      <c r="J326" s="78"/>
      <c r="K326" s="78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7"/>
      <c r="AA326" s="58"/>
      <c r="AB326" s="59"/>
    </row>
    <row r="327" ht="15.75" customHeight="1">
      <c r="A327" s="78"/>
      <c r="B327" s="78"/>
      <c r="C327" s="79"/>
      <c r="D327" s="79"/>
      <c r="E327" s="78"/>
      <c r="F327" s="78"/>
      <c r="G327" s="78"/>
      <c r="H327" s="78"/>
      <c r="I327" s="78"/>
      <c r="J327" s="78"/>
      <c r="K327" s="78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7"/>
      <c r="AA327" s="58"/>
      <c r="AB327" s="59"/>
    </row>
    <row r="328" ht="15.75" customHeight="1">
      <c r="A328" s="78"/>
      <c r="B328" s="78"/>
      <c r="C328" s="79"/>
      <c r="D328" s="79"/>
      <c r="E328" s="78"/>
      <c r="F328" s="78"/>
      <c r="G328" s="78"/>
      <c r="H328" s="78"/>
      <c r="I328" s="78"/>
      <c r="J328" s="78"/>
      <c r="K328" s="78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7"/>
      <c r="AA328" s="58"/>
      <c r="AB328" s="59"/>
    </row>
    <row r="329" ht="15.75" customHeight="1">
      <c r="A329" s="78"/>
      <c r="B329" s="78"/>
      <c r="C329" s="79"/>
      <c r="D329" s="79"/>
      <c r="E329" s="78"/>
      <c r="F329" s="78"/>
      <c r="G329" s="78"/>
      <c r="H329" s="78"/>
      <c r="I329" s="78"/>
      <c r="J329" s="78"/>
      <c r="K329" s="78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7"/>
      <c r="AA329" s="58"/>
      <c r="AB329" s="59"/>
    </row>
    <row r="330" ht="15.75" customHeight="1">
      <c r="A330" s="78"/>
      <c r="B330" s="78"/>
      <c r="C330" s="79"/>
      <c r="D330" s="79"/>
      <c r="E330" s="78"/>
      <c r="F330" s="78"/>
      <c r="G330" s="78"/>
      <c r="H330" s="78"/>
      <c r="I330" s="78"/>
      <c r="J330" s="78"/>
      <c r="K330" s="78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7"/>
      <c r="AA330" s="58"/>
      <c r="AB330" s="59"/>
    </row>
    <row r="331" ht="15.75" customHeight="1">
      <c r="A331" s="78"/>
      <c r="B331" s="78"/>
      <c r="C331" s="79"/>
      <c r="D331" s="79"/>
      <c r="E331" s="78"/>
      <c r="F331" s="78"/>
      <c r="G331" s="78"/>
      <c r="H331" s="78"/>
      <c r="I331" s="78"/>
      <c r="J331" s="78"/>
      <c r="K331" s="78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7"/>
      <c r="AA331" s="58"/>
      <c r="AB331" s="59"/>
    </row>
    <row r="332" ht="15.75" customHeight="1">
      <c r="A332" s="78"/>
      <c r="B332" s="78"/>
      <c r="C332" s="79"/>
      <c r="D332" s="79"/>
      <c r="E332" s="78"/>
      <c r="F332" s="78"/>
      <c r="G332" s="78"/>
      <c r="H332" s="78"/>
      <c r="I332" s="78"/>
      <c r="J332" s="78"/>
      <c r="K332" s="78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7"/>
      <c r="AA332" s="58"/>
      <c r="AB332" s="59"/>
    </row>
    <row r="333" ht="15.75" customHeight="1">
      <c r="A333" s="78"/>
      <c r="B333" s="78"/>
      <c r="C333" s="79"/>
      <c r="D333" s="79"/>
      <c r="E333" s="78"/>
      <c r="F333" s="78"/>
      <c r="G333" s="78"/>
      <c r="H333" s="78"/>
      <c r="I333" s="78"/>
      <c r="J333" s="78"/>
      <c r="K333" s="78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7"/>
      <c r="AA333" s="58"/>
      <c r="AB333" s="59"/>
    </row>
    <row r="334" ht="15.75" customHeight="1">
      <c r="A334" s="78"/>
      <c r="B334" s="78"/>
      <c r="C334" s="79"/>
      <c r="D334" s="79"/>
      <c r="E334" s="78"/>
      <c r="F334" s="78"/>
      <c r="G334" s="78"/>
      <c r="H334" s="78"/>
      <c r="I334" s="78"/>
      <c r="J334" s="78"/>
      <c r="K334" s="78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7"/>
      <c r="AA334" s="58"/>
      <c r="AB334" s="59"/>
    </row>
    <row r="335" ht="15.75" customHeight="1">
      <c r="A335" s="78"/>
      <c r="B335" s="78"/>
      <c r="C335" s="79"/>
      <c r="D335" s="79"/>
      <c r="E335" s="78"/>
      <c r="F335" s="78"/>
      <c r="G335" s="78"/>
      <c r="H335" s="78"/>
      <c r="I335" s="78"/>
      <c r="J335" s="78"/>
      <c r="K335" s="78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7"/>
      <c r="AA335" s="58"/>
      <c r="AB335" s="59"/>
    </row>
    <row r="336" ht="15.75" customHeight="1">
      <c r="A336" s="78"/>
      <c r="B336" s="78"/>
      <c r="C336" s="79"/>
      <c r="D336" s="79"/>
      <c r="E336" s="78"/>
      <c r="F336" s="78"/>
      <c r="G336" s="78"/>
      <c r="H336" s="78"/>
      <c r="I336" s="78"/>
      <c r="J336" s="78"/>
      <c r="K336" s="78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7"/>
      <c r="AA336" s="58"/>
      <c r="AB336" s="59"/>
    </row>
    <row r="337" ht="15.75" customHeight="1">
      <c r="A337" s="78"/>
      <c r="B337" s="78"/>
      <c r="C337" s="79"/>
      <c r="D337" s="79"/>
      <c r="E337" s="78"/>
      <c r="F337" s="78"/>
      <c r="G337" s="78"/>
      <c r="H337" s="78"/>
      <c r="I337" s="78"/>
      <c r="J337" s="78"/>
      <c r="K337" s="78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7"/>
      <c r="AA337" s="58"/>
      <c r="AB337" s="59"/>
    </row>
    <row r="338" ht="15.75" customHeight="1">
      <c r="A338" s="78"/>
      <c r="B338" s="78"/>
      <c r="C338" s="79"/>
      <c r="D338" s="79"/>
      <c r="E338" s="78"/>
      <c r="F338" s="78"/>
      <c r="G338" s="78"/>
      <c r="H338" s="78"/>
      <c r="I338" s="78"/>
      <c r="J338" s="78"/>
      <c r="K338" s="78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7"/>
      <c r="AA338" s="58"/>
      <c r="AB338" s="59"/>
    </row>
    <row r="339" ht="15.75" customHeight="1">
      <c r="A339" s="78"/>
      <c r="B339" s="78"/>
      <c r="C339" s="79"/>
      <c r="D339" s="79"/>
      <c r="E339" s="78"/>
      <c r="F339" s="78"/>
      <c r="G339" s="78"/>
      <c r="H339" s="78"/>
      <c r="I339" s="78"/>
      <c r="J339" s="78"/>
      <c r="K339" s="78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7"/>
      <c r="AA339" s="58"/>
      <c r="AB339" s="59"/>
    </row>
    <row r="340" ht="15.75" customHeight="1">
      <c r="A340" s="78"/>
      <c r="B340" s="78"/>
      <c r="C340" s="79"/>
      <c r="D340" s="79"/>
      <c r="E340" s="78"/>
      <c r="F340" s="78"/>
      <c r="G340" s="78"/>
      <c r="H340" s="78"/>
      <c r="I340" s="78"/>
      <c r="J340" s="78"/>
      <c r="K340" s="78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7"/>
      <c r="AA340" s="58"/>
      <c r="AB340" s="59"/>
    </row>
    <row r="341" ht="15.75" customHeight="1">
      <c r="A341" s="78"/>
      <c r="B341" s="78"/>
      <c r="C341" s="79"/>
      <c r="D341" s="79"/>
      <c r="E341" s="78"/>
      <c r="F341" s="78"/>
      <c r="G341" s="78"/>
      <c r="H341" s="78"/>
      <c r="I341" s="78"/>
      <c r="J341" s="78"/>
      <c r="K341" s="78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7"/>
      <c r="AA341" s="58"/>
      <c r="AB341" s="59"/>
    </row>
    <row r="342" ht="15.75" customHeight="1">
      <c r="A342" s="78"/>
      <c r="B342" s="78"/>
      <c r="C342" s="79"/>
      <c r="D342" s="79"/>
      <c r="E342" s="78"/>
      <c r="F342" s="78"/>
      <c r="G342" s="78"/>
      <c r="H342" s="78"/>
      <c r="I342" s="78"/>
      <c r="J342" s="78"/>
      <c r="K342" s="78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7"/>
      <c r="AA342" s="58"/>
      <c r="AB342" s="59"/>
    </row>
    <row r="343" ht="15.75" customHeight="1">
      <c r="A343" s="78"/>
      <c r="B343" s="78"/>
      <c r="C343" s="79"/>
      <c r="D343" s="79"/>
      <c r="E343" s="78"/>
      <c r="F343" s="78"/>
      <c r="G343" s="78"/>
      <c r="H343" s="78"/>
      <c r="I343" s="78"/>
      <c r="J343" s="78"/>
      <c r="K343" s="78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7"/>
      <c r="AA343" s="58"/>
      <c r="AB343" s="59"/>
    </row>
    <row r="344" ht="15.75" customHeight="1">
      <c r="A344" s="78"/>
      <c r="B344" s="78"/>
      <c r="C344" s="79"/>
      <c r="D344" s="79"/>
      <c r="E344" s="78"/>
      <c r="F344" s="78"/>
      <c r="G344" s="78"/>
      <c r="H344" s="78"/>
      <c r="I344" s="78"/>
      <c r="J344" s="78"/>
      <c r="K344" s="78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7"/>
      <c r="AA344" s="58"/>
      <c r="AB344" s="59"/>
    </row>
    <row r="345" ht="15.75" customHeight="1">
      <c r="A345" s="78"/>
      <c r="B345" s="78"/>
      <c r="C345" s="79"/>
      <c r="D345" s="79"/>
      <c r="E345" s="78"/>
      <c r="F345" s="78"/>
      <c r="G345" s="78"/>
      <c r="H345" s="78"/>
      <c r="I345" s="78"/>
      <c r="J345" s="78"/>
      <c r="K345" s="78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7"/>
      <c r="AA345" s="58"/>
      <c r="AB345" s="59"/>
    </row>
    <row r="346" ht="15.75" customHeight="1">
      <c r="A346" s="78"/>
      <c r="B346" s="78"/>
      <c r="C346" s="79"/>
      <c r="D346" s="79"/>
      <c r="E346" s="78"/>
      <c r="F346" s="78"/>
      <c r="G346" s="78"/>
      <c r="H346" s="78"/>
      <c r="I346" s="78"/>
      <c r="J346" s="78"/>
      <c r="K346" s="78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7"/>
      <c r="AA346" s="58"/>
      <c r="AB346" s="59"/>
    </row>
    <row r="347" ht="15.75" customHeight="1">
      <c r="A347" s="78"/>
      <c r="B347" s="78"/>
      <c r="C347" s="79"/>
      <c r="D347" s="79"/>
      <c r="E347" s="78"/>
      <c r="F347" s="78"/>
      <c r="G347" s="78"/>
      <c r="H347" s="78"/>
      <c r="I347" s="78"/>
      <c r="J347" s="78"/>
      <c r="K347" s="78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7"/>
      <c r="AA347" s="58"/>
      <c r="AB347" s="59"/>
    </row>
    <row r="348" ht="15.75" customHeight="1">
      <c r="A348" s="78"/>
      <c r="B348" s="78"/>
      <c r="C348" s="79"/>
      <c r="D348" s="79"/>
      <c r="E348" s="78"/>
      <c r="F348" s="78"/>
      <c r="G348" s="78"/>
      <c r="H348" s="78"/>
      <c r="I348" s="78"/>
      <c r="J348" s="78"/>
      <c r="K348" s="78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7"/>
      <c r="AA348" s="58"/>
      <c r="AB348" s="59"/>
    </row>
    <row r="349" ht="15.75" customHeight="1">
      <c r="A349" s="78"/>
      <c r="B349" s="78"/>
      <c r="C349" s="79"/>
      <c r="D349" s="79"/>
      <c r="E349" s="78"/>
      <c r="F349" s="78"/>
      <c r="G349" s="78"/>
      <c r="H349" s="78"/>
      <c r="I349" s="78"/>
      <c r="J349" s="78"/>
      <c r="K349" s="78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7"/>
      <c r="AA349" s="58"/>
      <c r="AB349" s="59"/>
    </row>
    <row r="350" ht="15.75" customHeight="1">
      <c r="A350" s="78"/>
      <c r="B350" s="78"/>
      <c r="C350" s="79"/>
      <c r="D350" s="79"/>
      <c r="E350" s="78"/>
      <c r="F350" s="78"/>
      <c r="G350" s="78"/>
      <c r="H350" s="78"/>
      <c r="I350" s="78"/>
      <c r="J350" s="78"/>
      <c r="K350" s="78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7"/>
      <c r="AA350" s="58"/>
      <c r="AB350" s="59"/>
    </row>
    <row r="351" ht="15.75" customHeight="1">
      <c r="A351" s="78"/>
      <c r="B351" s="78"/>
      <c r="C351" s="79"/>
      <c r="D351" s="79"/>
      <c r="E351" s="78"/>
      <c r="F351" s="78"/>
      <c r="G351" s="78"/>
      <c r="H351" s="78"/>
      <c r="I351" s="78"/>
      <c r="J351" s="78"/>
      <c r="K351" s="78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7"/>
      <c r="AA351" s="58"/>
      <c r="AB351" s="59"/>
    </row>
    <row r="352" ht="15.75" customHeight="1">
      <c r="A352" s="78"/>
      <c r="B352" s="78"/>
      <c r="C352" s="79"/>
      <c r="D352" s="79"/>
      <c r="E352" s="78"/>
      <c r="F352" s="78"/>
      <c r="G352" s="78"/>
      <c r="H352" s="78"/>
      <c r="I352" s="78"/>
      <c r="J352" s="78"/>
      <c r="K352" s="78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7"/>
      <c r="AA352" s="58"/>
      <c r="AB352" s="59"/>
    </row>
    <row r="353" ht="15.75" customHeight="1">
      <c r="A353" s="78"/>
      <c r="B353" s="78"/>
      <c r="C353" s="79"/>
      <c r="D353" s="79"/>
      <c r="E353" s="78"/>
      <c r="F353" s="78"/>
      <c r="G353" s="78"/>
      <c r="H353" s="78"/>
      <c r="I353" s="78"/>
      <c r="J353" s="78"/>
      <c r="K353" s="78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7"/>
      <c r="AA353" s="58"/>
      <c r="AB353" s="59"/>
    </row>
    <row r="354" ht="15.75" customHeight="1">
      <c r="A354" s="78"/>
      <c r="B354" s="78"/>
      <c r="C354" s="79"/>
      <c r="D354" s="79"/>
      <c r="E354" s="78"/>
      <c r="F354" s="78"/>
      <c r="G354" s="78"/>
      <c r="H354" s="78"/>
      <c r="I354" s="78"/>
      <c r="J354" s="78"/>
      <c r="K354" s="78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7"/>
      <c r="AA354" s="58"/>
      <c r="AB354" s="59"/>
    </row>
    <row r="355" ht="15.75" customHeight="1">
      <c r="A355" s="78"/>
      <c r="B355" s="78"/>
      <c r="C355" s="79"/>
      <c r="D355" s="79"/>
      <c r="E355" s="78"/>
      <c r="F355" s="78"/>
      <c r="G355" s="78"/>
      <c r="H355" s="78"/>
      <c r="I355" s="78"/>
      <c r="J355" s="78"/>
      <c r="K355" s="78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7"/>
      <c r="AA355" s="58"/>
      <c r="AB355" s="59"/>
    </row>
    <row r="356" ht="15.75" customHeight="1">
      <c r="A356" s="78"/>
      <c r="B356" s="78"/>
      <c r="C356" s="79"/>
      <c r="D356" s="79"/>
      <c r="E356" s="78"/>
      <c r="F356" s="78"/>
      <c r="G356" s="78"/>
      <c r="H356" s="78"/>
      <c r="I356" s="78"/>
      <c r="J356" s="78"/>
      <c r="K356" s="78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7"/>
      <c r="AA356" s="58"/>
      <c r="AB356" s="59"/>
    </row>
    <row r="357" ht="15.75" customHeight="1">
      <c r="A357" s="78"/>
      <c r="B357" s="78"/>
      <c r="C357" s="79"/>
      <c r="D357" s="79"/>
      <c r="E357" s="78"/>
      <c r="F357" s="78"/>
      <c r="G357" s="78"/>
      <c r="H357" s="78"/>
      <c r="I357" s="78"/>
      <c r="J357" s="78"/>
      <c r="K357" s="78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7"/>
      <c r="AA357" s="58"/>
      <c r="AB357" s="59"/>
    </row>
    <row r="358" ht="15.75" customHeight="1">
      <c r="A358" s="78"/>
      <c r="B358" s="78"/>
      <c r="C358" s="79"/>
      <c r="D358" s="79"/>
      <c r="E358" s="78"/>
      <c r="F358" s="78"/>
      <c r="G358" s="78"/>
      <c r="H358" s="78"/>
      <c r="I358" s="78"/>
      <c r="J358" s="78"/>
      <c r="K358" s="78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7"/>
      <c r="AA358" s="58"/>
      <c r="AB358" s="59"/>
    </row>
    <row r="359" ht="15.75" customHeight="1">
      <c r="A359" s="78"/>
      <c r="B359" s="78"/>
      <c r="C359" s="79"/>
      <c r="D359" s="79"/>
      <c r="E359" s="78"/>
      <c r="F359" s="78"/>
      <c r="G359" s="78"/>
      <c r="H359" s="78"/>
      <c r="I359" s="78"/>
      <c r="J359" s="78"/>
      <c r="K359" s="78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7"/>
      <c r="AA359" s="58"/>
      <c r="AB359" s="59"/>
    </row>
    <row r="360" ht="15.75" customHeight="1">
      <c r="A360" s="78"/>
      <c r="B360" s="78"/>
      <c r="C360" s="79"/>
      <c r="D360" s="79"/>
      <c r="E360" s="78"/>
      <c r="F360" s="78"/>
      <c r="G360" s="78"/>
      <c r="H360" s="78"/>
      <c r="I360" s="78"/>
      <c r="J360" s="78"/>
      <c r="K360" s="78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7"/>
      <c r="AA360" s="58"/>
      <c r="AB360" s="59"/>
    </row>
    <row r="361" ht="15.75" customHeight="1">
      <c r="A361" s="78"/>
      <c r="B361" s="78"/>
      <c r="C361" s="79"/>
      <c r="D361" s="79"/>
      <c r="E361" s="78"/>
      <c r="F361" s="78"/>
      <c r="G361" s="78"/>
      <c r="H361" s="78"/>
      <c r="I361" s="78"/>
      <c r="J361" s="78"/>
      <c r="K361" s="78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7"/>
      <c r="AA361" s="58"/>
      <c r="AB361" s="59"/>
    </row>
    <row r="362" ht="15.75" customHeight="1">
      <c r="A362" s="78"/>
      <c r="B362" s="78"/>
      <c r="C362" s="79"/>
      <c r="D362" s="79"/>
      <c r="E362" s="78"/>
      <c r="F362" s="78"/>
      <c r="G362" s="78"/>
      <c r="H362" s="78"/>
      <c r="I362" s="78"/>
      <c r="J362" s="78"/>
      <c r="K362" s="78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7"/>
      <c r="AA362" s="58"/>
      <c r="AB362" s="59"/>
    </row>
    <row r="363" ht="15.75" customHeight="1">
      <c r="A363" s="78"/>
      <c r="B363" s="78"/>
      <c r="C363" s="79"/>
      <c r="D363" s="79"/>
      <c r="E363" s="78"/>
      <c r="F363" s="78"/>
      <c r="G363" s="78"/>
      <c r="H363" s="78"/>
      <c r="I363" s="78"/>
      <c r="J363" s="78"/>
      <c r="K363" s="78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7"/>
      <c r="AA363" s="58"/>
      <c r="AB363" s="59"/>
    </row>
    <row r="364" ht="15.75" customHeight="1">
      <c r="A364" s="78"/>
      <c r="B364" s="78"/>
      <c r="C364" s="79"/>
      <c r="D364" s="79"/>
      <c r="E364" s="78"/>
      <c r="F364" s="78"/>
      <c r="G364" s="78"/>
      <c r="H364" s="78"/>
      <c r="I364" s="78"/>
      <c r="J364" s="78"/>
      <c r="K364" s="78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7"/>
      <c r="AA364" s="58"/>
      <c r="AB364" s="59"/>
    </row>
    <row r="365" ht="15.75" customHeight="1">
      <c r="A365" s="78"/>
      <c r="B365" s="78"/>
      <c r="C365" s="79"/>
      <c r="D365" s="79"/>
      <c r="E365" s="78"/>
      <c r="F365" s="78"/>
      <c r="G365" s="78"/>
      <c r="H365" s="78"/>
      <c r="I365" s="78"/>
      <c r="J365" s="78"/>
      <c r="K365" s="78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7"/>
      <c r="AA365" s="58"/>
      <c r="AB365" s="59"/>
    </row>
    <row r="366" ht="15.75" customHeight="1">
      <c r="A366" s="78"/>
      <c r="B366" s="78"/>
      <c r="C366" s="79"/>
      <c r="D366" s="79"/>
      <c r="E366" s="78"/>
      <c r="F366" s="78"/>
      <c r="G366" s="78"/>
      <c r="H366" s="78"/>
      <c r="I366" s="78"/>
      <c r="J366" s="78"/>
      <c r="K366" s="78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7"/>
      <c r="AA366" s="58"/>
      <c r="AB366" s="59"/>
    </row>
    <row r="367" ht="15.75" customHeight="1">
      <c r="A367" s="78"/>
      <c r="B367" s="78"/>
      <c r="C367" s="79"/>
      <c r="D367" s="79"/>
      <c r="E367" s="78"/>
      <c r="F367" s="78"/>
      <c r="G367" s="78"/>
      <c r="H367" s="78"/>
      <c r="I367" s="78"/>
      <c r="J367" s="78"/>
      <c r="K367" s="78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7"/>
      <c r="AA367" s="58"/>
      <c r="AB367" s="59"/>
    </row>
    <row r="368" ht="15.75" customHeight="1">
      <c r="A368" s="78"/>
      <c r="B368" s="78"/>
      <c r="C368" s="79"/>
      <c r="D368" s="79"/>
      <c r="E368" s="78"/>
      <c r="F368" s="78"/>
      <c r="G368" s="78"/>
      <c r="H368" s="78"/>
      <c r="I368" s="78"/>
      <c r="J368" s="78"/>
      <c r="K368" s="78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7"/>
      <c r="AA368" s="58"/>
      <c r="AB368" s="59"/>
    </row>
    <row r="369" ht="15.75" customHeight="1">
      <c r="A369" s="78"/>
      <c r="B369" s="78"/>
      <c r="C369" s="79"/>
      <c r="D369" s="79"/>
      <c r="E369" s="78"/>
      <c r="F369" s="78"/>
      <c r="G369" s="78"/>
      <c r="H369" s="78"/>
      <c r="I369" s="78"/>
      <c r="J369" s="78"/>
      <c r="K369" s="78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7"/>
      <c r="AA369" s="58"/>
      <c r="AB369" s="59"/>
    </row>
    <row r="370" ht="15.75" customHeight="1">
      <c r="A370" s="78"/>
      <c r="B370" s="78"/>
      <c r="C370" s="79"/>
      <c r="D370" s="79"/>
      <c r="E370" s="78"/>
      <c r="F370" s="78"/>
      <c r="G370" s="78"/>
      <c r="H370" s="78"/>
      <c r="I370" s="78"/>
      <c r="J370" s="78"/>
      <c r="K370" s="78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7"/>
      <c r="AA370" s="58"/>
      <c r="AB370" s="59"/>
    </row>
    <row r="371" ht="15.75" customHeight="1">
      <c r="A371" s="78"/>
      <c r="B371" s="78"/>
      <c r="C371" s="79"/>
      <c r="D371" s="79"/>
      <c r="E371" s="78"/>
      <c r="F371" s="78"/>
      <c r="G371" s="78"/>
      <c r="H371" s="78"/>
      <c r="I371" s="78"/>
      <c r="J371" s="78"/>
      <c r="K371" s="78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7"/>
      <c r="AA371" s="58"/>
      <c r="AB371" s="59"/>
    </row>
    <row r="372" ht="15.75" customHeight="1">
      <c r="A372" s="78"/>
      <c r="B372" s="78"/>
      <c r="C372" s="79"/>
      <c r="D372" s="79"/>
      <c r="E372" s="78"/>
      <c r="F372" s="78"/>
      <c r="G372" s="78"/>
      <c r="H372" s="78"/>
      <c r="I372" s="78"/>
      <c r="J372" s="78"/>
      <c r="K372" s="78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7"/>
      <c r="AA372" s="58"/>
      <c r="AB372" s="59"/>
    </row>
    <row r="373" ht="15.75" customHeight="1">
      <c r="A373" s="78"/>
      <c r="B373" s="78"/>
      <c r="C373" s="79"/>
      <c r="D373" s="79"/>
      <c r="E373" s="78"/>
      <c r="F373" s="78"/>
      <c r="G373" s="78"/>
      <c r="H373" s="78"/>
      <c r="I373" s="78"/>
      <c r="J373" s="78"/>
      <c r="K373" s="78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7"/>
      <c r="AA373" s="58"/>
      <c r="AB373" s="59"/>
    </row>
    <row r="374" ht="15.75" customHeight="1">
      <c r="A374" s="78"/>
      <c r="B374" s="78"/>
      <c r="C374" s="79"/>
      <c r="D374" s="79"/>
      <c r="E374" s="78"/>
      <c r="F374" s="78"/>
      <c r="G374" s="78"/>
      <c r="H374" s="78"/>
      <c r="I374" s="78"/>
      <c r="J374" s="78"/>
      <c r="K374" s="78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7"/>
      <c r="AA374" s="58"/>
      <c r="AB374" s="59"/>
    </row>
    <row r="375" ht="15.75" customHeight="1">
      <c r="A375" s="78"/>
      <c r="B375" s="78"/>
      <c r="C375" s="79"/>
      <c r="D375" s="79"/>
      <c r="E375" s="78"/>
      <c r="F375" s="78"/>
      <c r="G375" s="78"/>
      <c r="H375" s="78"/>
      <c r="I375" s="78"/>
      <c r="J375" s="78"/>
      <c r="K375" s="78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7"/>
      <c r="AA375" s="58"/>
      <c r="AB375" s="59"/>
    </row>
    <row r="376" ht="15.75" customHeight="1">
      <c r="A376" s="78"/>
      <c r="B376" s="78"/>
      <c r="C376" s="79"/>
      <c r="D376" s="79"/>
      <c r="E376" s="78"/>
      <c r="F376" s="78"/>
      <c r="G376" s="78"/>
      <c r="H376" s="78"/>
      <c r="I376" s="78"/>
      <c r="J376" s="78"/>
      <c r="K376" s="78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7"/>
      <c r="AA376" s="58"/>
      <c r="AB376" s="59"/>
    </row>
    <row r="377" ht="15.75" customHeight="1">
      <c r="A377" s="78"/>
      <c r="B377" s="78"/>
      <c r="C377" s="79"/>
      <c r="D377" s="79"/>
      <c r="E377" s="78"/>
      <c r="F377" s="78"/>
      <c r="G377" s="78"/>
      <c r="H377" s="78"/>
      <c r="I377" s="78"/>
      <c r="J377" s="78"/>
      <c r="K377" s="78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7"/>
      <c r="AA377" s="58"/>
      <c r="AB377" s="59"/>
    </row>
    <row r="378" ht="15.75" customHeight="1">
      <c r="A378" s="78"/>
      <c r="B378" s="78"/>
      <c r="C378" s="79"/>
      <c r="D378" s="79"/>
      <c r="E378" s="78"/>
      <c r="F378" s="78"/>
      <c r="G378" s="78"/>
      <c r="H378" s="78"/>
      <c r="I378" s="78"/>
      <c r="J378" s="78"/>
      <c r="K378" s="78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7"/>
      <c r="AA378" s="58"/>
      <c r="AB378" s="59"/>
    </row>
    <row r="379" ht="15.75" customHeight="1">
      <c r="A379" s="78"/>
      <c r="B379" s="78"/>
      <c r="C379" s="79"/>
      <c r="D379" s="79"/>
      <c r="E379" s="78"/>
      <c r="F379" s="78"/>
      <c r="G379" s="78"/>
      <c r="H379" s="78"/>
      <c r="I379" s="78"/>
      <c r="J379" s="78"/>
      <c r="K379" s="78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7"/>
      <c r="AA379" s="58"/>
      <c r="AB379" s="59"/>
    </row>
    <row r="380" ht="15.75" customHeight="1">
      <c r="A380" s="78"/>
      <c r="B380" s="78"/>
      <c r="C380" s="79"/>
      <c r="D380" s="79"/>
      <c r="E380" s="78"/>
      <c r="F380" s="78"/>
      <c r="G380" s="78"/>
      <c r="H380" s="78"/>
      <c r="I380" s="78"/>
      <c r="J380" s="78"/>
      <c r="K380" s="78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7"/>
      <c r="AA380" s="58"/>
      <c r="AB380" s="59"/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2:K180">
    <cfRule type="containsBlanks" dxfId="0" priority="1">
      <formula>LEN(TRIM(A2))=0</formula>
    </cfRule>
  </conditionalFormatting>
  <printOptions horizontalCentered="1"/>
  <pageMargins bottom="0.75" footer="0.0" header="0.0" left="0.7" right="0.7" top="0.75"/>
  <pageSetup paperSize="9" orientation="landscape"/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DC3E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5.63"/>
    <col customWidth="1" min="2" max="2" width="8.0"/>
    <col customWidth="1" min="3" max="3" width="17.75"/>
    <col customWidth="1" min="4" max="4" width="13.0"/>
    <col customWidth="1" min="5" max="6" width="5.38"/>
    <col customWidth="1" min="7" max="21" width="8.25"/>
    <col customWidth="1" min="22" max="28" width="7.0"/>
  </cols>
  <sheetData>
    <row r="1" ht="13.5" customHeight="1">
      <c r="A1" s="80" t="s">
        <v>0</v>
      </c>
      <c r="B1" s="80" t="s">
        <v>1</v>
      </c>
      <c r="C1" s="81" t="s">
        <v>2</v>
      </c>
      <c r="D1" s="81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41"/>
      <c r="M1" s="42"/>
      <c r="N1" s="42"/>
      <c r="O1" s="42"/>
      <c r="P1" s="42"/>
      <c r="Q1" s="42"/>
      <c r="R1" s="42"/>
      <c r="S1" s="42"/>
      <c r="T1" s="42"/>
      <c r="U1" s="42"/>
      <c r="V1" s="43"/>
      <c r="W1" s="43"/>
      <c r="X1" s="43"/>
      <c r="Y1" s="43"/>
      <c r="Z1" s="44"/>
      <c r="AA1" s="45"/>
      <c r="AB1" s="46"/>
    </row>
    <row r="2" ht="13.5" customHeight="1">
      <c r="A2" s="47">
        <f>IFERROR(__xludf.DUMMYFUNCTION("importrange(""https://docs.google.com/spreadsheets/d/1SneboWg5ForOUIMyz7kk7PNTpQ7WlnVISde0cc3ncMg/edit?gid=350079654#gid=350079654"",""Resultats_MF!A2:O180"")"),1.0)</f>
        <v>1</v>
      </c>
      <c r="B2" s="48" t="str">
        <f>IFERROR(__xludf.DUMMYFUNCTION("""COMPUTED_VALUE"""),"83")</f>
        <v>83</v>
      </c>
      <c r="C2" s="49" t="str">
        <f>IFERROR(__xludf.DUMMYFUNCTION("""COMPUTED_VALUE"""),"LE VAGUERES")</f>
        <v>LE VAGUERES</v>
      </c>
      <c r="D2" s="50" t="str">
        <f>IFERROR(__xludf.DUMMYFUNCTION("""COMPUTED_VALUE"""),"CHLOÉ")</f>
        <v>CHLOÉ</v>
      </c>
      <c r="E2" s="51" t="str">
        <f>IFERROR(__xludf.DUMMYFUNCTION("""COMPUTED_VALUE"""),"MF2")</f>
        <v>MF2</v>
      </c>
      <c r="F2" s="82">
        <f>IFERROR(__xludf.DUMMYFUNCTION("""COMPUTED_VALUE"""),1.0)</f>
        <v>1</v>
      </c>
      <c r="G2" s="52">
        <f>IFERROR(__xludf.DUMMYFUNCTION("""COMPUTED_VALUE"""),0.021215278317415456)</f>
        <v>0.02121527832</v>
      </c>
      <c r="H2" s="53">
        <f>IFERROR(__xludf.DUMMYFUNCTION("""COMPUTED_VALUE"""),0.003946759294533616)</f>
        <v>0.003946759295</v>
      </c>
      <c r="I2" s="53">
        <f>IFERROR(__xludf.DUMMYFUNCTION("""COMPUTED_VALUE"""),0.008437500106124917)</f>
        <v>0.008437500106</v>
      </c>
      <c r="J2" s="53">
        <f>IFERROR(__xludf.DUMMYFUNCTION("""COMPUTED_VALUE"""),0.007974537124837061)</f>
        <v>0.007974537125</v>
      </c>
      <c r="K2" s="54">
        <f>IFERROR(__xludf.DUMMYFUNCTION("""COMPUTED_VALUE"""),8.564817919198622E-4)</f>
        <v>0.0008564817919</v>
      </c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6"/>
      <c r="X2" s="56"/>
      <c r="Y2" s="56"/>
      <c r="Z2" s="57"/>
      <c r="AA2" s="58"/>
      <c r="AB2" s="59"/>
    </row>
    <row r="3" ht="13.5" customHeight="1">
      <c r="A3" s="60">
        <f>IFERROR(__xludf.DUMMYFUNCTION("""COMPUTED_VALUE"""),2.0)</f>
        <v>2</v>
      </c>
      <c r="B3" s="61" t="str">
        <f>IFERROR(__xludf.DUMMYFUNCTION("""COMPUTED_VALUE"""),"198")</f>
        <v>198</v>
      </c>
      <c r="C3" s="62" t="str">
        <f>IFERROR(__xludf.DUMMYFUNCTION("""COMPUTED_VALUE"""),"AURÉLIE")</f>
        <v>AURÉLIE</v>
      </c>
      <c r="D3" s="63" t="str">
        <f>IFERROR(__xludf.DUMMYFUNCTION("""COMPUTED_VALUE"""),"MICHELON")</f>
        <v>MICHELON</v>
      </c>
      <c r="E3" s="51" t="str">
        <f>IFERROR(__xludf.DUMMYFUNCTION("""COMPUTED_VALUE"""),"MF2")</f>
        <v>MF2</v>
      </c>
      <c r="F3" s="82">
        <f>IFERROR(__xludf.DUMMYFUNCTION("""COMPUTED_VALUE"""),2.0)</f>
        <v>2</v>
      </c>
      <c r="G3" s="52">
        <f>IFERROR(__xludf.DUMMYFUNCTION("""COMPUTED_VALUE"""),0.022013889823350796)</f>
        <v>0.02201388982</v>
      </c>
      <c r="H3" s="53">
        <f>IFERROR(__xludf.DUMMYFUNCTION("""COMPUTED_VALUE"""),0.0035648148899811976)</f>
        <v>0.00356481489</v>
      </c>
      <c r="I3" s="53">
        <f>IFERROR(__xludf.DUMMYFUNCTION("""COMPUTED_VALUE"""),0.00846064822026232)</f>
        <v>0.00846064822</v>
      </c>
      <c r="J3" s="53">
        <f>IFERROR(__xludf.DUMMYFUNCTION("""COMPUTED_VALUE"""),0.00901620415140611)</f>
        <v>0.009016204151</v>
      </c>
      <c r="K3" s="54">
        <f>IFERROR(__xludf.DUMMYFUNCTION("""COMPUTED_VALUE"""),9.722225617011682E-4)</f>
        <v>0.0009722225617</v>
      </c>
      <c r="L3" s="55"/>
      <c r="M3" s="55"/>
      <c r="N3" s="55"/>
      <c r="O3" s="55"/>
      <c r="P3" s="55"/>
      <c r="Q3" s="55"/>
      <c r="R3" s="55"/>
      <c r="S3" s="55"/>
      <c r="T3" s="55"/>
      <c r="U3" s="55"/>
      <c r="V3" s="56"/>
      <c r="W3" s="56"/>
      <c r="X3" s="56"/>
      <c r="Y3" s="56"/>
      <c r="Z3" s="57"/>
      <c r="AA3" s="58"/>
      <c r="AB3" s="59"/>
    </row>
    <row r="4" ht="13.5" customHeight="1">
      <c r="A4" s="60">
        <f>IFERROR(__xludf.DUMMYFUNCTION("""COMPUTED_VALUE"""),3.0)</f>
        <v>3</v>
      </c>
      <c r="B4" s="61" t="str">
        <f>IFERROR(__xludf.DUMMYFUNCTION("""COMPUTED_VALUE"""),"213")</f>
        <v>213</v>
      </c>
      <c r="C4" s="62" t="str">
        <f>IFERROR(__xludf.DUMMYFUNCTION("""COMPUTED_VALUE"""),"MILLOT")</f>
        <v>MILLOT</v>
      </c>
      <c r="D4" s="63" t="str">
        <f>IFERROR(__xludf.DUMMYFUNCTION("""COMPUTED_VALUE"""),"ADELINE")</f>
        <v>ADELINE</v>
      </c>
      <c r="E4" s="51" t="str">
        <f>IFERROR(__xludf.DUMMYFUNCTION("""COMPUTED_VALUE"""),"MF1")</f>
        <v>MF1</v>
      </c>
      <c r="F4" s="82">
        <f>IFERROR(__xludf.DUMMYFUNCTION("""COMPUTED_VALUE"""),1.0)</f>
        <v>1</v>
      </c>
      <c r="G4" s="52">
        <f>IFERROR(__xludf.DUMMYFUNCTION("""COMPUTED_VALUE"""),0.022013889844180946)</f>
        <v>0.02201388984</v>
      </c>
      <c r="H4" s="53">
        <f>IFERROR(__xludf.DUMMYFUNCTION("""COMPUTED_VALUE"""),0.0030092593239090903)</f>
        <v>0.003009259324</v>
      </c>
      <c r="I4" s="53">
        <f>IFERROR(__xludf.DUMMYFUNCTION("""COMPUTED_VALUE"""),0.008067129667731902)</f>
        <v>0.008067129668</v>
      </c>
      <c r="J4" s="53">
        <f>IFERROR(__xludf.DUMMYFUNCTION("""COMPUTED_VALUE"""),0.010266203839905093)</f>
        <v>0.01026620384</v>
      </c>
      <c r="K4" s="54">
        <f>IFERROR(__xludf.DUMMYFUNCTION("""COMPUTED_VALUE"""),6.712970126348601E-4)</f>
        <v>0.0006712970126</v>
      </c>
      <c r="L4" s="55"/>
      <c r="M4" s="55"/>
      <c r="N4" s="55"/>
      <c r="O4" s="55"/>
      <c r="P4" s="55"/>
      <c r="Q4" s="55"/>
      <c r="R4" s="55"/>
      <c r="S4" s="55"/>
      <c r="T4" s="55"/>
      <c r="U4" s="55"/>
      <c r="V4" s="56"/>
      <c r="W4" s="56"/>
      <c r="X4" s="56"/>
      <c r="Y4" s="56"/>
      <c r="Z4" s="57"/>
      <c r="AA4" s="58"/>
      <c r="AB4" s="59"/>
    </row>
    <row r="5" ht="13.5" customHeight="1">
      <c r="A5" s="60">
        <f>IFERROR(__xludf.DUMMYFUNCTION("""COMPUTED_VALUE"""),4.0)</f>
        <v>4</v>
      </c>
      <c r="B5" s="61" t="str">
        <f>IFERROR(__xludf.DUMMYFUNCTION("""COMPUTED_VALUE"""),"148")</f>
        <v>148</v>
      </c>
      <c r="C5" s="62" t="str">
        <f>IFERROR(__xludf.DUMMYFUNCTION("""COMPUTED_VALUE"""),"MEILLIER")</f>
        <v>MEILLIER</v>
      </c>
      <c r="D5" s="63" t="str">
        <f>IFERROR(__xludf.DUMMYFUNCTION("""COMPUTED_VALUE"""),"LUCIE")</f>
        <v>LUCIE</v>
      </c>
      <c r="E5" s="51" t="str">
        <f>IFERROR(__xludf.DUMMYFUNCTION("""COMPUTED_VALUE"""),"MF2")</f>
        <v>MF2</v>
      </c>
      <c r="F5" s="82">
        <f>IFERROR(__xludf.DUMMYFUNCTION("""COMPUTED_VALUE"""),3.0)</f>
        <v>3</v>
      </c>
      <c r="G5" s="52">
        <f>IFERROR(__xludf.DUMMYFUNCTION("""COMPUTED_VALUE"""),0.022650464004728445)</f>
        <v>0.022650464</v>
      </c>
      <c r="H5" s="53">
        <f>IFERROR(__xludf.DUMMYFUNCTION("""COMPUTED_VALUE"""),0.003993055592696236)</f>
        <v>0.003993055593</v>
      </c>
      <c r="I5" s="53">
        <f>IFERROR(__xludf.DUMMYFUNCTION("""COMPUTED_VALUE"""),0.008912037047073912)</f>
        <v>0.008912037047</v>
      </c>
      <c r="J5" s="53">
        <f>IFERROR(__xludf.DUMMYFUNCTION("""COMPUTED_VALUE"""),0.007905093539163618)</f>
        <v>0.007905093539</v>
      </c>
      <c r="K5" s="54">
        <f>IFERROR(__xludf.DUMMYFUNCTION("""COMPUTED_VALUE"""),0.0018402778257946787)</f>
        <v>0.001840277826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6"/>
      <c r="W5" s="56"/>
      <c r="X5" s="56"/>
      <c r="Y5" s="56"/>
      <c r="Z5" s="57"/>
      <c r="AA5" s="58"/>
      <c r="AB5" s="59"/>
    </row>
    <row r="6" ht="13.5" customHeight="1">
      <c r="A6" s="60">
        <f>IFERROR(__xludf.DUMMYFUNCTION("""COMPUTED_VALUE"""),5.0)</f>
        <v>5</v>
      </c>
      <c r="B6" s="61" t="str">
        <f>IFERROR(__xludf.DUMMYFUNCTION("""COMPUTED_VALUE"""),"94")</f>
        <v>94</v>
      </c>
      <c r="C6" s="62" t="str">
        <f>IFERROR(__xludf.DUMMYFUNCTION("""COMPUTED_VALUE"""),"VAMPARYS")</f>
        <v>VAMPARYS</v>
      </c>
      <c r="D6" s="63" t="str">
        <f>IFERROR(__xludf.DUMMYFUNCTION("""COMPUTED_VALUE"""),"LYDIE")</f>
        <v>LYDIE</v>
      </c>
      <c r="E6" s="51" t="str">
        <f>IFERROR(__xludf.DUMMYFUNCTION("""COMPUTED_VALUE"""),"MF1")</f>
        <v>MF1</v>
      </c>
      <c r="F6" s="82">
        <f>IFERROR(__xludf.DUMMYFUNCTION("""COMPUTED_VALUE"""),2.0)</f>
        <v>2</v>
      </c>
      <c r="G6" s="52">
        <f>IFERROR(__xludf.DUMMYFUNCTION("""COMPUTED_VALUE"""),0.023252314999877847)</f>
        <v>0.023252315</v>
      </c>
      <c r="H6" s="53">
        <f>IFERROR(__xludf.DUMMYFUNCTION("""COMPUTED_VALUE"""),0.004814814879010393)</f>
        <v>0.004814814879</v>
      </c>
      <c r="I6" s="53">
        <f>IFERROR(__xludf.DUMMYFUNCTION("""COMPUTED_VALUE"""),0.009259259326918989)</f>
        <v>0.009259259327</v>
      </c>
      <c r="J6" s="53">
        <f>IFERROR(__xludf.DUMMYFUNCTION("""COMPUTED_VALUE"""),0.008206017593479381)</f>
        <v>0.008206017593</v>
      </c>
      <c r="K6" s="54">
        <f>IFERROR(__xludf.DUMMYFUNCTION("""COMPUTED_VALUE"""),9.722232004690835E-4)</f>
        <v>0.0009722232005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6"/>
      <c r="W6" s="56"/>
      <c r="X6" s="56"/>
      <c r="Y6" s="56"/>
      <c r="Z6" s="57"/>
      <c r="AA6" s="58"/>
      <c r="AB6" s="59"/>
    </row>
    <row r="7" ht="13.5" customHeight="1">
      <c r="A7" s="60">
        <f>IFERROR(__xludf.DUMMYFUNCTION("""COMPUTED_VALUE"""),6.0)</f>
        <v>6</v>
      </c>
      <c r="B7" s="61" t="str">
        <f>IFERROR(__xludf.DUMMYFUNCTION("""COMPUTED_VALUE"""),"124")</f>
        <v>124</v>
      </c>
      <c r="C7" s="62" t="str">
        <f>IFERROR(__xludf.DUMMYFUNCTION("""COMPUTED_VALUE"""),"KEROMEN")</f>
        <v>KEROMEN</v>
      </c>
      <c r="D7" s="63" t="str">
        <f>IFERROR(__xludf.DUMMYFUNCTION("""COMPUTED_VALUE"""),"GAËLA")</f>
        <v>GAËLA</v>
      </c>
      <c r="E7" s="51" t="str">
        <f>IFERROR(__xludf.DUMMYFUNCTION("""COMPUTED_VALUE"""),"MF1")</f>
        <v>MF1</v>
      </c>
      <c r="F7" s="82">
        <f>IFERROR(__xludf.DUMMYFUNCTION("""COMPUTED_VALUE"""),3.0)</f>
        <v>3</v>
      </c>
      <c r="G7" s="52">
        <f>IFERROR(__xludf.DUMMYFUNCTION("""COMPUTED_VALUE"""),0.023541667583566565)</f>
        <v>0.02354166758</v>
      </c>
      <c r="H7" s="53">
        <f>IFERROR(__xludf.DUMMYFUNCTION("""COMPUTED_VALUE"""),0.0033680556518341422)</f>
        <v>0.003368055652</v>
      </c>
      <c r="I7" s="53">
        <f>IFERROR(__xludf.DUMMYFUNCTION("""COMPUTED_VALUE"""),0.009155092611923028)</f>
        <v>0.009155092612</v>
      </c>
      <c r="J7" s="53">
        <f>IFERROR(__xludf.DUMMYFUNCTION("""COMPUTED_VALUE"""),0.009699074232451586)</f>
        <v>0.009699074232</v>
      </c>
      <c r="K7" s="54">
        <f>IFERROR(__xludf.DUMMYFUNCTION("""COMPUTED_VALUE"""),0.0013194450873578092)</f>
        <v>0.001319445087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6"/>
      <c r="W7" s="56"/>
      <c r="X7" s="56"/>
      <c r="Y7" s="56"/>
      <c r="Z7" s="57"/>
      <c r="AA7" s="58"/>
      <c r="AB7" s="59"/>
    </row>
    <row r="8" ht="13.5" customHeight="1">
      <c r="A8" s="60">
        <f>IFERROR(__xludf.DUMMYFUNCTION("""COMPUTED_VALUE"""),7.0)</f>
        <v>7</v>
      </c>
      <c r="B8" s="61" t="str">
        <f>IFERROR(__xludf.DUMMYFUNCTION("""COMPUTED_VALUE"""),"170")</f>
        <v>170</v>
      </c>
      <c r="C8" s="62" t="str">
        <f>IFERROR(__xludf.DUMMYFUNCTION("""COMPUTED_VALUE"""),"LAJOIX")</f>
        <v>LAJOIX</v>
      </c>
      <c r="D8" s="63" t="str">
        <f>IFERROR(__xludf.DUMMYFUNCTION("""COMPUTED_VALUE"""),"VALÉRIE")</f>
        <v>VALÉRIE</v>
      </c>
      <c r="E8" s="51" t="str">
        <f>IFERROR(__xludf.DUMMYFUNCTION("""COMPUTED_VALUE"""),"MF5")</f>
        <v>MF5</v>
      </c>
      <c r="F8" s="82">
        <f>IFERROR(__xludf.DUMMYFUNCTION("""COMPUTED_VALUE"""),1.0)</f>
        <v>1</v>
      </c>
      <c r="G8" s="52">
        <f>IFERROR(__xludf.DUMMYFUNCTION("""COMPUTED_VALUE"""),0.023831018699929447)</f>
        <v>0.0238310187</v>
      </c>
      <c r="H8" s="53">
        <f>IFERROR(__xludf.DUMMYFUNCTION("""COMPUTED_VALUE"""),0.004328703723343752)</f>
        <v>0.004328703723</v>
      </c>
      <c r="I8" s="53">
        <f>IFERROR(__xludf.DUMMYFUNCTION("""COMPUTED_VALUE"""),0.008946759268611442)</f>
        <v>0.008946759269</v>
      </c>
      <c r="J8" s="53">
        <f>IFERROR(__xludf.DUMMYFUNCTION("""COMPUTED_VALUE"""),0.00935185118783265)</f>
        <v>0.009351851188</v>
      </c>
      <c r="K8" s="54">
        <f>IFERROR(__xludf.DUMMYFUNCTION("""COMPUTED_VALUE"""),0.0012037045201416024)</f>
        <v>0.00120370452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6"/>
      <c r="W8" s="56"/>
      <c r="X8" s="56"/>
      <c r="Y8" s="56"/>
      <c r="Z8" s="57"/>
      <c r="AA8" s="58"/>
      <c r="AB8" s="59"/>
    </row>
    <row r="9" ht="13.5" customHeight="1">
      <c r="A9" s="60">
        <f>IFERROR(__xludf.DUMMYFUNCTION("""COMPUTED_VALUE"""),8.0)</f>
        <v>8</v>
      </c>
      <c r="B9" s="61" t="str">
        <f>IFERROR(__xludf.DUMMYFUNCTION("""COMPUTED_VALUE"""),"69")</f>
        <v>69</v>
      </c>
      <c r="C9" s="62" t="str">
        <f>IFERROR(__xludf.DUMMYFUNCTION("""COMPUTED_VALUE"""),"CASTERAN")</f>
        <v>CASTERAN</v>
      </c>
      <c r="D9" s="63" t="str">
        <f>IFERROR(__xludf.DUMMYFUNCTION("""COMPUTED_VALUE"""),"VALÉRIE")</f>
        <v>VALÉRIE</v>
      </c>
      <c r="E9" s="51" t="str">
        <f>IFERROR(__xludf.DUMMYFUNCTION("""COMPUTED_VALUE"""),"MF5")</f>
        <v>MF5</v>
      </c>
      <c r="F9" s="82">
        <f>IFERROR(__xludf.DUMMYFUNCTION("""COMPUTED_VALUE"""),2.0)</f>
        <v>2</v>
      </c>
      <c r="G9" s="52">
        <f>IFERROR(__xludf.DUMMYFUNCTION("""COMPUTED_VALUE"""),0.024143518607476405)</f>
        <v>0.02414351861</v>
      </c>
      <c r="H9" s="53">
        <f>IFERROR(__xludf.DUMMYFUNCTION("""COMPUTED_VALUE"""),0.005104166696974037)</f>
        <v>0.005104166697</v>
      </c>
      <c r="I9" s="53">
        <f>IFERROR(__xludf.DUMMYFUNCTION("""COMPUTED_VALUE"""),0.008831018617267473)</f>
        <v>0.008831018617</v>
      </c>
      <c r="J9" s="53">
        <f>IFERROR(__xludf.DUMMYFUNCTION("""COMPUTED_VALUE"""),0.009351851910767497)</f>
        <v>0.009351851911</v>
      </c>
      <c r="K9" s="54">
        <f>IFERROR(__xludf.DUMMYFUNCTION("""COMPUTED_VALUE"""),8.564813824673981E-4)</f>
        <v>0.0008564813825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6"/>
      <c r="W9" s="56"/>
      <c r="X9" s="56"/>
      <c r="Y9" s="56"/>
      <c r="Z9" s="57"/>
      <c r="AA9" s="58"/>
      <c r="AB9" s="59"/>
    </row>
    <row r="10" ht="13.5" customHeight="1">
      <c r="A10" s="60">
        <f>IFERROR(__xludf.DUMMYFUNCTION("""COMPUTED_VALUE"""),9.0)</f>
        <v>9</v>
      </c>
      <c r="B10" s="61" t="str">
        <f>IFERROR(__xludf.DUMMYFUNCTION("""COMPUTED_VALUE"""),"201")</f>
        <v>201</v>
      </c>
      <c r="C10" s="62" t="str">
        <f>IFERROR(__xludf.DUMMYFUNCTION("""COMPUTED_VALUE"""),"MAGNINO")</f>
        <v>MAGNINO</v>
      </c>
      <c r="D10" s="63" t="str">
        <f>IFERROR(__xludf.DUMMYFUNCTION("""COMPUTED_VALUE"""),"LAURIANE")</f>
        <v>LAURIANE</v>
      </c>
      <c r="E10" s="51" t="str">
        <f>IFERROR(__xludf.DUMMYFUNCTION("""COMPUTED_VALUE"""),"MF2")</f>
        <v>MF2</v>
      </c>
      <c r="F10" s="82">
        <f>IFERROR(__xludf.DUMMYFUNCTION("""COMPUTED_VALUE"""),4.0)</f>
        <v>4</v>
      </c>
      <c r="G10" s="52">
        <f>IFERROR(__xludf.DUMMYFUNCTION("""COMPUTED_VALUE"""),0.02424768584335974)</f>
        <v>0.02424768584</v>
      </c>
      <c r="H10" s="53">
        <f>IFERROR(__xludf.DUMMYFUNCTION("""COMPUTED_VALUE"""),0.004930555648562867)</f>
        <v>0.004930555649</v>
      </c>
      <c r="I10" s="53">
        <f>IFERROR(__xludf.DUMMYFUNCTION("""COMPUTED_VALUE"""),0.008587962984080317)</f>
        <v>0.008587962984</v>
      </c>
      <c r="J10" s="53">
        <f>IFERROR(__xludf.DUMMYFUNCTION("""COMPUTED_VALUE"""),0.009814815131663025)</f>
        <v>0.009814815132</v>
      </c>
      <c r="K10" s="54">
        <f>IFERROR(__xludf.DUMMYFUNCTION("""COMPUTED_VALUE"""),9.143520790535322E-4)</f>
        <v>0.0009143520791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6"/>
      <c r="W10" s="56"/>
      <c r="X10" s="56"/>
      <c r="Y10" s="56"/>
      <c r="Z10" s="57"/>
      <c r="AA10" s="58"/>
      <c r="AB10" s="59"/>
    </row>
    <row r="11" ht="13.5" customHeight="1">
      <c r="A11" s="60">
        <f>IFERROR(__xludf.DUMMYFUNCTION("""COMPUTED_VALUE"""),10.0)</f>
        <v>10</v>
      </c>
      <c r="B11" s="61" t="str">
        <f>IFERROR(__xludf.DUMMYFUNCTION("""COMPUTED_VALUE"""),"85")</f>
        <v>85</v>
      </c>
      <c r="C11" s="62" t="str">
        <f>IFERROR(__xludf.DUMMYFUNCTION("""COMPUTED_VALUE"""),"MALAK")</f>
        <v>MALAK</v>
      </c>
      <c r="D11" s="63" t="str">
        <f>IFERROR(__xludf.DUMMYFUNCTION("""COMPUTED_VALUE"""),"SANDRA")</f>
        <v>SANDRA</v>
      </c>
      <c r="E11" s="51" t="str">
        <f>IFERROR(__xludf.DUMMYFUNCTION("""COMPUTED_VALUE"""),"MF2")</f>
        <v>MF2</v>
      </c>
      <c r="F11" s="82">
        <f>IFERROR(__xludf.DUMMYFUNCTION("""COMPUTED_VALUE"""),5.0)</f>
        <v>5</v>
      </c>
      <c r="G11" s="52">
        <f>IFERROR(__xludf.DUMMYFUNCTION("""COMPUTED_VALUE"""),0.025416666752006194)</f>
        <v>0.02541666675</v>
      </c>
      <c r="H11" s="53">
        <f>IFERROR(__xludf.DUMMYFUNCTION("""COMPUTED_VALUE"""),0.00456018525501734)</f>
        <v>0.004560185255</v>
      </c>
      <c r="I11" s="53">
        <f>IFERROR(__xludf.DUMMYFUNCTION("""COMPUTED_VALUE"""),0.009050925970366707)</f>
        <v>0.00905092597</v>
      </c>
      <c r="J11" s="53">
        <f>IFERROR(__xludf.DUMMYFUNCTION("""COMPUTED_VALUE"""),0.010949073189555673)</f>
        <v>0.01094907319</v>
      </c>
      <c r="K11" s="54">
        <f>IFERROR(__xludf.DUMMYFUNCTION("""COMPUTED_VALUE"""),8.564823370664741E-4)</f>
        <v>0.0008564823371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6"/>
      <c r="W11" s="56"/>
      <c r="X11" s="56"/>
      <c r="Y11" s="56"/>
      <c r="Z11" s="57"/>
      <c r="AA11" s="58"/>
      <c r="AB11" s="59"/>
    </row>
    <row r="12" ht="13.5" customHeight="1">
      <c r="A12" s="60">
        <f>IFERROR(__xludf.DUMMYFUNCTION("""COMPUTED_VALUE"""),11.0)</f>
        <v>11</v>
      </c>
      <c r="B12" s="61" t="str">
        <f>IFERROR(__xludf.DUMMYFUNCTION("""COMPUTED_VALUE"""),"183")</f>
        <v>183</v>
      </c>
      <c r="C12" s="62" t="str">
        <f>IFERROR(__xludf.DUMMYFUNCTION("""COMPUTED_VALUE"""),"JUILLET")</f>
        <v>JUILLET</v>
      </c>
      <c r="D12" s="63" t="str">
        <f>IFERROR(__xludf.DUMMYFUNCTION("""COMPUTED_VALUE"""),"PHILOMÈNE")</f>
        <v>PHILOMÈNE</v>
      </c>
      <c r="E12" s="51" t="str">
        <f>IFERROR(__xludf.DUMMYFUNCTION("""COMPUTED_VALUE"""),"MF2")</f>
        <v>MF2</v>
      </c>
      <c r="F12" s="82">
        <f>IFERROR(__xludf.DUMMYFUNCTION("""COMPUTED_VALUE"""),6.0)</f>
        <v>6</v>
      </c>
      <c r="G12" s="52">
        <f>IFERROR(__xludf.DUMMYFUNCTION("""COMPUTED_VALUE"""),0.025486112067583444)</f>
        <v>0.02548611207</v>
      </c>
      <c r="H12" s="53">
        <f>IFERROR(__xludf.DUMMYFUNCTION("""COMPUTED_VALUE"""),0.004861111206920575)</f>
        <v>0.004861111207</v>
      </c>
      <c r="I12" s="53">
        <f>IFERROR(__xludf.DUMMYFUNCTION("""COMPUTED_VALUE"""),0.008182870391859375)</f>
        <v>0.008182870392</v>
      </c>
      <c r="J12" s="53">
        <f>IFERROR(__xludf.DUMMYFUNCTION("""COMPUTED_VALUE"""),0.011250000315400672)</f>
        <v>0.01125000032</v>
      </c>
      <c r="K12" s="54">
        <f>IFERROR(__xludf.DUMMYFUNCTION("""COMPUTED_VALUE"""),0.0011921301534028221)</f>
        <v>0.001192130153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6"/>
      <c r="W12" s="56"/>
      <c r="X12" s="56"/>
      <c r="Y12" s="56"/>
      <c r="Z12" s="57"/>
      <c r="AA12" s="58"/>
      <c r="AB12" s="59"/>
    </row>
    <row r="13" ht="13.5" customHeight="1">
      <c r="A13" s="60">
        <f>IFERROR(__xludf.DUMMYFUNCTION("""COMPUTED_VALUE"""),12.0)</f>
        <v>12</v>
      </c>
      <c r="B13" s="61" t="str">
        <f>IFERROR(__xludf.DUMMYFUNCTION("""COMPUTED_VALUE"""),"115")</f>
        <v>115</v>
      </c>
      <c r="C13" s="62" t="str">
        <f>IFERROR(__xludf.DUMMYFUNCTION("""COMPUTED_VALUE"""),"PILLEBOUT")</f>
        <v>PILLEBOUT</v>
      </c>
      <c r="D13" s="63" t="str">
        <f>IFERROR(__xludf.DUMMYFUNCTION("""COMPUTED_VALUE"""),"EVANGELINE")</f>
        <v>EVANGELINE</v>
      </c>
      <c r="E13" s="51" t="str">
        <f>IFERROR(__xludf.DUMMYFUNCTION("""COMPUTED_VALUE"""),"MF3")</f>
        <v>MF3</v>
      </c>
      <c r="F13" s="82">
        <f>IFERROR(__xludf.DUMMYFUNCTION("""COMPUTED_VALUE"""),1.0)</f>
        <v>1</v>
      </c>
      <c r="G13" s="52">
        <f>IFERROR(__xludf.DUMMYFUNCTION("""COMPUTED_VALUE"""),0.025902778696748143)</f>
        <v>0.0259027787</v>
      </c>
      <c r="H13" s="53">
        <f>IFERROR(__xludf.DUMMYFUNCTION("""COMPUTED_VALUE"""),0.005219907412600937)</f>
        <v>0.005219907413</v>
      </c>
      <c r="I13" s="53">
        <f>IFERROR(__xludf.DUMMYFUNCTION("""COMPUTED_VALUE"""),0.008784722260858895)</f>
        <v>0.008784722261</v>
      </c>
      <c r="J13" s="53">
        <f>IFERROR(__xludf.DUMMYFUNCTION("""COMPUTED_VALUE"""),0.010393519072044024)</f>
        <v>0.01039351907</v>
      </c>
      <c r="K13" s="54">
        <f>IFERROR(__xludf.DUMMYFUNCTION("""COMPUTED_VALUE"""),0.0015046299512442868)</f>
        <v>0.001504629951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6"/>
      <c r="W13" s="56"/>
      <c r="X13" s="56"/>
      <c r="Y13" s="56"/>
      <c r="Z13" s="57"/>
      <c r="AA13" s="58"/>
      <c r="AB13" s="59"/>
    </row>
    <row r="14" ht="13.5" customHeight="1">
      <c r="A14" s="60">
        <f>IFERROR(__xludf.DUMMYFUNCTION("""COMPUTED_VALUE"""),13.0)</f>
        <v>13</v>
      </c>
      <c r="B14" s="61" t="str">
        <f>IFERROR(__xludf.DUMMYFUNCTION("""COMPUTED_VALUE"""),"84")</f>
        <v>84</v>
      </c>
      <c r="C14" s="62" t="str">
        <f>IFERROR(__xludf.DUMMYFUNCTION("""COMPUTED_VALUE"""),"HAMLIN")</f>
        <v>HAMLIN</v>
      </c>
      <c r="D14" s="63" t="str">
        <f>IFERROR(__xludf.DUMMYFUNCTION("""COMPUTED_VALUE"""),"KARINE")</f>
        <v>KARINE</v>
      </c>
      <c r="E14" s="51" t="str">
        <f>IFERROR(__xludf.DUMMYFUNCTION("""COMPUTED_VALUE"""),"MF3")</f>
        <v>MF3</v>
      </c>
      <c r="F14" s="82">
        <f>IFERROR(__xludf.DUMMYFUNCTION("""COMPUTED_VALUE"""),2.0)</f>
        <v>2</v>
      </c>
      <c r="G14" s="52">
        <f>IFERROR(__xludf.DUMMYFUNCTION("""COMPUTED_VALUE"""),0.025949074478604638)</f>
        <v>0.02594907448</v>
      </c>
      <c r="H14" s="53">
        <f>IFERROR(__xludf.DUMMYFUNCTION("""COMPUTED_VALUE"""),0.004965277886042898)</f>
        <v>0.004965277886</v>
      </c>
      <c r="I14" s="53">
        <f>IFERROR(__xludf.DUMMYFUNCTION("""COMPUTED_VALUE"""),0.00905092592790234)</f>
        <v>0.009050925928</v>
      </c>
      <c r="J14" s="53">
        <f>IFERROR(__xludf.DUMMYFUNCTION("""COMPUTED_VALUE"""),0.010787036562385936)</f>
        <v>0.01078703656</v>
      </c>
      <c r="K14" s="54">
        <f>IFERROR(__xludf.DUMMYFUNCTION("""COMPUTED_VALUE"""),0.001145834102273464)</f>
        <v>0.001145834102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6"/>
      <c r="W14" s="56"/>
      <c r="X14" s="56"/>
      <c r="Y14" s="56"/>
      <c r="Z14" s="57"/>
      <c r="AA14" s="58"/>
      <c r="AB14" s="59"/>
    </row>
    <row r="15" ht="13.5" customHeight="1">
      <c r="A15" s="60">
        <f>IFERROR(__xludf.DUMMYFUNCTION("""COMPUTED_VALUE"""),14.0)</f>
        <v>14</v>
      </c>
      <c r="B15" s="61" t="str">
        <f>IFERROR(__xludf.DUMMYFUNCTION("""COMPUTED_VALUE"""),"180")</f>
        <v>180</v>
      </c>
      <c r="C15" s="62" t="str">
        <f>IFERROR(__xludf.DUMMYFUNCTION("""COMPUTED_VALUE"""),"NGUYEN NGOC")</f>
        <v>NGUYEN NGOC</v>
      </c>
      <c r="D15" s="63" t="str">
        <f>IFERROR(__xludf.DUMMYFUNCTION("""COMPUTED_VALUE"""),"AUDE")</f>
        <v>AUDE</v>
      </c>
      <c r="E15" s="51" t="str">
        <f>IFERROR(__xludf.DUMMYFUNCTION("""COMPUTED_VALUE"""),"MF2")</f>
        <v>MF2</v>
      </c>
      <c r="F15" s="82">
        <f>IFERROR(__xludf.DUMMYFUNCTION("""COMPUTED_VALUE"""),7.0)</f>
        <v>7</v>
      </c>
      <c r="G15" s="52">
        <f>IFERROR(__xludf.DUMMYFUNCTION("""COMPUTED_VALUE"""),0.026099538142138716)</f>
        <v>0.02609953814</v>
      </c>
      <c r="H15" s="53">
        <f>IFERROR(__xludf.DUMMYFUNCTION("""COMPUTED_VALUE"""),0.005208333422998445)</f>
        <v>0.005208333423</v>
      </c>
      <c r="I15" s="53">
        <f>IFERROR(__xludf.DUMMYFUNCTION("""COMPUTED_VALUE"""),0.00888888890109449)</f>
        <v>0.008888888901</v>
      </c>
      <c r="J15" s="53">
        <f>IFERROR(__xludf.DUMMYFUNCTION("""COMPUTED_VALUE"""),0.011111111557685752)</f>
        <v>0.01111111156</v>
      </c>
      <c r="K15" s="54">
        <f>IFERROR(__xludf.DUMMYFUNCTION("""COMPUTED_VALUE"""),8.912042603600292E-4)</f>
        <v>0.0008912042604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6"/>
      <c r="W15" s="56"/>
      <c r="X15" s="56"/>
      <c r="Y15" s="56"/>
      <c r="Z15" s="57"/>
      <c r="AA15" s="58"/>
      <c r="AB15" s="59"/>
    </row>
    <row r="16" ht="13.5" customHeight="1">
      <c r="A16" s="60">
        <f>IFERROR(__xludf.DUMMYFUNCTION("""COMPUTED_VALUE"""),15.0)</f>
        <v>15</v>
      </c>
      <c r="B16" s="61" t="str">
        <f>IFERROR(__xludf.DUMMYFUNCTION("""COMPUTED_VALUE"""),"57")</f>
        <v>57</v>
      </c>
      <c r="C16" s="62" t="str">
        <f>IFERROR(__xludf.DUMMYFUNCTION("""COMPUTED_VALUE"""),"ALÉPÉE")</f>
        <v>ALÉPÉE</v>
      </c>
      <c r="D16" s="63" t="str">
        <f>IFERROR(__xludf.DUMMYFUNCTION("""COMPUTED_VALUE"""),"CHRYSTEL")</f>
        <v>CHRYSTEL</v>
      </c>
      <c r="E16" s="51" t="str">
        <f>IFERROR(__xludf.DUMMYFUNCTION("""COMPUTED_VALUE"""),"MF3")</f>
        <v>MF3</v>
      </c>
      <c r="F16" s="82">
        <f>IFERROR(__xludf.DUMMYFUNCTION("""COMPUTED_VALUE"""),3.0)</f>
        <v>3</v>
      </c>
      <c r="G16" s="52">
        <f>IFERROR(__xludf.DUMMYFUNCTION("""COMPUTED_VALUE"""),0.027395833616507343)</f>
        <v>0.02739583362</v>
      </c>
      <c r="H16" s="53">
        <f>IFERROR(__xludf.DUMMYFUNCTION("""COMPUTED_VALUE"""),0.004016203812872045)</f>
        <v>0.004016203813</v>
      </c>
      <c r="I16" s="53">
        <f>IFERROR(__xludf.DUMMYFUNCTION("""COMPUTED_VALUE"""),0.009027777888728699)</f>
        <v>0.009027777889</v>
      </c>
      <c r="J16" s="53">
        <f>IFERROR(__xludf.DUMMYFUNCTION("""COMPUTED_VALUE"""),0.01289351800876155)</f>
        <v>0.01289351801</v>
      </c>
      <c r="K16" s="54">
        <f>IFERROR(__xludf.DUMMYFUNCTION("""COMPUTED_VALUE"""),0.0014583339061450488)</f>
        <v>0.001458333906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6"/>
      <c r="W16" s="56"/>
      <c r="X16" s="56"/>
      <c r="Y16" s="56"/>
      <c r="Z16" s="57"/>
      <c r="AA16" s="58"/>
      <c r="AB16" s="59"/>
    </row>
    <row r="17" ht="13.5" customHeight="1">
      <c r="A17" s="60">
        <f>IFERROR(__xludf.DUMMYFUNCTION("""COMPUTED_VALUE"""),16.0)</f>
        <v>16</v>
      </c>
      <c r="B17" s="61" t="str">
        <f>IFERROR(__xludf.DUMMYFUNCTION("""COMPUTED_VALUE"""),"169")</f>
        <v>169</v>
      </c>
      <c r="C17" s="62" t="str">
        <f>IFERROR(__xludf.DUMMYFUNCTION("""COMPUTED_VALUE"""),"SOULAT")</f>
        <v>SOULAT</v>
      </c>
      <c r="D17" s="63" t="str">
        <f>IFERROR(__xludf.DUMMYFUNCTION("""COMPUTED_VALUE"""),"KARINE")</f>
        <v>KARINE</v>
      </c>
      <c r="E17" s="51" t="str">
        <f>IFERROR(__xludf.DUMMYFUNCTION("""COMPUTED_VALUE"""),"MF3")</f>
        <v>MF3</v>
      </c>
      <c r="F17" s="82">
        <f>IFERROR(__xludf.DUMMYFUNCTION("""COMPUTED_VALUE"""),4.0)</f>
        <v>4</v>
      </c>
      <c r="G17" s="52">
        <f>IFERROR(__xludf.DUMMYFUNCTION("""COMPUTED_VALUE"""),0.02754629653821367)</f>
        <v>0.02754629654</v>
      </c>
      <c r="H17" s="53">
        <f>IFERROR(__xludf.DUMMYFUNCTION("""COMPUTED_VALUE"""),0.005532407431527489)</f>
        <v>0.005532407432</v>
      </c>
      <c r="I17" s="53">
        <f>IFERROR(__xludf.DUMMYFUNCTION("""COMPUTED_VALUE"""),0.009293981502811435)</f>
        <v>0.009293981503</v>
      </c>
      <c r="J17" s="53">
        <f>IFERROR(__xludf.DUMMYFUNCTION("""COMPUTED_VALUE"""),0.011087962890848273)</f>
        <v>0.01108796289</v>
      </c>
      <c r="K17" s="54">
        <f>IFERROR(__xludf.DUMMYFUNCTION("""COMPUTED_VALUE"""),0.0016319447130264727)</f>
        <v>0.001631944713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6"/>
      <c r="W17" s="56"/>
      <c r="X17" s="56"/>
      <c r="Y17" s="56"/>
      <c r="Z17" s="57"/>
      <c r="AA17" s="58"/>
      <c r="AB17" s="59"/>
    </row>
    <row r="18" ht="13.5" customHeight="1">
      <c r="A18" s="60">
        <f>IFERROR(__xludf.DUMMYFUNCTION("""COMPUTED_VALUE"""),17.0)</f>
        <v>17</v>
      </c>
      <c r="B18" s="61" t="str">
        <f>IFERROR(__xludf.DUMMYFUNCTION("""COMPUTED_VALUE"""),"112")</f>
        <v>112</v>
      </c>
      <c r="C18" s="62" t="str">
        <f>IFERROR(__xludf.DUMMYFUNCTION("""COMPUTED_VALUE"""),"FRONT")</f>
        <v>FRONT</v>
      </c>
      <c r="D18" s="63" t="str">
        <f>IFERROR(__xludf.DUMMYFUNCTION("""COMPUTED_VALUE"""),"ISABELLE")</f>
        <v>ISABELLE</v>
      </c>
      <c r="E18" s="51" t="str">
        <f>IFERROR(__xludf.DUMMYFUNCTION("""COMPUTED_VALUE"""),"MF4")</f>
        <v>MF4</v>
      </c>
      <c r="F18" s="82">
        <f>IFERROR(__xludf.DUMMYFUNCTION("""COMPUTED_VALUE"""),1.0)</f>
        <v>1</v>
      </c>
      <c r="G18" s="52">
        <f>IFERROR(__xludf.DUMMYFUNCTION("""COMPUTED_VALUE"""),0.02778935286527126)</f>
        <v>0.02778935287</v>
      </c>
      <c r="H18" s="53">
        <f>IFERROR(__xludf.DUMMYFUNCTION("""COMPUTED_VALUE"""),0.004340277842084276)</f>
        <v>0.004340277842</v>
      </c>
      <c r="I18" s="53">
        <f>IFERROR(__xludf.DUMMYFUNCTION("""COMPUTED_VALUE"""),0.009953703726112482)</f>
        <v>0.009953703726</v>
      </c>
      <c r="J18" s="53">
        <f>IFERROR(__xludf.DUMMYFUNCTION("""COMPUTED_VALUE"""),0.012094908284593246)</f>
        <v>0.01209490828</v>
      </c>
      <c r="K18" s="54">
        <f>IFERROR(__xludf.DUMMYFUNCTION("""COMPUTED_VALUE"""),0.0014004630124812567)</f>
        <v>0.001400463012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6"/>
      <c r="W18" s="56"/>
      <c r="X18" s="56"/>
      <c r="Y18" s="56"/>
      <c r="Z18" s="57"/>
      <c r="AA18" s="58"/>
      <c r="AB18" s="59"/>
    </row>
    <row r="19" ht="13.5" customHeight="1">
      <c r="A19" s="60">
        <f>IFERROR(__xludf.DUMMYFUNCTION("""COMPUTED_VALUE"""),18.0)</f>
        <v>18</v>
      </c>
      <c r="B19" s="61" t="str">
        <f>IFERROR(__xludf.DUMMYFUNCTION("""COMPUTED_VALUE"""),"138")</f>
        <v>138</v>
      </c>
      <c r="C19" s="62" t="str">
        <f>IFERROR(__xludf.DUMMYFUNCTION("""COMPUTED_VALUE"""),"CARIMANTRAN")</f>
        <v>CARIMANTRAN</v>
      </c>
      <c r="D19" s="63" t="str">
        <f>IFERROR(__xludf.DUMMYFUNCTION("""COMPUTED_VALUE"""),"CLAIRE")</f>
        <v>CLAIRE</v>
      </c>
      <c r="E19" s="51" t="str">
        <f>IFERROR(__xludf.DUMMYFUNCTION("""COMPUTED_VALUE"""),"MF3")</f>
        <v>MF3</v>
      </c>
      <c r="F19" s="82">
        <f>IFERROR(__xludf.DUMMYFUNCTION("""COMPUTED_VALUE"""),5.0)</f>
        <v>5</v>
      </c>
      <c r="G19" s="52">
        <f>IFERROR(__xludf.DUMMYFUNCTION("""COMPUTED_VALUE"""),0.028206018552832956)</f>
        <v>0.02820601855</v>
      </c>
      <c r="H19" s="53">
        <f>IFERROR(__xludf.DUMMYFUNCTION("""COMPUTED_VALUE"""),0.005092592643689418)</f>
        <v>0.005092592644</v>
      </c>
      <c r="I19" s="53">
        <f>IFERROR(__xludf.DUMMYFUNCTION("""COMPUTED_VALUE"""),0.011527777822537236)</f>
        <v>0.01152777782</v>
      </c>
      <c r="J19" s="53">
        <f>IFERROR(__xludf.DUMMYFUNCTION("""COMPUTED_VALUE"""),0.01038194374764708)</f>
        <v>0.01038194375</v>
      </c>
      <c r="K19" s="54">
        <f>IFERROR(__xludf.DUMMYFUNCTION("""COMPUTED_VALUE"""),0.0012037043389592217)</f>
        <v>0.001203704339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6"/>
      <c r="W19" s="56"/>
      <c r="X19" s="56"/>
      <c r="Y19" s="56"/>
      <c r="Z19" s="57"/>
      <c r="AA19" s="58"/>
      <c r="AB19" s="59"/>
    </row>
    <row r="20" ht="13.5" customHeight="1">
      <c r="A20" s="60">
        <f>IFERROR(__xludf.DUMMYFUNCTION("""COMPUTED_VALUE"""),19.0)</f>
        <v>19</v>
      </c>
      <c r="B20" s="61" t="str">
        <f>IFERROR(__xludf.DUMMYFUNCTION("""COMPUTED_VALUE"""),"97")</f>
        <v>97</v>
      </c>
      <c r="C20" s="62" t="str">
        <f>IFERROR(__xludf.DUMMYFUNCTION("""COMPUTED_VALUE"""),"PIONTEK")</f>
        <v>PIONTEK</v>
      </c>
      <c r="D20" s="63" t="str">
        <f>IFERROR(__xludf.DUMMYFUNCTION("""COMPUTED_VALUE"""),"ANNE")</f>
        <v>ANNE</v>
      </c>
      <c r="E20" s="51" t="str">
        <f>IFERROR(__xludf.DUMMYFUNCTION("""COMPUTED_VALUE"""),"MF3")</f>
        <v>MF3</v>
      </c>
      <c r="F20" s="82">
        <f>IFERROR(__xludf.DUMMYFUNCTION("""COMPUTED_VALUE"""),6.0)</f>
        <v>6</v>
      </c>
      <c r="G20" s="52">
        <f>IFERROR(__xludf.DUMMYFUNCTION("""COMPUTED_VALUE"""),0.02847222250738921)</f>
        <v>0.02847222251</v>
      </c>
      <c r="H20" s="53">
        <f>IFERROR(__xludf.DUMMYFUNCTION("""COMPUTED_VALUE"""),0.005891203798880285)</f>
        <v>0.005891203799</v>
      </c>
      <c r="I20" s="53">
        <f>IFERROR(__xludf.DUMMYFUNCTION("""COMPUTED_VALUE"""),0.009571759303971234)</f>
        <v>0.009571759304</v>
      </c>
      <c r="J20" s="53">
        <f>IFERROR(__xludf.DUMMYFUNCTION("""COMPUTED_VALUE"""),0.011377314820804726)</f>
        <v>0.01137731482</v>
      </c>
      <c r="K20" s="54">
        <f>IFERROR(__xludf.DUMMYFUNCTION("""COMPUTED_VALUE"""),0.0016319445837329636)</f>
        <v>0.001631944584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6"/>
      <c r="W20" s="56"/>
      <c r="X20" s="56"/>
      <c r="Y20" s="56"/>
      <c r="Z20" s="57"/>
      <c r="AA20" s="58"/>
      <c r="AB20" s="59"/>
    </row>
    <row r="21" ht="13.5" customHeight="1">
      <c r="A21" s="60" t="str">
        <f>IFERROR(__xludf.DUMMYFUNCTION("""COMPUTED_VALUE"""),"")</f>
        <v/>
      </c>
      <c r="B21" s="61" t="str">
        <f>IFERROR(__xludf.DUMMYFUNCTION("""COMPUTED_VALUE"""),"")</f>
        <v/>
      </c>
      <c r="C21" s="63" t="str">
        <f>IFERROR(__xludf.DUMMYFUNCTION("""COMPUTED_VALUE"""),"")</f>
        <v/>
      </c>
      <c r="D21" s="63" t="str">
        <f>IFERROR(__xludf.DUMMYFUNCTION("""COMPUTED_VALUE"""),"")</f>
        <v/>
      </c>
      <c r="E21" s="51" t="str">
        <f>IFERROR(__xludf.DUMMYFUNCTION("""COMPUTED_VALUE"""),"")</f>
        <v/>
      </c>
      <c r="F21" s="82" t="str">
        <f>IFERROR(__xludf.DUMMYFUNCTION("""COMPUTED_VALUE"""),"")</f>
        <v/>
      </c>
      <c r="G21" s="52" t="str">
        <f>IFERROR(__xludf.DUMMYFUNCTION("""COMPUTED_VALUE"""),"")</f>
        <v/>
      </c>
      <c r="H21" s="53" t="str">
        <f>IFERROR(__xludf.DUMMYFUNCTION("""COMPUTED_VALUE"""),"")</f>
        <v/>
      </c>
      <c r="I21" s="53" t="str">
        <f>IFERROR(__xludf.DUMMYFUNCTION("""COMPUTED_VALUE"""),"")</f>
        <v/>
      </c>
      <c r="J21" s="53" t="str">
        <f>IFERROR(__xludf.DUMMYFUNCTION("""COMPUTED_VALUE"""),"")</f>
        <v/>
      </c>
      <c r="K21" s="54" t="str">
        <f>IFERROR(__xludf.DUMMYFUNCTION("""COMPUTED_VALUE"""),"")</f>
        <v/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6"/>
      <c r="W21" s="56"/>
      <c r="X21" s="56"/>
      <c r="Y21" s="56"/>
      <c r="Z21" s="57"/>
      <c r="AA21" s="58"/>
      <c r="AB21" s="59"/>
    </row>
    <row r="22" ht="13.5" customHeight="1">
      <c r="A22" s="60" t="str">
        <f>IFERROR(__xludf.DUMMYFUNCTION("""COMPUTED_VALUE"""),"")</f>
        <v/>
      </c>
      <c r="B22" s="61" t="str">
        <f>IFERROR(__xludf.DUMMYFUNCTION("""COMPUTED_VALUE"""),"")</f>
        <v/>
      </c>
      <c r="C22" s="63" t="str">
        <f>IFERROR(__xludf.DUMMYFUNCTION("""COMPUTED_VALUE"""),"")</f>
        <v/>
      </c>
      <c r="D22" s="63" t="str">
        <f>IFERROR(__xludf.DUMMYFUNCTION("""COMPUTED_VALUE"""),"")</f>
        <v/>
      </c>
      <c r="E22" s="51" t="str">
        <f>IFERROR(__xludf.DUMMYFUNCTION("""COMPUTED_VALUE"""),"")</f>
        <v/>
      </c>
      <c r="F22" s="82" t="str">
        <f>IFERROR(__xludf.DUMMYFUNCTION("""COMPUTED_VALUE"""),"")</f>
        <v/>
      </c>
      <c r="G22" s="52" t="str">
        <f>IFERROR(__xludf.DUMMYFUNCTION("""COMPUTED_VALUE"""),"")</f>
        <v/>
      </c>
      <c r="H22" s="53" t="str">
        <f>IFERROR(__xludf.DUMMYFUNCTION("""COMPUTED_VALUE"""),"")</f>
        <v/>
      </c>
      <c r="I22" s="53" t="str">
        <f>IFERROR(__xludf.DUMMYFUNCTION("""COMPUTED_VALUE"""),"")</f>
        <v/>
      </c>
      <c r="J22" s="53" t="str">
        <f>IFERROR(__xludf.DUMMYFUNCTION("""COMPUTED_VALUE"""),"")</f>
        <v/>
      </c>
      <c r="K22" s="54" t="str">
        <f>IFERROR(__xludf.DUMMYFUNCTION("""COMPUTED_VALUE"""),"")</f>
        <v/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6"/>
      <c r="W22" s="56"/>
      <c r="X22" s="56"/>
      <c r="Y22" s="56"/>
      <c r="Z22" s="57"/>
      <c r="AA22" s="58"/>
      <c r="AB22" s="59"/>
    </row>
    <row r="23" ht="13.5" customHeight="1">
      <c r="A23" s="60" t="str">
        <f>IFERROR(__xludf.DUMMYFUNCTION("""COMPUTED_VALUE"""),"")</f>
        <v/>
      </c>
      <c r="B23" s="61" t="str">
        <f>IFERROR(__xludf.DUMMYFUNCTION("""COMPUTED_VALUE"""),"")</f>
        <v/>
      </c>
      <c r="C23" s="63" t="str">
        <f>IFERROR(__xludf.DUMMYFUNCTION("""COMPUTED_VALUE"""),"")</f>
        <v/>
      </c>
      <c r="D23" s="63" t="str">
        <f>IFERROR(__xludf.DUMMYFUNCTION("""COMPUTED_VALUE"""),"")</f>
        <v/>
      </c>
      <c r="E23" s="51" t="str">
        <f>IFERROR(__xludf.DUMMYFUNCTION("""COMPUTED_VALUE"""),"")</f>
        <v/>
      </c>
      <c r="F23" s="82" t="str">
        <f>IFERROR(__xludf.DUMMYFUNCTION("""COMPUTED_VALUE"""),"")</f>
        <v/>
      </c>
      <c r="G23" s="52" t="str">
        <f>IFERROR(__xludf.DUMMYFUNCTION("""COMPUTED_VALUE"""),"")</f>
        <v/>
      </c>
      <c r="H23" s="53" t="str">
        <f>IFERROR(__xludf.DUMMYFUNCTION("""COMPUTED_VALUE"""),"")</f>
        <v/>
      </c>
      <c r="I23" s="53" t="str">
        <f>IFERROR(__xludf.DUMMYFUNCTION("""COMPUTED_VALUE"""),"")</f>
        <v/>
      </c>
      <c r="J23" s="53" t="str">
        <f>IFERROR(__xludf.DUMMYFUNCTION("""COMPUTED_VALUE"""),"")</f>
        <v/>
      </c>
      <c r="K23" s="54" t="str">
        <f>IFERROR(__xludf.DUMMYFUNCTION("""COMPUTED_VALUE"""),"")</f>
        <v/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6"/>
      <c r="W23" s="56"/>
      <c r="X23" s="56"/>
      <c r="Y23" s="56"/>
      <c r="Z23" s="57"/>
      <c r="AA23" s="58"/>
      <c r="AB23" s="59"/>
    </row>
    <row r="24" ht="13.5" customHeight="1">
      <c r="A24" s="60" t="str">
        <f>IFERROR(__xludf.DUMMYFUNCTION("""COMPUTED_VALUE"""),"")</f>
        <v/>
      </c>
      <c r="B24" s="61" t="str">
        <f>IFERROR(__xludf.DUMMYFUNCTION("""COMPUTED_VALUE"""),"")</f>
        <v/>
      </c>
      <c r="C24" s="63" t="str">
        <f>IFERROR(__xludf.DUMMYFUNCTION("""COMPUTED_VALUE"""),"")</f>
        <v/>
      </c>
      <c r="D24" s="63" t="str">
        <f>IFERROR(__xludf.DUMMYFUNCTION("""COMPUTED_VALUE"""),"")</f>
        <v/>
      </c>
      <c r="E24" s="51" t="str">
        <f>IFERROR(__xludf.DUMMYFUNCTION("""COMPUTED_VALUE"""),"")</f>
        <v/>
      </c>
      <c r="F24" s="82" t="str">
        <f>IFERROR(__xludf.DUMMYFUNCTION("""COMPUTED_VALUE"""),"")</f>
        <v/>
      </c>
      <c r="G24" s="52" t="str">
        <f>IFERROR(__xludf.DUMMYFUNCTION("""COMPUTED_VALUE"""),"")</f>
        <v/>
      </c>
      <c r="H24" s="53" t="str">
        <f>IFERROR(__xludf.DUMMYFUNCTION("""COMPUTED_VALUE"""),"")</f>
        <v/>
      </c>
      <c r="I24" s="53" t="str">
        <f>IFERROR(__xludf.DUMMYFUNCTION("""COMPUTED_VALUE"""),"")</f>
        <v/>
      </c>
      <c r="J24" s="53" t="str">
        <f>IFERROR(__xludf.DUMMYFUNCTION("""COMPUTED_VALUE"""),"")</f>
        <v/>
      </c>
      <c r="K24" s="54" t="str">
        <f>IFERROR(__xludf.DUMMYFUNCTION("""COMPUTED_VALUE"""),"")</f>
        <v/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6"/>
      <c r="W24" s="56"/>
      <c r="X24" s="56"/>
      <c r="Y24" s="56"/>
      <c r="Z24" s="57"/>
      <c r="AA24" s="58"/>
      <c r="AB24" s="59"/>
    </row>
    <row r="25" ht="13.5" customHeight="1">
      <c r="A25" s="60" t="str">
        <f>IFERROR(__xludf.DUMMYFUNCTION("""COMPUTED_VALUE"""),"")</f>
        <v/>
      </c>
      <c r="B25" s="61" t="str">
        <f>IFERROR(__xludf.DUMMYFUNCTION("""COMPUTED_VALUE"""),"")</f>
        <v/>
      </c>
      <c r="C25" s="63" t="str">
        <f>IFERROR(__xludf.DUMMYFUNCTION("""COMPUTED_VALUE"""),"")</f>
        <v/>
      </c>
      <c r="D25" s="63" t="str">
        <f>IFERROR(__xludf.DUMMYFUNCTION("""COMPUTED_VALUE"""),"")</f>
        <v/>
      </c>
      <c r="E25" s="51" t="str">
        <f>IFERROR(__xludf.DUMMYFUNCTION("""COMPUTED_VALUE"""),"")</f>
        <v/>
      </c>
      <c r="F25" s="82" t="str">
        <f>IFERROR(__xludf.DUMMYFUNCTION("""COMPUTED_VALUE"""),"")</f>
        <v/>
      </c>
      <c r="G25" s="52" t="str">
        <f>IFERROR(__xludf.DUMMYFUNCTION("""COMPUTED_VALUE"""),"")</f>
        <v/>
      </c>
      <c r="H25" s="53" t="str">
        <f>IFERROR(__xludf.DUMMYFUNCTION("""COMPUTED_VALUE"""),"")</f>
        <v/>
      </c>
      <c r="I25" s="53" t="str">
        <f>IFERROR(__xludf.DUMMYFUNCTION("""COMPUTED_VALUE"""),"")</f>
        <v/>
      </c>
      <c r="J25" s="53" t="str">
        <f>IFERROR(__xludf.DUMMYFUNCTION("""COMPUTED_VALUE"""),"")</f>
        <v/>
      </c>
      <c r="K25" s="54" t="str">
        <f>IFERROR(__xludf.DUMMYFUNCTION("""COMPUTED_VALUE"""),"")</f>
        <v/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6"/>
      <c r="W25" s="56"/>
      <c r="X25" s="56"/>
      <c r="Y25" s="56"/>
      <c r="Z25" s="57"/>
      <c r="AA25" s="58"/>
      <c r="AB25" s="59"/>
    </row>
    <row r="26" ht="13.5" customHeight="1">
      <c r="A26" s="60" t="str">
        <f>IFERROR(__xludf.DUMMYFUNCTION("""COMPUTED_VALUE"""),"")</f>
        <v/>
      </c>
      <c r="B26" s="64" t="str">
        <f>IFERROR(__xludf.DUMMYFUNCTION("""COMPUTED_VALUE"""),"")</f>
        <v/>
      </c>
      <c r="C26" s="63" t="str">
        <f>IFERROR(__xludf.DUMMYFUNCTION("""COMPUTED_VALUE"""),"")</f>
        <v/>
      </c>
      <c r="D26" s="63" t="str">
        <f>IFERROR(__xludf.DUMMYFUNCTION("""COMPUTED_VALUE"""),"")</f>
        <v/>
      </c>
      <c r="E26" s="51" t="str">
        <f>IFERROR(__xludf.DUMMYFUNCTION("""COMPUTED_VALUE"""),"")</f>
        <v/>
      </c>
      <c r="F26" s="82" t="str">
        <f>IFERROR(__xludf.DUMMYFUNCTION("""COMPUTED_VALUE"""),"")</f>
        <v/>
      </c>
      <c r="G26" s="52" t="str">
        <f>IFERROR(__xludf.DUMMYFUNCTION("""COMPUTED_VALUE"""),"")</f>
        <v/>
      </c>
      <c r="H26" s="53" t="str">
        <f>IFERROR(__xludf.DUMMYFUNCTION("""COMPUTED_VALUE"""),"")</f>
        <v/>
      </c>
      <c r="I26" s="53" t="str">
        <f>IFERROR(__xludf.DUMMYFUNCTION("""COMPUTED_VALUE"""),"")</f>
        <v/>
      </c>
      <c r="J26" s="53" t="str">
        <f>IFERROR(__xludf.DUMMYFUNCTION("""COMPUTED_VALUE"""),"")</f>
        <v/>
      </c>
      <c r="K26" s="54" t="str">
        <f>IFERROR(__xludf.DUMMYFUNCTION("""COMPUTED_VALUE"""),"")</f>
        <v/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6"/>
      <c r="W26" s="56"/>
      <c r="X26" s="56"/>
      <c r="Y26" s="56"/>
      <c r="Z26" s="57"/>
      <c r="AA26" s="58"/>
      <c r="AB26" s="59"/>
    </row>
    <row r="27" ht="13.5" customHeight="1">
      <c r="A27" s="60" t="str">
        <f>IFERROR(__xludf.DUMMYFUNCTION("""COMPUTED_VALUE"""),"")</f>
        <v/>
      </c>
      <c r="B27" s="64" t="str">
        <f>IFERROR(__xludf.DUMMYFUNCTION("""COMPUTED_VALUE"""),"")</f>
        <v/>
      </c>
      <c r="C27" s="63" t="str">
        <f>IFERROR(__xludf.DUMMYFUNCTION("""COMPUTED_VALUE"""),"")</f>
        <v/>
      </c>
      <c r="D27" s="63" t="str">
        <f>IFERROR(__xludf.DUMMYFUNCTION("""COMPUTED_VALUE"""),"")</f>
        <v/>
      </c>
      <c r="E27" s="51" t="str">
        <f>IFERROR(__xludf.DUMMYFUNCTION("""COMPUTED_VALUE"""),"")</f>
        <v/>
      </c>
      <c r="F27" s="82" t="str">
        <f>IFERROR(__xludf.DUMMYFUNCTION("""COMPUTED_VALUE"""),"")</f>
        <v/>
      </c>
      <c r="G27" s="52" t="str">
        <f>IFERROR(__xludf.DUMMYFUNCTION("""COMPUTED_VALUE"""),"")</f>
        <v/>
      </c>
      <c r="H27" s="53" t="str">
        <f>IFERROR(__xludf.DUMMYFUNCTION("""COMPUTED_VALUE"""),"")</f>
        <v/>
      </c>
      <c r="I27" s="53" t="str">
        <f>IFERROR(__xludf.DUMMYFUNCTION("""COMPUTED_VALUE"""),"")</f>
        <v/>
      </c>
      <c r="J27" s="53" t="str">
        <f>IFERROR(__xludf.DUMMYFUNCTION("""COMPUTED_VALUE"""),"")</f>
        <v/>
      </c>
      <c r="K27" s="54" t="str">
        <f>IFERROR(__xludf.DUMMYFUNCTION("""COMPUTED_VALUE"""),"")</f>
        <v/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6"/>
      <c r="W27" s="56"/>
      <c r="X27" s="56"/>
      <c r="Y27" s="56"/>
      <c r="Z27" s="57"/>
      <c r="AA27" s="58"/>
      <c r="AB27" s="59"/>
    </row>
    <row r="28" ht="13.5" customHeight="1">
      <c r="A28" s="60" t="str">
        <f>IFERROR(__xludf.DUMMYFUNCTION("""COMPUTED_VALUE"""),"")</f>
        <v/>
      </c>
      <c r="B28" s="64" t="str">
        <f>IFERROR(__xludf.DUMMYFUNCTION("""COMPUTED_VALUE"""),"")</f>
        <v/>
      </c>
      <c r="C28" s="63" t="str">
        <f>IFERROR(__xludf.DUMMYFUNCTION("""COMPUTED_VALUE"""),"")</f>
        <v/>
      </c>
      <c r="D28" s="63" t="str">
        <f>IFERROR(__xludf.DUMMYFUNCTION("""COMPUTED_VALUE"""),"")</f>
        <v/>
      </c>
      <c r="E28" s="51" t="str">
        <f>IFERROR(__xludf.DUMMYFUNCTION("""COMPUTED_VALUE"""),"")</f>
        <v/>
      </c>
      <c r="F28" s="82" t="str">
        <f>IFERROR(__xludf.DUMMYFUNCTION("""COMPUTED_VALUE"""),"")</f>
        <v/>
      </c>
      <c r="G28" s="52" t="str">
        <f>IFERROR(__xludf.DUMMYFUNCTION("""COMPUTED_VALUE"""),"")</f>
        <v/>
      </c>
      <c r="H28" s="53" t="str">
        <f>IFERROR(__xludf.DUMMYFUNCTION("""COMPUTED_VALUE"""),"")</f>
        <v/>
      </c>
      <c r="I28" s="53" t="str">
        <f>IFERROR(__xludf.DUMMYFUNCTION("""COMPUTED_VALUE"""),"")</f>
        <v/>
      </c>
      <c r="J28" s="53" t="str">
        <f>IFERROR(__xludf.DUMMYFUNCTION("""COMPUTED_VALUE"""),"")</f>
        <v/>
      </c>
      <c r="K28" s="54" t="str">
        <f>IFERROR(__xludf.DUMMYFUNCTION("""COMPUTED_VALUE"""),"")</f>
        <v/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6"/>
      <c r="W28" s="56"/>
      <c r="X28" s="56"/>
      <c r="Y28" s="56"/>
      <c r="Z28" s="57"/>
      <c r="AA28" s="58"/>
      <c r="AB28" s="59"/>
    </row>
    <row r="29" ht="13.5" customHeight="1">
      <c r="A29" s="60" t="str">
        <f>IFERROR(__xludf.DUMMYFUNCTION("""COMPUTED_VALUE"""),"")</f>
        <v/>
      </c>
      <c r="B29" s="64" t="str">
        <f>IFERROR(__xludf.DUMMYFUNCTION("""COMPUTED_VALUE"""),"")</f>
        <v/>
      </c>
      <c r="C29" s="63" t="str">
        <f>IFERROR(__xludf.DUMMYFUNCTION("""COMPUTED_VALUE"""),"")</f>
        <v/>
      </c>
      <c r="D29" s="63" t="str">
        <f>IFERROR(__xludf.DUMMYFUNCTION("""COMPUTED_VALUE"""),"")</f>
        <v/>
      </c>
      <c r="E29" s="51" t="str">
        <f>IFERROR(__xludf.DUMMYFUNCTION("""COMPUTED_VALUE"""),"")</f>
        <v/>
      </c>
      <c r="F29" s="82" t="str">
        <f>IFERROR(__xludf.DUMMYFUNCTION("""COMPUTED_VALUE"""),"")</f>
        <v/>
      </c>
      <c r="G29" s="52" t="str">
        <f>IFERROR(__xludf.DUMMYFUNCTION("""COMPUTED_VALUE"""),"")</f>
        <v/>
      </c>
      <c r="H29" s="53" t="str">
        <f>IFERROR(__xludf.DUMMYFUNCTION("""COMPUTED_VALUE"""),"")</f>
        <v/>
      </c>
      <c r="I29" s="53" t="str">
        <f>IFERROR(__xludf.DUMMYFUNCTION("""COMPUTED_VALUE"""),"")</f>
        <v/>
      </c>
      <c r="J29" s="53" t="str">
        <f>IFERROR(__xludf.DUMMYFUNCTION("""COMPUTED_VALUE"""),"")</f>
        <v/>
      </c>
      <c r="K29" s="54" t="str">
        <f>IFERROR(__xludf.DUMMYFUNCTION("""COMPUTED_VALUE"""),"")</f>
        <v/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6"/>
      <c r="W29" s="56"/>
      <c r="X29" s="56"/>
      <c r="Y29" s="56"/>
      <c r="Z29" s="57"/>
      <c r="AA29" s="58"/>
      <c r="AB29" s="59"/>
    </row>
    <row r="30" ht="13.5" customHeight="1">
      <c r="A30" s="60" t="str">
        <f>IFERROR(__xludf.DUMMYFUNCTION("""COMPUTED_VALUE"""),"")</f>
        <v/>
      </c>
      <c r="B30" s="64" t="str">
        <f>IFERROR(__xludf.DUMMYFUNCTION("""COMPUTED_VALUE"""),"")</f>
        <v/>
      </c>
      <c r="C30" s="63" t="str">
        <f>IFERROR(__xludf.DUMMYFUNCTION("""COMPUTED_VALUE"""),"")</f>
        <v/>
      </c>
      <c r="D30" s="63" t="str">
        <f>IFERROR(__xludf.DUMMYFUNCTION("""COMPUTED_VALUE"""),"")</f>
        <v/>
      </c>
      <c r="E30" s="51" t="str">
        <f>IFERROR(__xludf.DUMMYFUNCTION("""COMPUTED_VALUE"""),"")</f>
        <v/>
      </c>
      <c r="F30" s="82" t="str">
        <f>IFERROR(__xludf.DUMMYFUNCTION("""COMPUTED_VALUE"""),"")</f>
        <v/>
      </c>
      <c r="G30" s="52" t="str">
        <f>IFERROR(__xludf.DUMMYFUNCTION("""COMPUTED_VALUE"""),"")</f>
        <v/>
      </c>
      <c r="H30" s="53" t="str">
        <f>IFERROR(__xludf.DUMMYFUNCTION("""COMPUTED_VALUE"""),"")</f>
        <v/>
      </c>
      <c r="I30" s="53" t="str">
        <f>IFERROR(__xludf.DUMMYFUNCTION("""COMPUTED_VALUE"""),"")</f>
        <v/>
      </c>
      <c r="J30" s="53" t="str">
        <f>IFERROR(__xludf.DUMMYFUNCTION("""COMPUTED_VALUE"""),"")</f>
        <v/>
      </c>
      <c r="K30" s="54" t="str">
        <f>IFERROR(__xludf.DUMMYFUNCTION("""COMPUTED_VALUE"""),"")</f>
        <v/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6"/>
      <c r="W30" s="56"/>
      <c r="X30" s="56"/>
      <c r="Y30" s="56"/>
      <c r="Z30" s="57"/>
      <c r="AA30" s="58"/>
      <c r="AB30" s="59"/>
    </row>
    <row r="31" ht="13.5" customHeight="1">
      <c r="A31" s="60" t="str">
        <f>IFERROR(__xludf.DUMMYFUNCTION("""COMPUTED_VALUE"""),"")</f>
        <v/>
      </c>
      <c r="B31" s="64" t="str">
        <f>IFERROR(__xludf.DUMMYFUNCTION("""COMPUTED_VALUE"""),"")</f>
        <v/>
      </c>
      <c r="C31" s="63" t="str">
        <f>IFERROR(__xludf.DUMMYFUNCTION("""COMPUTED_VALUE"""),"")</f>
        <v/>
      </c>
      <c r="D31" s="63" t="str">
        <f>IFERROR(__xludf.DUMMYFUNCTION("""COMPUTED_VALUE"""),"")</f>
        <v/>
      </c>
      <c r="E31" s="51" t="str">
        <f>IFERROR(__xludf.DUMMYFUNCTION("""COMPUTED_VALUE"""),"")</f>
        <v/>
      </c>
      <c r="F31" s="82" t="str">
        <f>IFERROR(__xludf.DUMMYFUNCTION("""COMPUTED_VALUE"""),"")</f>
        <v/>
      </c>
      <c r="G31" s="52" t="str">
        <f>IFERROR(__xludf.DUMMYFUNCTION("""COMPUTED_VALUE"""),"")</f>
        <v/>
      </c>
      <c r="H31" s="53" t="str">
        <f>IFERROR(__xludf.DUMMYFUNCTION("""COMPUTED_VALUE"""),"")</f>
        <v/>
      </c>
      <c r="I31" s="53" t="str">
        <f>IFERROR(__xludf.DUMMYFUNCTION("""COMPUTED_VALUE"""),"")</f>
        <v/>
      </c>
      <c r="J31" s="53" t="str">
        <f>IFERROR(__xludf.DUMMYFUNCTION("""COMPUTED_VALUE"""),"")</f>
        <v/>
      </c>
      <c r="K31" s="54" t="str">
        <f>IFERROR(__xludf.DUMMYFUNCTION("""COMPUTED_VALUE"""),"")</f>
        <v/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6"/>
      <c r="W31" s="56"/>
      <c r="X31" s="56"/>
      <c r="Y31" s="56"/>
      <c r="Z31" s="57"/>
      <c r="AA31" s="58"/>
      <c r="AB31" s="59"/>
    </row>
    <row r="32" ht="13.5" customHeight="1">
      <c r="A32" s="60" t="str">
        <f>IFERROR(__xludf.DUMMYFUNCTION("""COMPUTED_VALUE"""),"")</f>
        <v/>
      </c>
      <c r="B32" s="64" t="str">
        <f>IFERROR(__xludf.DUMMYFUNCTION("""COMPUTED_VALUE"""),"")</f>
        <v/>
      </c>
      <c r="C32" s="63" t="str">
        <f>IFERROR(__xludf.DUMMYFUNCTION("""COMPUTED_VALUE"""),"")</f>
        <v/>
      </c>
      <c r="D32" s="63" t="str">
        <f>IFERROR(__xludf.DUMMYFUNCTION("""COMPUTED_VALUE"""),"")</f>
        <v/>
      </c>
      <c r="E32" s="51" t="str">
        <f>IFERROR(__xludf.DUMMYFUNCTION("""COMPUTED_VALUE"""),"")</f>
        <v/>
      </c>
      <c r="F32" s="82" t="str">
        <f>IFERROR(__xludf.DUMMYFUNCTION("""COMPUTED_VALUE"""),"")</f>
        <v/>
      </c>
      <c r="G32" s="52" t="str">
        <f>IFERROR(__xludf.DUMMYFUNCTION("""COMPUTED_VALUE"""),"")</f>
        <v/>
      </c>
      <c r="H32" s="53" t="str">
        <f>IFERROR(__xludf.DUMMYFUNCTION("""COMPUTED_VALUE"""),"")</f>
        <v/>
      </c>
      <c r="I32" s="53" t="str">
        <f>IFERROR(__xludf.DUMMYFUNCTION("""COMPUTED_VALUE"""),"")</f>
        <v/>
      </c>
      <c r="J32" s="53" t="str">
        <f>IFERROR(__xludf.DUMMYFUNCTION("""COMPUTED_VALUE"""),"")</f>
        <v/>
      </c>
      <c r="K32" s="54" t="str">
        <f>IFERROR(__xludf.DUMMYFUNCTION("""COMPUTED_VALUE"""),"")</f>
        <v/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6"/>
      <c r="W32" s="56"/>
      <c r="X32" s="56"/>
      <c r="Y32" s="56"/>
      <c r="Z32" s="57"/>
      <c r="AA32" s="58"/>
      <c r="AB32" s="59"/>
    </row>
    <row r="33" ht="13.5" customHeight="1">
      <c r="A33" s="60" t="str">
        <f>IFERROR(__xludf.DUMMYFUNCTION("""COMPUTED_VALUE"""),"")</f>
        <v/>
      </c>
      <c r="B33" s="64" t="str">
        <f>IFERROR(__xludf.DUMMYFUNCTION("""COMPUTED_VALUE"""),"")</f>
        <v/>
      </c>
      <c r="C33" s="63" t="str">
        <f>IFERROR(__xludf.DUMMYFUNCTION("""COMPUTED_VALUE"""),"")</f>
        <v/>
      </c>
      <c r="D33" s="63" t="str">
        <f>IFERROR(__xludf.DUMMYFUNCTION("""COMPUTED_VALUE"""),"")</f>
        <v/>
      </c>
      <c r="E33" s="51" t="str">
        <f>IFERROR(__xludf.DUMMYFUNCTION("""COMPUTED_VALUE"""),"")</f>
        <v/>
      </c>
      <c r="F33" s="82" t="str">
        <f>IFERROR(__xludf.DUMMYFUNCTION("""COMPUTED_VALUE"""),"")</f>
        <v/>
      </c>
      <c r="G33" s="52" t="str">
        <f>IFERROR(__xludf.DUMMYFUNCTION("""COMPUTED_VALUE"""),"")</f>
        <v/>
      </c>
      <c r="H33" s="53" t="str">
        <f>IFERROR(__xludf.DUMMYFUNCTION("""COMPUTED_VALUE"""),"")</f>
        <v/>
      </c>
      <c r="I33" s="53" t="str">
        <f>IFERROR(__xludf.DUMMYFUNCTION("""COMPUTED_VALUE"""),"")</f>
        <v/>
      </c>
      <c r="J33" s="53" t="str">
        <f>IFERROR(__xludf.DUMMYFUNCTION("""COMPUTED_VALUE"""),"")</f>
        <v/>
      </c>
      <c r="K33" s="54" t="str">
        <f>IFERROR(__xludf.DUMMYFUNCTION("""COMPUTED_VALUE"""),"")</f>
        <v/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  <c r="W33" s="56"/>
      <c r="X33" s="56"/>
      <c r="Y33" s="56"/>
      <c r="Z33" s="57"/>
      <c r="AA33" s="58"/>
      <c r="AB33" s="59"/>
    </row>
    <row r="34" ht="13.5" customHeight="1">
      <c r="A34" s="60" t="str">
        <f>IFERROR(__xludf.DUMMYFUNCTION("""COMPUTED_VALUE"""),"")</f>
        <v/>
      </c>
      <c r="B34" s="64" t="str">
        <f>IFERROR(__xludf.DUMMYFUNCTION("""COMPUTED_VALUE"""),"")</f>
        <v/>
      </c>
      <c r="C34" s="63" t="str">
        <f>IFERROR(__xludf.DUMMYFUNCTION("""COMPUTED_VALUE"""),"")</f>
        <v/>
      </c>
      <c r="D34" s="63" t="str">
        <f>IFERROR(__xludf.DUMMYFUNCTION("""COMPUTED_VALUE"""),"")</f>
        <v/>
      </c>
      <c r="E34" s="51" t="str">
        <f>IFERROR(__xludf.DUMMYFUNCTION("""COMPUTED_VALUE"""),"")</f>
        <v/>
      </c>
      <c r="F34" s="82" t="str">
        <f>IFERROR(__xludf.DUMMYFUNCTION("""COMPUTED_VALUE"""),"")</f>
        <v/>
      </c>
      <c r="G34" s="52" t="str">
        <f>IFERROR(__xludf.DUMMYFUNCTION("""COMPUTED_VALUE"""),"")</f>
        <v/>
      </c>
      <c r="H34" s="53" t="str">
        <f>IFERROR(__xludf.DUMMYFUNCTION("""COMPUTED_VALUE"""),"")</f>
        <v/>
      </c>
      <c r="I34" s="53" t="str">
        <f>IFERROR(__xludf.DUMMYFUNCTION("""COMPUTED_VALUE"""),"")</f>
        <v/>
      </c>
      <c r="J34" s="53" t="str">
        <f>IFERROR(__xludf.DUMMYFUNCTION("""COMPUTED_VALUE"""),"")</f>
        <v/>
      </c>
      <c r="K34" s="54" t="str">
        <f>IFERROR(__xludf.DUMMYFUNCTION("""COMPUTED_VALUE"""),"")</f>
        <v/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56"/>
      <c r="X34" s="56"/>
      <c r="Y34" s="56"/>
      <c r="Z34" s="57"/>
      <c r="AA34" s="58"/>
      <c r="AB34" s="59"/>
    </row>
    <row r="35" ht="13.5" customHeight="1">
      <c r="A35" s="60" t="str">
        <f>IFERROR(__xludf.DUMMYFUNCTION("""COMPUTED_VALUE"""),"")</f>
        <v/>
      </c>
      <c r="B35" s="64" t="str">
        <f>IFERROR(__xludf.DUMMYFUNCTION("""COMPUTED_VALUE"""),"")</f>
        <v/>
      </c>
      <c r="C35" s="63" t="str">
        <f>IFERROR(__xludf.DUMMYFUNCTION("""COMPUTED_VALUE"""),"")</f>
        <v/>
      </c>
      <c r="D35" s="63" t="str">
        <f>IFERROR(__xludf.DUMMYFUNCTION("""COMPUTED_VALUE"""),"")</f>
        <v/>
      </c>
      <c r="E35" s="51" t="str">
        <f>IFERROR(__xludf.DUMMYFUNCTION("""COMPUTED_VALUE"""),"")</f>
        <v/>
      </c>
      <c r="F35" s="82" t="str">
        <f>IFERROR(__xludf.DUMMYFUNCTION("""COMPUTED_VALUE"""),"")</f>
        <v/>
      </c>
      <c r="G35" s="52" t="str">
        <f>IFERROR(__xludf.DUMMYFUNCTION("""COMPUTED_VALUE"""),"")</f>
        <v/>
      </c>
      <c r="H35" s="53" t="str">
        <f>IFERROR(__xludf.DUMMYFUNCTION("""COMPUTED_VALUE"""),"")</f>
        <v/>
      </c>
      <c r="I35" s="53" t="str">
        <f>IFERROR(__xludf.DUMMYFUNCTION("""COMPUTED_VALUE"""),"")</f>
        <v/>
      </c>
      <c r="J35" s="53" t="str">
        <f>IFERROR(__xludf.DUMMYFUNCTION("""COMPUTED_VALUE"""),"")</f>
        <v/>
      </c>
      <c r="K35" s="54" t="str">
        <f>IFERROR(__xludf.DUMMYFUNCTION("""COMPUTED_VALUE"""),"")</f>
        <v/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6"/>
      <c r="W35" s="56"/>
      <c r="X35" s="56"/>
      <c r="Y35" s="56"/>
      <c r="Z35" s="57"/>
      <c r="AA35" s="58"/>
      <c r="AB35" s="59"/>
    </row>
    <row r="36" ht="13.5" customHeight="1">
      <c r="A36" s="60" t="str">
        <f>IFERROR(__xludf.DUMMYFUNCTION("""COMPUTED_VALUE"""),"")</f>
        <v/>
      </c>
      <c r="B36" s="64" t="str">
        <f>IFERROR(__xludf.DUMMYFUNCTION("""COMPUTED_VALUE"""),"")</f>
        <v/>
      </c>
      <c r="C36" s="63" t="str">
        <f>IFERROR(__xludf.DUMMYFUNCTION("""COMPUTED_VALUE"""),"")</f>
        <v/>
      </c>
      <c r="D36" s="63" t="str">
        <f>IFERROR(__xludf.DUMMYFUNCTION("""COMPUTED_VALUE"""),"")</f>
        <v/>
      </c>
      <c r="E36" s="51" t="str">
        <f>IFERROR(__xludf.DUMMYFUNCTION("""COMPUTED_VALUE"""),"")</f>
        <v/>
      </c>
      <c r="F36" s="82" t="str">
        <f>IFERROR(__xludf.DUMMYFUNCTION("""COMPUTED_VALUE"""),"")</f>
        <v/>
      </c>
      <c r="G36" s="52" t="str">
        <f>IFERROR(__xludf.DUMMYFUNCTION("""COMPUTED_VALUE"""),"")</f>
        <v/>
      </c>
      <c r="H36" s="53" t="str">
        <f>IFERROR(__xludf.DUMMYFUNCTION("""COMPUTED_VALUE"""),"")</f>
        <v/>
      </c>
      <c r="I36" s="53" t="str">
        <f>IFERROR(__xludf.DUMMYFUNCTION("""COMPUTED_VALUE"""),"")</f>
        <v/>
      </c>
      <c r="J36" s="53" t="str">
        <f>IFERROR(__xludf.DUMMYFUNCTION("""COMPUTED_VALUE"""),"")</f>
        <v/>
      </c>
      <c r="K36" s="54" t="str">
        <f>IFERROR(__xludf.DUMMYFUNCTION("""COMPUTED_VALUE"""),"")</f>
        <v/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6"/>
      <c r="W36" s="56"/>
      <c r="X36" s="56"/>
      <c r="Y36" s="56"/>
      <c r="Z36" s="57"/>
      <c r="AA36" s="58"/>
      <c r="AB36" s="59"/>
    </row>
    <row r="37" ht="13.5" customHeight="1">
      <c r="A37" s="60" t="str">
        <f>IFERROR(__xludf.DUMMYFUNCTION("""COMPUTED_VALUE"""),"")</f>
        <v/>
      </c>
      <c r="B37" s="64" t="str">
        <f>IFERROR(__xludf.DUMMYFUNCTION("""COMPUTED_VALUE"""),"")</f>
        <v/>
      </c>
      <c r="C37" s="63" t="str">
        <f>IFERROR(__xludf.DUMMYFUNCTION("""COMPUTED_VALUE"""),"")</f>
        <v/>
      </c>
      <c r="D37" s="63" t="str">
        <f>IFERROR(__xludf.DUMMYFUNCTION("""COMPUTED_VALUE"""),"")</f>
        <v/>
      </c>
      <c r="E37" s="51" t="str">
        <f>IFERROR(__xludf.DUMMYFUNCTION("""COMPUTED_VALUE"""),"")</f>
        <v/>
      </c>
      <c r="F37" s="82" t="str">
        <f>IFERROR(__xludf.DUMMYFUNCTION("""COMPUTED_VALUE"""),"")</f>
        <v/>
      </c>
      <c r="G37" s="52" t="str">
        <f>IFERROR(__xludf.DUMMYFUNCTION("""COMPUTED_VALUE"""),"")</f>
        <v/>
      </c>
      <c r="H37" s="53" t="str">
        <f>IFERROR(__xludf.DUMMYFUNCTION("""COMPUTED_VALUE"""),"")</f>
        <v/>
      </c>
      <c r="I37" s="53" t="str">
        <f>IFERROR(__xludf.DUMMYFUNCTION("""COMPUTED_VALUE"""),"")</f>
        <v/>
      </c>
      <c r="J37" s="53" t="str">
        <f>IFERROR(__xludf.DUMMYFUNCTION("""COMPUTED_VALUE"""),"")</f>
        <v/>
      </c>
      <c r="K37" s="54" t="str">
        <f>IFERROR(__xludf.DUMMYFUNCTION("""COMPUTED_VALUE"""),"")</f>
        <v/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6"/>
      <c r="W37" s="56"/>
      <c r="X37" s="56"/>
      <c r="Y37" s="56"/>
      <c r="Z37" s="57"/>
      <c r="AA37" s="58"/>
      <c r="AB37" s="59"/>
    </row>
    <row r="38" ht="13.5" customHeight="1">
      <c r="A38" s="60" t="str">
        <f>IFERROR(__xludf.DUMMYFUNCTION("""COMPUTED_VALUE"""),"")</f>
        <v/>
      </c>
      <c r="B38" s="64" t="str">
        <f>IFERROR(__xludf.DUMMYFUNCTION("""COMPUTED_VALUE"""),"")</f>
        <v/>
      </c>
      <c r="C38" s="63" t="str">
        <f>IFERROR(__xludf.DUMMYFUNCTION("""COMPUTED_VALUE"""),"")</f>
        <v/>
      </c>
      <c r="D38" s="63" t="str">
        <f>IFERROR(__xludf.DUMMYFUNCTION("""COMPUTED_VALUE"""),"")</f>
        <v/>
      </c>
      <c r="E38" s="51" t="str">
        <f>IFERROR(__xludf.DUMMYFUNCTION("""COMPUTED_VALUE"""),"")</f>
        <v/>
      </c>
      <c r="F38" s="82" t="str">
        <f>IFERROR(__xludf.DUMMYFUNCTION("""COMPUTED_VALUE"""),"")</f>
        <v/>
      </c>
      <c r="G38" s="52" t="str">
        <f>IFERROR(__xludf.DUMMYFUNCTION("""COMPUTED_VALUE"""),"")</f>
        <v/>
      </c>
      <c r="H38" s="53" t="str">
        <f>IFERROR(__xludf.DUMMYFUNCTION("""COMPUTED_VALUE"""),"")</f>
        <v/>
      </c>
      <c r="I38" s="53" t="str">
        <f>IFERROR(__xludf.DUMMYFUNCTION("""COMPUTED_VALUE"""),"")</f>
        <v/>
      </c>
      <c r="J38" s="53" t="str">
        <f>IFERROR(__xludf.DUMMYFUNCTION("""COMPUTED_VALUE"""),"")</f>
        <v/>
      </c>
      <c r="K38" s="54" t="str">
        <f>IFERROR(__xludf.DUMMYFUNCTION("""COMPUTED_VALUE"""),"")</f>
        <v/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6"/>
      <c r="W38" s="56"/>
      <c r="X38" s="56"/>
      <c r="Y38" s="56"/>
      <c r="Z38" s="57"/>
      <c r="AA38" s="58"/>
      <c r="AB38" s="59"/>
    </row>
    <row r="39" ht="13.5" customHeight="1">
      <c r="A39" s="60" t="str">
        <f>IFERROR(__xludf.DUMMYFUNCTION("""COMPUTED_VALUE"""),"")</f>
        <v/>
      </c>
      <c r="B39" s="64" t="str">
        <f>IFERROR(__xludf.DUMMYFUNCTION("""COMPUTED_VALUE"""),"")</f>
        <v/>
      </c>
      <c r="C39" s="63" t="str">
        <f>IFERROR(__xludf.DUMMYFUNCTION("""COMPUTED_VALUE"""),"")</f>
        <v/>
      </c>
      <c r="D39" s="63" t="str">
        <f>IFERROR(__xludf.DUMMYFUNCTION("""COMPUTED_VALUE"""),"")</f>
        <v/>
      </c>
      <c r="E39" s="51" t="str">
        <f>IFERROR(__xludf.DUMMYFUNCTION("""COMPUTED_VALUE"""),"")</f>
        <v/>
      </c>
      <c r="F39" s="82" t="str">
        <f>IFERROR(__xludf.DUMMYFUNCTION("""COMPUTED_VALUE"""),"")</f>
        <v/>
      </c>
      <c r="G39" s="52" t="str">
        <f>IFERROR(__xludf.DUMMYFUNCTION("""COMPUTED_VALUE"""),"")</f>
        <v/>
      </c>
      <c r="H39" s="53" t="str">
        <f>IFERROR(__xludf.DUMMYFUNCTION("""COMPUTED_VALUE"""),"")</f>
        <v/>
      </c>
      <c r="I39" s="53" t="str">
        <f>IFERROR(__xludf.DUMMYFUNCTION("""COMPUTED_VALUE"""),"")</f>
        <v/>
      </c>
      <c r="J39" s="53" t="str">
        <f>IFERROR(__xludf.DUMMYFUNCTION("""COMPUTED_VALUE"""),"")</f>
        <v/>
      </c>
      <c r="K39" s="54" t="str">
        <f>IFERROR(__xludf.DUMMYFUNCTION("""COMPUTED_VALUE"""),"")</f>
        <v/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6"/>
      <c r="W39" s="56"/>
      <c r="X39" s="56"/>
      <c r="Y39" s="56"/>
      <c r="Z39" s="57"/>
      <c r="AA39" s="58"/>
      <c r="AB39" s="59"/>
    </row>
    <row r="40" ht="13.5" customHeight="1">
      <c r="A40" s="60" t="str">
        <f>IFERROR(__xludf.DUMMYFUNCTION("""COMPUTED_VALUE"""),"")</f>
        <v/>
      </c>
      <c r="B40" s="64" t="str">
        <f>IFERROR(__xludf.DUMMYFUNCTION("""COMPUTED_VALUE"""),"")</f>
        <v/>
      </c>
      <c r="C40" s="63" t="str">
        <f>IFERROR(__xludf.DUMMYFUNCTION("""COMPUTED_VALUE"""),"")</f>
        <v/>
      </c>
      <c r="D40" s="63" t="str">
        <f>IFERROR(__xludf.DUMMYFUNCTION("""COMPUTED_VALUE"""),"")</f>
        <v/>
      </c>
      <c r="E40" s="51" t="str">
        <f>IFERROR(__xludf.DUMMYFUNCTION("""COMPUTED_VALUE"""),"")</f>
        <v/>
      </c>
      <c r="F40" s="82" t="str">
        <f>IFERROR(__xludf.DUMMYFUNCTION("""COMPUTED_VALUE"""),"")</f>
        <v/>
      </c>
      <c r="G40" s="52" t="str">
        <f>IFERROR(__xludf.DUMMYFUNCTION("""COMPUTED_VALUE"""),"")</f>
        <v/>
      </c>
      <c r="H40" s="53" t="str">
        <f>IFERROR(__xludf.DUMMYFUNCTION("""COMPUTED_VALUE"""),"")</f>
        <v/>
      </c>
      <c r="I40" s="53" t="str">
        <f>IFERROR(__xludf.DUMMYFUNCTION("""COMPUTED_VALUE"""),"")</f>
        <v/>
      </c>
      <c r="J40" s="53" t="str">
        <f>IFERROR(__xludf.DUMMYFUNCTION("""COMPUTED_VALUE"""),"")</f>
        <v/>
      </c>
      <c r="K40" s="54" t="str">
        <f>IFERROR(__xludf.DUMMYFUNCTION("""COMPUTED_VALUE"""),"")</f>
        <v/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6"/>
      <c r="W40" s="56"/>
      <c r="X40" s="56"/>
      <c r="Y40" s="56"/>
      <c r="Z40" s="57"/>
      <c r="AA40" s="58"/>
      <c r="AB40" s="59"/>
    </row>
    <row r="41" ht="13.5" customHeight="1">
      <c r="A41" s="60" t="str">
        <f>IFERROR(__xludf.DUMMYFUNCTION("""COMPUTED_VALUE"""),"")</f>
        <v/>
      </c>
      <c r="B41" s="64" t="str">
        <f>IFERROR(__xludf.DUMMYFUNCTION("""COMPUTED_VALUE"""),"")</f>
        <v/>
      </c>
      <c r="C41" s="63" t="str">
        <f>IFERROR(__xludf.DUMMYFUNCTION("""COMPUTED_VALUE"""),"")</f>
        <v/>
      </c>
      <c r="D41" s="63" t="str">
        <f>IFERROR(__xludf.DUMMYFUNCTION("""COMPUTED_VALUE"""),"")</f>
        <v/>
      </c>
      <c r="E41" s="51" t="str">
        <f>IFERROR(__xludf.DUMMYFUNCTION("""COMPUTED_VALUE"""),"")</f>
        <v/>
      </c>
      <c r="F41" s="82" t="str">
        <f>IFERROR(__xludf.DUMMYFUNCTION("""COMPUTED_VALUE"""),"")</f>
        <v/>
      </c>
      <c r="G41" s="52" t="str">
        <f>IFERROR(__xludf.DUMMYFUNCTION("""COMPUTED_VALUE"""),"")</f>
        <v/>
      </c>
      <c r="H41" s="53" t="str">
        <f>IFERROR(__xludf.DUMMYFUNCTION("""COMPUTED_VALUE"""),"")</f>
        <v/>
      </c>
      <c r="I41" s="53" t="str">
        <f>IFERROR(__xludf.DUMMYFUNCTION("""COMPUTED_VALUE"""),"")</f>
        <v/>
      </c>
      <c r="J41" s="53" t="str">
        <f>IFERROR(__xludf.DUMMYFUNCTION("""COMPUTED_VALUE"""),"")</f>
        <v/>
      </c>
      <c r="K41" s="54" t="str">
        <f>IFERROR(__xludf.DUMMYFUNCTION("""COMPUTED_VALUE"""),"")</f>
        <v/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6"/>
      <c r="W41" s="56"/>
      <c r="X41" s="56"/>
      <c r="Y41" s="56"/>
      <c r="Z41" s="57"/>
      <c r="AA41" s="58"/>
      <c r="AB41" s="59"/>
    </row>
    <row r="42" ht="13.5" customHeight="1">
      <c r="A42" s="60" t="str">
        <f>IFERROR(__xludf.DUMMYFUNCTION("""COMPUTED_VALUE"""),"")</f>
        <v/>
      </c>
      <c r="B42" s="64" t="str">
        <f>IFERROR(__xludf.DUMMYFUNCTION("""COMPUTED_VALUE"""),"")</f>
        <v/>
      </c>
      <c r="C42" s="63" t="str">
        <f>IFERROR(__xludf.DUMMYFUNCTION("""COMPUTED_VALUE"""),"")</f>
        <v/>
      </c>
      <c r="D42" s="63" t="str">
        <f>IFERROR(__xludf.DUMMYFUNCTION("""COMPUTED_VALUE"""),"")</f>
        <v/>
      </c>
      <c r="E42" s="51" t="str">
        <f>IFERROR(__xludf.DUMMYFUNCTION("""COMPUTED_VALUE"""),"")</f>
        <v/>
      </c>
      <c r="F42" s="82" t="str">
        <f>IFERROR(__xludf.DUMMYFUNCTION("""COMPUTED_VALUE"""),"")</f>
        <v/>
      </c>
      <c r="G42" s="52" t="str">
        <f>IFERROR(__xludf.DUMMYFUNCTION("""COMPUTED_VALUE"""),"")</f>
        <v/>
      </c>
      <c r="H42" s="53" t="str">
        <f>IFERROR(__xludf.DUMMYFUNCTION("""COMPUTED_VALUE"""),"")</f>
        <v/>
      </c>
      <c r="I42" s="53" t="str">
        <f>IFERROR(__xludf.DUMMYFUNCTION("""COMPUTED_VALUE"""),"")</f>
        <v/>
      </c>
      <c r="J42" s="53" t="str">
        <f>IFERROR(__xludf.DUMMYFUNCTION("""COMPUTED_VALUE"""),"")</f>
        <v/>
      </c>
      <c r="K42" s="54" t="str">
        <f>IFERROR(__xludf.DUMMYFUNCTION("""COMPUTED_VALUE"""),"")</f>
        <v/>
      </c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6"/>
      <c r="W42" s="56"/>
      <c r="X42" s="56"/>
      <c r="Y42" s="56"/>
      <c r="Z42" s="57"/>
      <c r="AA42" s="58"/>
      <c r="AB42" s="59"/>
    </row>
    <row r="43" ht="13.5" customHeight="1">
      <c r="A43" s="60" t="str">
        <f>IFERROR(__xludf.DUMMYFUNCTION("""COMPUTED_VALUE"""),"")</f>
        <v/>
      </c>
      <c r="B43" s="64" t="str">
        <f>IFERROR(__xludf.DUMMYFUNCTION("""COMPUTED_VALUE"""),"")</f>
        <v/>
      </c>
      <c r="C43" s="63" t="str">
        <f>IFERROR(__xludf.DUMMYFUNCTION("""COMPUTED_VALUE"""),"")</f>
        <v/>
      </c>
      <c r="D43" s="63" t="str">
        <f>IFERROR(__xludf.DUMMYFUNCTION("""COMPUTED_VALUE"""),"")</f>
        <v/>
      </c>
      <c r="E43" s="51" t="str">
        <f>IFERROR(__xludf.DUMMYFUNCTION("""COMPUTED_VALUE"""),"")</f>
        <v/>
      </c>
      <c r="F43" s="82" t="str">
        <f>IFERROR(__xludf.DUMMYFUNCTION("""COMPUTED_VALUE"""),"")</f>
        <v/>
      </c>
      <c r="G43" s="52" t="str">
        <f>IFERROR(__xludf.DUMMYFUNCTION("""COMPUTED_VALUE"""),"")</f>
        <v/>
      </c>
      <c r="H43" s="53" t="str">
        <f>IFERROR(__xludf.DUMMYFUNCTION("""COMPUTED_VALUE"""),"")</f>
        <v/>
      </c>
      <c r="I43" s="53" t="str">
        <f>IFERROR(__xludf.DUMMYFUNCTION("""COMPUTED_VALUE"""),"")</f>
        <v/>
      </c>
      <c r="J43" s="53" t="str">
        <f>IFERROR(__xludf.DUMMYFUNCTION("""COMPUTED_VALUE"""),"")</f>
        <v/>
      </c>
      <c r="K43" s="54" t="str">
        <f>IFERROR(__xludf.DUMMYFUNCTION("""COMPUTED_VALUE"""),"")</f>
        <v/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6"/>
      <c r="W43" s="56"/>
      <c r="X43" s="56"/>
      <c r="Y43" s="56"/>
      <c r="Z43" s="57"/>
      <c r="AA43" s="58"/>
      <c r="AB43" s="59"/>
    </row>
    <row r="44" ht="13.5" customHeight="1">
      <c r="A44" s="60" t="str">
        <f>IFERROR(__xludf.DUMMYFUNCTION("""COMPUTED_VALUE"""),"")</f>
        <v/>
      </c>
      <c r="B44" s="64" t="str">
        <f>IFERROR(__xludf.DUMMYFUNCTION("""COMPUTED_VALUE"""),"")</f>
        <v/>
      </c>
      <c r="C44" s="63" t="str">
        <f>IFERROR(__xludf.DUMMYFUNCTION("""COMPUTED_VALUE"""),"")</f>
        <v/>
      </c>
      <c r="D44" s="63" t="str">
        <f>IFERROR(__xludf.DUMMYFUNCTION("""COMPUTED_VALUE"""),"")</f>
        <v/>
      </c>
      <c r="E44" s="51" t="str">
        <f>IFERROR(__xludf.DUMMYFUNCTION("""COMPUTED_VALUE"""),"")</f>
        <v/>
      </c>
      <c r="F44" s="82" t="str">
        <f>IFERROR(__xludf.DUMMYFUNCTION("""COMPUTED_VALUE"""),"")</f>
        <v/>
      </c>
      <c r="G44" s="52" t="str">
        <f>IFERROR(__xludf.DUMMYFUNCTION("""COMPUTED_VALUE"""),"")</f>
        <v/>
      </c>
      <c r="H44" s="53" t="str">
        <f>IFERROR(__xludf.DUMMYFUNCTION("""COMPUTED_VALUE"""),"")</f>
        <v/>
      </c>
      <c r="I44" s="53" t="str">
        <f>IFERROR(__xludf.DUMMYFUNCTION("""COMPUTED_VALUE"""),"")</f>
        <v/>
      </c>
      <c r="J44" s="53" t="str">
        <f>IFERROR(__xludf.DUMMYFUNCTION("""COMPUTED_VALUE"""),"")</f>
        <v/>
      </c>
      <c r="K44" s="54" t="str">
        <f>IFERROR(__xludf.DUMMYFUNCTION("""COMPUTED_VALUE"""),"")</f>
        <v/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6"/>
      <c r="W44" s="56"/>
      <c r="X44" s="56"/>
      <c r="Y44" s="56"/>
      <c r="Z44" s="57"/>
      <c r="AA44" s="58"/>
      <c r="AB44" s="59"/>
    </row>
    <row r="45" ht="13.5" customHeight="1">
      <c r="A45" s="60" t="str">
        <f>IFERROR(__xludf.DUMMYFUNCTION("""COMPUTED_VALUE"""),"")</f>
        <v/>
      </c>
      <c r="B45" s="64" t="str">
        <f>IFERROR(__xludf.DUMMYFUNCTION("""COMPUTED_VALUE"""),"")</f>
        <v/>
      </c>
      <c r="C45" s="63" t="str">
        <f>IFERROR(__xludf.DUMMYFUNCTION("""COMPUTED_VALUE"""),"")</f>
        <v/>
      </c>
      <c r="D45" s="63" t="str">
        <f>IFERROR(__xludf.DUMMYFUNCTION("""COMPUTED_VALUE"""),"")</f>
        <v/>
      </c>
      <c r="E45" s="51" t="str">
        <f>IFERROR(__xludf.DUMMYFUNCTION("""COMPUTED_VALUE"""),"")</f>
        <v/>
      </c>
      <c r="F45" s="82" t="str">
        <f>IFERROR(__xludf.DUMMYFUNCTION("""COMPUTED_VALUE"""),"")</f>
        <v/>
      </c>
      <c r="G45" s="52" t="str">
        <f>IFERROR(__xludf.DUMMYFUNCTION("""COMPUTED_VALUE"""),"")</f>
        <v/>
      </c>
      <c r="H45" s="53" t="str">
        <f>IFERROR(__xludf.DUMMYFUNCTION("""COMPUTED_VALUE"""),"")</f>
        <v/>
      </c>
      <c r="I45" s="53" t="str">
        <f>IFERROR(__xludf.DUMMYFUNCTION("""COMPUTED_VALUE"""),"")</f>
        <v/>
      </c>
      <c r="J45" s="53" t="str">
        <f>IFERROR(__xludf.DUMMYFUNCTION("""COMPUTED_VALUE"""),"")</f>
        <v/>
      </c>
      <c r="K45" s="54" t="str">
        <f>IFERROR(__xludf.DUMMYFUNCTION("""COMPUTED_VALUE"""),"")</f>
        <v/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6"/>
      <c r="W45" s="56"/>
      <c r="X45" s="56"/>
      <c r="Y45" s="56"/>
      <c r="Z45" s="57"/>
      <c r="AA45" s="58"/>
      <c r="AB45" s="59"/>
    </row>
    <row r="46" ht="13.5" customHeight="1">
      <c r="A46" s="60" t="str">
        <f>IFERROR(__xludf.DUMMYFUNCTION("""COMPUTED_VALUE"""),"")</f>
        <v/>
      </c>
      <c r="B46" s="64" t="str">
        <f>IFERROR(__xludf.DUMMYFUNCTION("""COMPUTED_VALUE"""),"")</f>
        <v/>
      </c>
      <c r="C46" s="63" t="str">
        <f>IFERROR(__xludf.DUMMYFUNCTION("""COMPUTED_VALUE"""),"")</f>
        <v/>
      </c>
      <c r="D46" s="63" t="str">
        <f>IFERROR(__xludf.DUMMYFUNCTION("""COMPUTED_VALUE"""),"")</f>
        <v/>
      </c>
      <c r="E46" s="51" t="str">
        <f>IFERROR(__xludf.DUMMYFUNCTION("""COMPUTED_VALUE"""),"")</f>
        <v/>
      </c>
      <c r="F46" s="82" t="str">
        <f>IFERROR(__xludf.DUMMYFUNCTION("""COMPUTED_VALUE"""),"")</f>
        <v/>
      </c>
      <c r="G46" s="52" t="str">
        <f>IFERROR(__xludf.DUMMYFUNCTION("""COMPUTED_VALUE"""),"")</f>
        <v/>
      </c>
      <c r="H46" s="53" t="str">
        <f>IFERROR(__xludf.DUMMYFUNCTION("""COMPUTED_VALUE"""),"")</f>
        <v/>
      </c>
      <c r="I46" s="53" t="str">
        <f>IFERROR(__xludf.DUMMYFUNCTION("""COMPUTED_VALUE"""),"")</f>
        <v/>
      </c>
      <c r="J46" s="53" t="str">
        <f>IFERROR(__xludf.DUMMYFUNCTION("""COMPUTED_VALUE"""),"")</f>
        <v/>
      </c>
      <c r="K46" s="54" t="str">
        <f>IFERROR(__xludf.DUMMYFUNCTION("""COMPUTED_VALUE"""),"")</f>
        <v/>
      </c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6"/>
      <c r="W46" s="56"/>
      <c r="X46" s="56"/>
      <c r="Y46" s="56"/>
      <c r="Z46" s="57"/>
      <c r="AA46" s="58"/>
      <c r="AB46" s="59"/>
    </row>
    <row r="47" ht="13.5" customHeight="1">
      <c r="A47" s="60" t="str">
        <f>IFERROR(__xludf.DUMMYFUNCTION("""COMPUTED_VALUE"""),"")</f>
        <v/>
      </c>
      <c r="B47" s="64" t="str">
        <f>IFERROR(__xludf.DUMMYFUNCTION("""COMPUTED_VALUE"""),"")</f>
        <v/>
      </c>
      <c r="C47" s="63" t="str">
        <f>IFERROR(__xludf.DUMMYFUNCTION("""COMPUTED_VALUE"""),"")</f>
        <v/>
      </c>
      <c r="D47" s="63" t="str">
        <f>IFERROR(__xludf.DUMMYFUNCTION("""COMPUTED_VALUE"""),"")</f>
        <v/>
      </c>
      <c r="E47" s="51" t="str">
        <f>IFERROR(__xludf.DUMMYFUNCTION("""COMPUTED_VALUE"""),"")</f>
        <v/>
      </c>
      <c r="F47" s="82" t="str">
        <f>IFERROR(__xludf.DUMMYFUNCTION("""COMPUTED_VALUE"""),"")</f>
        <v/>
      </c>
      <c r="G47" s="52" t="str">
        <f>IFERROR(__xludf.DUMMYFUNCTION("""COMPUTED_VALUE"""),"")</f>
        <v/>
      </c>
      <c r="H47" s="53" t="str">
        <f>IFERROR(__xludf.DUMMYFUNCTION("""COMPUTED_VALUE"""),"")</f>
        <v/>
      </c>
      <c r="I47" s="53" t="str">
        <f>IFERROR(__xludf.DUMMYFUNCTION("""COMPUTED_VALUE"""),"")</f>
        <v/>
      </c>
      <c r="J47" s="53" t="str">
        <f>IFERROR(__xludf.DUMMYFUNCTION("""COMPUTED_VALUE"""),"")</f>
        <v/>
      </c>
      <c r="K47" s="54" t="str">
        <f>IFERROR(__xludf.DUMMYFUNCTION("""COMPUTED_VALUE"""),"")</f>
        <v/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6"/>
      <c r="W47" s="56"/>
      <c r="X47" s="56"/>
      <c r="Y47" s="56"/>
      <c r="Z47" s="57"/>
      <c r="AA47" s="58"/>
      <c r="AB47" s="59"/>
    </row>
    <row r="48" ht="13.5" customHeight="1">
      <c r="A48" s="60" t="str">
        <f>IFERROR(__xludf.DUMMYFUNCTION("""COMPUTED_VALUE"""),"")</f>
        <v/>
      </c>
      <c r="B48" s="64" t="str">
        <f>IFERROR(__xludf.DUMMYFUNCTION("""COMPUTED_VALUE"""),"")</f>
        <v/>
      </c>
      <c r="C48" s="63" t="str">
        <f>IFERROR(__xludf.DUMMYFUNCTION("""COMPUTED_VALUE"""),"")</f>
        <v/>
      </c>
      <c r="D48" s="63" t="str">
        <f>IFERROR(__xludf.DUMMYFUNCTION("""COMPUTED_VALUE"""),"")</f>
        <v/>
      </c>
      <c r="E48" s="51" t="str">
        <f>IFERROR(__xludf.DUMMYFUNCTION("""COMPUTED_VALUE"""),"")</f>
        <v/>
      </c>
      <c r="F48" s="82" t="str">
        <f>IFERROR(__xludf.DUMMYFUNCTION("""COMPUTED_VALUE"""),"")</f>
        <v/>
      </c>
      <c r="G48" s="52" t="str">
        <f>IFERROR(__xludf.DUMMYFUNCTION("""COMPUTED_VALUE"""),"")</f>
        <v/>
      </c>
      <c r="H48" s="53" t="str">
        <f>IFERROR(__xludf.DUMMYFUNCTION("""COMPUTED_VALUE"""),"")</f>
        <v/>
      </c>
      <c r="I48" s="53" t="str">
        <f>IFERROR(__xludf.DUMMYFUNCTION("""COMPUTED_VALUE"""),"")</f>
        <v/>
      </c>
      <c r="J48" s="53" t="str">
        <f>IFERROR(__xludf.DUMMYFUNCTION("""COMPUTED_VALUE"""),"")</f>
        <v/>
      </c>
      <c r="K48" s="54" t="str">
        <f>IFERROR(__xludf.DUMMYFUNCTION("""COMPUTED_VALUE"""),"")</f>
        <v/>
      </c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6"/>
      <c r="W48" s="56"/>
      <c r="X48" s="56"/>
      <c r="Y48" s="56"/>
      <c r="Z48" s="57"/>
      <c r="AA48" s="58"/>
      <c r="AB48" s="59"/>
    </row>
    <row r="49" ht="13.5" customHeight="1">
      <c r="A49" s="60" t="str">
        <f>IFERROR(__xludf.DUMMYFUNCTION("""COMPUTED_VALUE"""),"")</f>
        <v/>
      </c>
      <c r="B49" s="64" t="str">
        <f>IFERROR(__xludf.DUMMYFUNCTION("""COMPUTED_VALUE"""),"")</f>
        <v/>
      </c>
      <c r="C49" s="63" t="str">
        <f>IFERROR(__xludf.DUMMYFUNCTION("""COMPUTED_VALUE"""),"")</f>
        <v/>
      </c>
      <c r="D49" s="63" t="str">
        <f>IFERROR(__xludf.DUMMYFUNCTION("""COMPUTED_VALUE"""),"")</f>
        <v/>
      </c>
      <c r="E49" s="51" t="str">
        <f>IFERROR(__xludf.DUMMYFUNCTION("""COMPUTED_VALUE"""),"")</f>
        <v/>
      </c>
      <c r="F49" s="82" t="str">
        <f>IFERROR(__xludf.DUMMYFUNCTION("""COMPUTED_VALUE"""),"")</f>
        <v/>
      </c>
      <c r="G49" s="52" t="str">
        <f>IFERROR(__xludf.DUMMYFUNCTION("""COMPUTED_VALUE"""),"")</f>
        <v/>
      </c>
      <c r="H49" s="53" t="str">
        <f>IFERROR(__xludf.DUMMYFUNCTION("""COMPUTED_VALUE"""),"")</f>
        <v/>
      </c>
      <c r="I49" s="53" t="str">
        <f>IFERROR(__xludf.DUMMYFUNCTION("""COMPUTED_VALUE"""),"")</f>
        <v/>
      </c>
      <c r="J49" s="53" t="str">
        <f>IFERROR(__xludf.DUMMYFUNCTION("""COMPUTED_VALUE"""),"")</f>
        <v/>
      </c>
      <c r="K49" s="54" t="str">
        <f>IFERROR(__xludf.DUMMYFUNCTION("""COMPUTED_VALUE"""),"")</f>
        <v/>
      </c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6"/>
      <c r="W49" s="56"/>
      <c r="X49" s="56"/>
      <c r="Y49" s="56"/>
      <c r="Z49" s="57"/>
      <c r="AA49" s="58"/>
      <c r="AB49" s="59"/>
    </row>
    <row r="50" ht="13.5" customHeight="1">
      <c r="A50" s="60" t="str">
        <f>IFERROR(__xludf.DUMMYFUNCTION("""COMPUTED_VALUE"""),"")</f>
        <v/>
      </c>
      <c r="B50" s="64" t="str">
        <f>IFERROR(__xludf.DUMMYFUNCTION("""COMPUTED_VALUE"""),"")</f>
        <v/>
      </c>
      <c r="C50" s="63" t="str">
        <f>IFERROR(__xludf.DUMMYFUNCTION("""COMPUTED_VALUE"""),"")</f>
        <v/>
      </c>
      <c r="D50" s="63" t="str">
        <f>IFERROR(__xludf.DUMMYFUNCTION("""COMPUTED_VALUE"""),"")</f>
        <v/>
      </c>
      <c r="E50" s="51" t="str">
        <f>IFERROR(__xludf.DUMMYFUNCTION("""COMPUTED_VALUE"""),"")</f>
        <v/>
      </c>
      <c r="F50" s="82" t="str">
        <f>IFERROR(__xludf.DUMMYFUNCTION("""COMPUTED_VALUE"""),"")</f>
        <v/>
      </c>
      <c r="G50" s="52" t="str">
        <f>IFERROR(__xludf.DUMMYFUNCTION("""COMPUTED_VALUE"""),"")</f>
        <v/>
      </c>
      <c r="H50" s="53" t="str">
        <f>IFERROR(__xludf.DUMMYFUNCTION("""COMPUTED_VALUE"""),"")</f>
        <v/>
      </c>
      <c r="I50" s="53" t="str">
        <f>IFERROR(__xludf.DUMMYFUNCTION("""COMPUTED_VALUE"""),"")</f>
        <v/>
      </c>
      <c r="J50" s="53" t="str">
        <f>IFERROR(__xludf.DUMMYFUNCTION("""COMPUTED_VALUE"""),"")</f>
        <v/>
      </c>
      <c r="K50" s="54" t="str">
        <f>IFERROR(__xludf.DUMMYFUNCTION("""COMPUTED_VALUE"""),"")</f>
        <v/>
      </c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6"/>
      <c r="W50" s="56"/>
      <c r="X50" s="56"/>
      <c r="Y50" s="56"/>
      <c r="Z50" s="57"/>
      <c r="AA50" s="58"/>
      <c r="AB50" s="59"/>
    </row>
    <row r="51" ht="13.5" customHeight="1">
      <c r="A51" s="60" t="str">
        <f>IFERROR(__xludf.DUMMYFUNCTION("""COMPUTED_VALUE"""),"")</f>
        <v/>
      </c>
      <c r="B51" s="64" t="str">
        <f>IFERROR(__xludf.DUMMYFUNCTION("""COMPUTED_VALUE"""),"")</f>
        <v/>
      </c>
      <c r="C51" s="63" t="str">
        <f>IFERROR(__xludf.DUMMYFUNCTION("""COMPUTED_VALUE"""),"")</f>
        <v/>
      </c>
      <c r="D51" s="63" t="str">
        <f>IFERROR(__xludf.DUMMYFUNCTION("""COMPUTED_VALUE"""),"")</f>
        <v/>
      </c>
      <c r="E51" s="51" t="str">
        <f>IFERROR(__xludf.DUMMYFUNCTION("""COMPUTED_VALUE"""),"")</f>
        <v/>
      </c>
      <c r="F51" s="82" t="str">
        <f>IFERROR(__xludf.DUMMYFUNCTION("""COMPUTED_VALUE"""),"")</f>
        <v/>
      </c>
      <c r="G51" s="52" t="str">
        <f>IFERROR(__xludf.DUMMYFUNCTION("""COMPUTED_VALUE"""),"")</f>
        <v/>
      </c>
      <c r="H51" s="53" t="str">
        <f>IFERROR(__xludf.DUMMYFUNCTION("""COMPUTED_VALUE"""),"")</f>
        <v/>
      </c>
      <c r="I51" s="53" t="str">
        <f>IFERROR(__xludf.DUMMYFUNCTION("""COMPUTED_VALUE"""),"")</f>
        <v/>
      </c>
      <c r="J51" s="53" t="str">
        <f>IFERROR(__xludf.DUMMYFUNCTION("""COMPUTED_VALUE"""),"")</f>
        <v/>
      </c>
      <c r="K51" s="54" t="str">
        <f>IFERROR(__xludf.DUMMYFUNCTION("""COMPUTED_VALUE"""),"")</f>
        <v/>
      </c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6"/>
      <c r="W51" s="56"/>
      <c r="X51" s="56"/>
      <c r="Y51" s="56"/>
      <c r="Z51" s="57"/>
      <c r="AA51" s="58"/>
      <c r="AB51" s="59"/>
    </row>
    <row r="52" ht="13.5" customHeight="1">
      <c r="A52" s="60" t="str">
        <f>IFERROR(__xludf.DUMMYFUNCTION("""COMPUTED_VALUE"""),"")</f>
        <v/>
      </c>
      <c r="B52" s="64" t="str">
        <f>IFERROR(__xludf.DUMMYFUNCTION("""COMPUTED_VALUE"""),"")</f>
        <v/>
      </c>
      <c r="C52" s="63" t="str">
        <f>IFERROR(__xludf.DUMMYFUNCTION("""COMPUTED_VALUE"""),"")</f>
        <v/>
      </c>
      <c r="D52" s="63" t="str">
        <f>IFERROR(__xludf.DUMMYFUNCTION("""COMPUTED_VALUE"""),"")</f>
        <v/>
      </c>
      <c r="E52" s="51" t="str">
        <f>IFERROR(__xludf.DUMMYFUNCTION("""COMPUTED_VALUE"""),"")</f>
        <v/>
      </c>
      <c r="F52" s="82" t="str">
        <f>IFERROR(__xludf.DUMMYFUNCTION("""COMPUTED_VALUE"""),"")</f>
        <v/>
      </c>
      <c r="G52" s="52" t="str">
        <f>IFERROR(__xludf.DUMMYFUNCTION("""COMPUTED_VALUE"""),"")</f>
        <v/>
      </c>
      <c r="H52" s="53" t="str">
        <f>IFERROR(__xludf.DUMMYFUNCTION("""COMPUTED_VALUE"""),"")</f>
        <v/>
      </c>
      <c r="I52" s="53" t="str">
        <f>IFERROR(__xludf.DUMMYFUNCTION("""COMPUTED_VALUE"""),"")</f>
        <v/>
      </c>
      <c r="J52" s="53" t="str">
        <f>IFERROR(__xludf.DUMMYFUNCTION("""COMPUTED_VALUE"""),"")</f>
        <v/>
      </c>
      <c r="K52" s="54" t="str">
        <f>IFERROR(__xludf.DUMMYFUNCTION("""COMPUTED_VALUE"""),"")</f>
        <v/>
      </c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6"/>
      <c r="W52" s="56"/>
      <c r="X52" s="56"/>
      <c r="Y52" s="56"/>
      <c r="Z52" s="57"/>
      <c r="AA52" s="58"/>
      <c r="AB52" s="59"/>
    </row>
    <row r="53" ht="13.5" customHeight="1">
      <c r="A53" s="60" t="str">
        <f>IFERROR(__xludf.DUMMYFUNCTION("""COMPUTED_VALUE"""),"")</f>
        <v/>
      </c>
      <c r="B53" s="64" t="str">
        <f>IFERROR(__xludf.DUMMYFUNCTION("""COMPUTED_VALUE"""),"")</f>
        <v/>
      </c>
      <c r="C53" s="63" t="str">
        <f>IFERROR(__xludf.DUMMYFUNCTION("""COMPUTED_VALUE"""),"")</f>
        <v/>
      </c>
      <c r="D53" s="63" t="str">
        <f>IFERROR(__xludf.DUMMYFUNCTION("""COMPUTED_VALUE"""),"")</f>
        <v/>
      </c>
      <c r="E53" s="51" t="str">
        <f>IFERROR(__xludf.DUMMYFUNCTION("""COMPUTED_VALUE"""),"")</f>
        <v/>
      </c>
      <c r="F53" s="82" t="str">
        <f>IFERROR(__xludf.DUMMYFUNCTION("""COMPUTED_VALUE"""),"")</f>
        <v/>
      </c>
      <c r="G53" s="52" t="str">
        <f>IFERROR(__xludf.DUMMYFUNCTION("""COMPUTED_VALUE"""),"")</f>
        <v/>
      </c>
      <c r="H53" s="53" t="str">
        <f>IFERROR(__xludf.DUMMYFUNCTION("""COMPUTED_VALUE"""),"")</f>
        <v/>
      </c>
      <c r="I53" s="53" t="str">
        <f>IFERROR(__xludf.DUMMYFUNCTION("""COMPUTED_VALUE"""),"")</f>
        <v/>
      </c>
      <c r="J53" s="53" t="str">
        <f>IFERROR(__xludf.DUMMYFUNCTION("""COMPUTED_VALUE"""),"")</f>
        <v/>
      </c>
      <c r="K53" s="54" t="str">
        <f>IFERROR(__xludf.DUMMYFUNCTION("""COMPUTED_VALUE"""),"")</f>
        <v/>
      </c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6"/>
      <c r="W53" s="56"/>
      <c r="X53" s="56"/>
      <c r="Y53" s="56"/>
      <c r="Z53" s="57"/>
      <c r="AA53" s="58"/>
      <c r="AB53" s="59"/>
    </row>
    <row r="54" ht="13.5" customHeight="1">
      <c r="A54" s="60" t="str">
        <f>IFERROR(__xludf.DUMMYFUNCTION("""COMPUTED_VALUE"""),"")</f>
        <v/>
      </c>
      <c r="B54" s="64" t="str">
        <f>IFERROR(__xludf.DUMMYFUNCTION("""COMPUTED_VALUE"""),"")</f>
        <v/>
      </c>
      <c r="C54" s="63" t="str">
        <f>IFERROR(__xludf.DUMMYFUNCTION("""COMPUTED_VALUE"""),"")</f>
        <v/>
      </c>
      <c r="D54" s="63" t="str">
        <f>IFERROR(__xludf.DUMMYFUNCTION("""COMPUTED_VALUE"""),"")</f>
        <v/>
      </c>
      <c r="E54" s="51" t="str">
        <f>IFERROR(__xludf.DUMMYFUNCTION("""COMPUTED_VALUE"""),"")</f>
        <v/>
      </c>
      <c r="F54" s="82" t="str">
        <f>IFERROR(__xludf.DUMMYFUNCTION("""COMPUTED_VALUE"""),"")</f>
        <v/>
      </c>
      <c r="G54" s="52" t="str">
        <f>IFERROR(__xludf.DUMMYFUNCTION("""COMPUTED_VALUE"""),"")</f>
        <v/>
      </c>
      <c r="H54" s="53" t="str">
        <f>IFERROR(__xludf.DUMMYFUNCTION("""COMPUTED_VALUE"""),"")</f>
        <v/>
      </c>
      <c r="I54" s="53" t="str">
        <f>IFERROR(__xludf.DUMMYFUNCTION("""COMPUTED_VALUE"""),"")</f>
        <v/>
      </c>
      <c r="J54" s="53" t="str">
        <f>IFERROR(__xludf.DUMMYFUNCTION("""COMPUTED_VALUE"""),"")</f>
        <v/>
      </c>
      <c r="K54" s="54" t="str">
        <f>IFERROR(__xludf.DUMMYFUNCTION("""COMPUTED_VALUE"""),"")</f>
        <v/>
      </c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6"/>
      <c r="W54" s="56"/>
      <c r="X54" s="56"/>
      <c r="Y54" s="56"/>
      <c r="Z54" s="57"/>
      <c r="AA54" s="58"/>
      <c r="AB54" s="59"/>
    </row>
    <row r="55" ht="13.5" customHeight="1">
      <c r="A55" s="60" t="str">
        <f>IFERROR(__xludf.DUMMYFUNCTION("""COMPUTED_VALUE"""),"")</f>
        <v/>
      </c>
      <c r="B55" s="64" t="str">
        <f>IFERROR(__xludf.DUMMYFUNCTION("""COMPUTED_VALUE"""),"")</f>
        <v/>
      </c>
      <c r="C55" s="63" t="str">
        <f>IFERROR(__xludf.DUMMYFUNCTION("""COMPUTED_VALUE"""),"")</f>
        <v/>
      </c>
      <c r="D55" s="63" t="str">
        <f>IFERROR(__xludf.DUMMYFUNCTION("""COMPUTED_VALUE"""),"")</f>
        <v/>
      </c>
      <c r="E55" s="51" t="str">
        <f>IFERROR(__xludf.DUMMYFUNCTION("""COMPUTED_VALUE"""),"")</f>
        <v/>
      </c>
      <c r="F55" s="82" t="str">
        <f>IFERROR(__xludf.DUMMYFUNCTION("""COMPUTED_VALUE"""),"")</f>
        <v/>
      </c>
      <c r="G55" s="52" t="str">
        <f>IFERROR(__xludf.DUMMYFUNCTION("""COMPUTED_VALUE"""),"")</f>
        <v/>
      </c>
      <c r="H55" s="53" t="str">
        <f>IFERROR(__xludf.DUMMYFUNCTION("""COMPUTED_VALUE"""),"")</f>
        <v/>
      </c>
      <c r="I55" s="53" t="str">
        <f>IFERROR(__xludf.DUMMYFUNCTION("""COMPUTED_VALUE"""),"")</f>
        <v/>
      </c>
      <c r="J55" s="53" t="str">
        <f>IFERROR(__xludf.DUMMYFUNCTION("""COMPUTED_VALUE"""),"")</f>
        <v/>
      </c>
      <c r="K55" s="54" t="str">
        <f>IFERROR(__xludf.DUMMYFUNCTION("""COMPUTED_VALUE"""),"")</f>
        <v/>
      </c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6"/>
      <c r="W55" s="56"/>
      <c r="X55" s="56"/>
      <c r="Y55" s="56"/>
      <c r="Z55" s="57"/>
      <c r="AA55" s="58"/>
      <c r="AB55" s="59"/>
    </row>
    <row r="56" ht="13.5" customHeight="1">
      <c r="A56" s="60" t="str">
        <f>IFERROR(__xludf.DUMMYFUNCTION("""COMPUTED_VALUE"""),"")</f>
        <v/>
      </c>
      <c r="B56" s="64" t="str">
        <f>IFERROR(__xludf.DUMMYFUNCTION("""COMPUTED_VALUE"""),"")</f>
        <v/>
      </c>
      <c r="C56" s="63" t="str">
        <f>IFERROR(__xludf.DUMMYFUNCTION("""COMPUTED_VALUE"""),"")</f>
        <v/>
      </c>
      <c r="D56" s="63" t="str">
        <f>IFERROR(__xludf.DUMMYFUNCTION("""COMPUTED_VALUE"""),"")</f>
        <v/>
      </c>
      <c r="E56" s="51" t="str">
        <f>IFERROR(__xludf.DUMMYFUNCTION("""COMPUTED_VALUE"""),"")</f>
        <v/>
      </c>
      <c r="F56" s="82" t="str">
        <f>IFERROR(__xludf.DUMMYFUNCTION("""COMPUTED_VALUE"""),"")</f>
        <v/>
      </c>
      <c r="G56" s="52" t="str">
        <f>IFERROR(__xludf.DUMMYFUNCTION("""COMPUTED_VALUE"""),"")</f>
        <v/>
      </c>
      <c r="H56" s="53" t="str">
        <f>IFERROR(__xludf.DUMMYFUNCTION("""COMPUTED_VALUE"""),"")</f>
        <v/>
      </c>
      <c r="I56" s="53" t="str">
        <f>IFERROR(__xludf.DUMMYFUNCTION("""COMPUTED_VALUE"""),"")</f>
        <v/>
      </c>
      <c r="J56" s="53" t="str">
        <f>IFERROR(__xludf.DUMMYFUNCTION("""COMPUTED_VALUE"""),"")</f>
        <v/>
      </c>
      <c r="K56" s="54" t="str">
        <f>IFERROR(__xludf.DUMMYFUNCTION("""COMPUTED_VALUE"""),"")</f>
        <v/>
      </c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6"/>
      <c r="W56" s="56"/>
      <c r="X56" s="56"/>
      <c r="Y56" s="56"/>
      <c r="Z56" s="57"/>
      <c r="AA56" s="58"/>
      <c r="AB56" s="59"/>
    </row>
    <row r="57" ht="13.5" customHeight="1">
      <c r="A57" s="60" t="str">
        <f>IFERROR(__xludf.DUMMYFUNCTION("""COMPUTED_VALUE"""),"")</f>
        <v/>
      </c>
      <c r="B57" s="64" t="str">
        <f>IFERROR(__xludf.DUMMYFUNCTION("""COMPUTED_VALUE"""),"")</f>
        <v/>
      </c>
      <c r="C57" s="63" t="str">
        <f>IFERROR(__xludf.DUMMYFUNCTION("""COMPUTED_VALUE"""),"")</f>
        <v/>
      </c>
      <c r="D57" s="63" t="str">
        <f>IFERROR(__xludf.DUMMYFUNCTION("""COMPUTED_VALUE"""),"")</f>
        <v/>
      </c>
      <c r="E57" s="51" t="str">
        <f>IFERROR(__xludf.DUMMYFUNCTION("""COMPUTED_VALUE"""),"")</f>
        <v/>
      </c>
      <c r="F57" s="82" t="str">
        <f>IFERROR(__xludf.DUMMYFUNCTION("""COMPUTED_VALUE"""),"")</f>
        <v/>
      </c>
      <c r="G57" s="52" t="str">
        <f>IFERROR(__xludf.DUMMYFUNCTION("""COMPUTED_VALUE"""),"")</f>
        <v/>
      </c>
      <c r="H57" s="53" t="str">
        <f>IFERROR(__xludf.DUMMYFUNCTION("""COMPUTED_VALUE"""),"")</f>
        <v/>
      </c>
      <c r="I57" s="53" t="str">
        <f>IFERROR(__xludf.DUMMYFUNCTION("""COMPUTED_VALUE"""),"")</f>
        <v/>
      </c>
      <c r="J57" s="53" t="str">
        <f>IFERROR(__xludf.DUMMYFUNCTION("""COMPUTED_VALUE"""),"")</f>
        <v/>
      </c>
      <c r="K57" s="54" t="str">
        <f>IFERROR(__xludf.DUMMYFUNCTION("""COMPUTED_VALUE"""),"")</f>
        <v/>
      </c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6"/>
      <c r="W57" s="56"/>
      <c r="X57" s="56"/>
      <c r="Y57" s="56"/>
      <c r="Z57" s="57"/>
      <c r="AA57" s="58"/>
      <c r="AB57" s="59"/>
    </row>
    <row r="58" ht="13.5" customHeight="1">
      <c r="A58" s="60" t="str">
        <f>IFERROR(__xludf.DUMMYFUNCTION("""COMPUTED_VALUE"""),"")</f>
        <v/>
      </c>
      <c r="B58" s="64" t="str">
        <f>IFERROR(__xludf.DUMMYFUNCTION("""COMPUTED_VALUE"""),"")</f>
        <v/>
      </c>
      <c r="C58" s="63" t="str">
        <f>IFERROR(__xludf.DUMMYFUNCTION("""COMPUTED_VALUE"""),"")</f>
        <v/>
      </c>
      <c r="D58" s="63" t="str">
        <f>IFERROR(__xludf.DUMMYFUNCTION("""COMPUTED_VALUE"""),"")</f>
        <v/>
      </c>
      <c r="E58" s="51" t="str">
        <f>IFERROR(__xludf.DUMMYFUNCTION("""COMPUTED_VALUE"""),"")</f>
        <v/>
      </c>
      <c r="F58" s="82" t="str">
        <f>IFERROR(__xludf.DUMMYFUNCTION("""COMPUTED_VALUE"""),"")</f>
        <v/>
      </c>
      <c r="G58" s="52" t="str">
        <f>IFERROR(__xludf.DUMMYFUNCTION("""COMPUTED_VALUE"""),"")</f>
        <v/>
      </c>
      <c r="H58" s="53" t="str">
        <f>IFERROR(__xludf.DUMMYFUNCTION("""COMPUTED_VALUE"""),"")</f>
        <v/>
      </c>
      <c r="I58" s="53" t="str">
        <f>IFERROR(__xludf.DUMMYFUNCTION("""COMPUTED_VALUE"""),"")</f>
        <v/>
      </c>
      <c r="J58" s="53" t="str">
        <f>IFERROR(__xludf.DUMMYFUNCTION("""COMPUTED_VALUE"""),"")</f>
        <v/>
      </c>
      <c r="K58" s="54" t="str">
        <f>IFERROR(__xludf.DUMMYFUNCTION("""COMPUTED_VALUE"""),"")</f>
        <v/>
      </c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6"/>
      <c r="W58" s="56"/>
      <c r="X58" s="56"/>
      <c r="Y58" s="56"/>
      <c r="Z58" s="57"/>
      <c r="AA58" s="58"/>
      <c r="AB58" s="59"/>
    </row>
    <row r="59" ht="13.5" customHeight="1">
      <c r="A59" s="60" t="str">
        <f>IFERROR(__xludf.DUMMYFUNCTION("""COMPUTED_VALUE"""),"")</f>
        <v/>
      </c>
      <c r="B59" s="64" t="str">
        <f>IFERROR(__xludf.DUMMYFUNCTION("""COMPUTED_VALUE"""),"")</f>
        <v/>
      </c>
      <c r="C59" s="63" t="str">
        <f>IFERROR(__xludf.DUMMYFUNCTION("""COMPUTED_VALUE"""),"")</f>
        <v/>
      </c>
      <c r="D59" s="63" t="str">
        <f>IFERROR(__xludf.DUMMYFUNCTION("""COMPUTED_VALUE"""),"")</f>
        <v/>
      </c>
      <c r="E59" s="51" t="str">
        <f>IFERROR(__xludf.DUMMYFUNCTION("""COMPUTED_VALUE"""),"")</f>
        <v/>
      </c>
      <c r="F59" s="82" t="str">
        <f>IFERROR(__xludf.DUMMYFUNCTION("""COMPUTED_VALUE"""),"")</f>
        <v/>
      </c>
      <c r="G59" s="52" t="str">
        <f>IFERROR(__xludf.DUMMYFUNCTION("""COMPUTED_VALUE"""),"")</f>
        <v/>
      </c>
      <c r="H59" s="53" t="str">
        <f>IFERROR(__xludf.DUMMYFUNCTION("""COMPUTED_VALUE"""),"")</f>
        <v/>
      </c>
      <c r="I59" s="53" t="str">
        <f>IFERROR(__xludf.DUMMYFUNCTION("""COMPUTED_VALUE"""),"")</f>
        <v/>
      </c>
      <c r="J59" s="53" t="str">
        <f>IFERROR(__xludf.DUMMYFUNCTION("""COMPUTED_VALUE"""),"")</f>
        <v/>
      </c>
      <c r="K59" s="54" t="str">
        <f>IFERROR(__xludf.DUMMYFUNCTION("""COMPUTED_VALUE"""),"")</f>
        <v/>
      </c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6"/>
      <c r="W59" s="56"/>
      <c r="X59" s="56"/>
      <c r="Y59" s="56"/>
      <c r="Z59" s="57"/>
      <c r="AA59" s="58"/>
      <c r="AB59" s="59"/>
    </row>
    <row r="60" ht="13.5" customHeight="1">
      <c r="A60" s="60" t="str">
        <f>IFERROR(__xludf.DUMMYFUNCTION("""COMPUTED_VALUE"""),"")</f>
        <v/>
      </c>
      <c r="B60" s="64" t="str">
        <f>IFERROR(__xludf.DUMMYFUNCTION("""COMPUTED_VALUE"""),"")</f>
        <v/>
      </c>
      <c r="C60" s="63" t="str">
        <f>IFERROR(__xludf.DUMMYFUNCTION("""COMPUTED_VALUE"""),"")</f>
        <v/>
      </c>
      <c r="D60" s="63" t="str">
        <f>IFERROR(__xludf.DUMMYFUNCTION("""COMPUTED_VALUE"""),"")</f>
        <v/>
      </c>
      <c r="E60" s="51" t="str">
        <f>IFERROR(__xludf.DUMMYFUNCTION("""COMPUTED_VALUE"""),"")</f>
        <v/>
      </c>
      <c r="F60" s="82" t="str">
        <f>IFERROR(__xludf.DUMMYFUNCTION("""COMPUTED_VALUE"""),"")</f>
        <v/>
      </c>
      <c r="G60" s="52" t="str">
        <f>IFERROR(__xludf.DUMMYFUNCTION("""COMPUTED_VALUE"""),"")</f>
        <v/>
      </c>
      <c r="H60" s="53" t="str">
        <f>IFERROR(__xludf.DUMMYFUNCTION("""COMPUTED_VALUE"""),"")</f>
        <v/>
      </c>
      <c r="I60" s="53" t="str">
        <f>IFERROR(__xludf.DUMMYFUNCTION("""COMPUTED_VALUE"""),"")</f>
        <v/>
      </c>
      <c r="J60" s="53" t="str">
        <f>IFERROR(__xludf.DUMMYFUNCTION("""COMPUTED_VALUE"""),"")</f>
        <v/>
      </c>
      <c r="K60" s="54" t="str">
        <f>IFERROR(__xludf.DUMMYFUNCTION("""COMPUTED_VALUE"""),"")</f>
        <v/>
      </c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6"/>
      <c r="W60" s="56"/>
      <c r="X60" s="56"/>
      <c r="Y60" s="56"/>
      <c r="Z60" s="57"/>
      <c r="AA60" s="58"/>
      <c r="AB60" s="59"/>
    </row>
    <row r="61" ht="13.5" customHeight="1">
      <c r="A61" s="60" t="str">
        <f>IFERROR(__xludf.DUMMYFUNCTION("""COMPUTED_VALUE"""),"")</f>
        <v/>
      </c>
      <c r="B61" s="64" t="str">
        <f>IFERROR(__xludf.DUMMYFUNCTION("""COMPUTED_VALUE"""),"")</f>
        <v/>
      </c>
      <c r="C61" s="63" t="str">
        <f>IFERROR(__xludf.DUMMYFUNCTION("""COMPUTED_VALUE"""),"")</f>
        <v/>
      </c>
      <c r="D61" s="63" t="str">
        <f>IFERROR(__xludf.DUMMYFUNCTION("""COMPUTED_VALUE"""),"")</f>
        <v/>
      </c>
      <c r="E61" s="51" t="str">
        <f>IFERROR(__xludf.DUMMYFUNCTION("""COMPUTED_VALUE"""),"")</f>
        <v/>
      </c>
      <c r="F61" s="82" t="str">
        <f>IFERROR(__xludf.DUMMYFUNCTION("""COMPUTED_VALUE"""),"")</f>
        <v/>
      </c>
      <c r="G61" s="52" t="str">
        <f>IFERROR(__xludf.DUMMYFUNCTION("""COMPUTED_VALUE"""),"")</f>
        <v/>
      </c>
      <c r="H61" s="53" t="str">
        <f>IFERROR(__xludf.DUMMYFUNCTION("""COMPUTED_VALUE"""),"")</f>
        <v/>
      </c>
      <c r="I61" s="53" t="str">
        <f>IFERROR(__xludf.DUMMYFUNCTION("""COMPUTED_VALUE"""),"")</f>
        <v/>
      </c>
      <c r="J61" s="53" t="str">
        <f>IFERROR(__xludf.DUMMYFUNCTION("""COMPUTED_VALUE"""),"")</f>
        <v/>
      </c>
      <c r="K61" s="54" t="str">
        <f>IFERROR(__xludf.DUMMYFUNCTION("""COMPUTED_VALUE"""),"")</f>
        <v/>
      </c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6"/>
      <c r="W61" s="56"/>
      <c r="X61" s="56"/>
      <c r="Y61" s="56"/>
      <c r="Z61" s="57"/>
      <c r="AA61" s="58"/>
      <c r="AB61" s="59"/>
    </row>
    <row r="62" ht="13.5" customHeight="1">
      <c r="A62" s="60" t="str">
        <f>IFERROR(__xludf.DUMMYFUNCTION("""COMPUTED_VALUE"""),"")</f>
        <v/>
      </c>
      <c r="B62" s="64" t="str">
        <f>IFERROR(__xludf.DUMMYFUNCTION("""COMPUTED_VALUE"""),"")</f>
        <v/>
      </c>
      <c r="C62" s="63" t="str">
        <f>IFERROR(__xludf.DUMMYFUNCTION("""COMPUTED_VALUE"""),"")</f>
        <v/>
      </c>
      <c r="D62" s="63" t="str">
        <f>IFERROR(__xludf.DUMMYFUNCTION("""COMPUTED_VALUE"""),"")</f>
        <v/>
      </c>
      <c r="E62" s="51" t="str">
        <f>IFERROR(__xludf.DUMMYFUNCTION("""COMPUTED_VALUE"""),"")</f>
        <v/>
      </c>
      <c r="F62" s="82" t="str">
        <f>IFERROR(__xludf.DUMMYFUNCTION("""COMPUTED_VALUE"""),"")</f>
        <v/>
      </c>
      <c r="G62" s="52" t="str">
        <f>IFERROR(__xludf.DUMMYFUNCTION("""COMPUTED_VALUE"""),"")</f>
        <v/>
      </c>
      <c r="H62" s="53" t="str">
        <f>IFERROR(__xludf.DUMMYFUNCTION("""COMPUTED_VALUE"""),"")</f>
        <v/>
      </c>
      <c r="I62" s="53" t="str">
        <f>IFERROR(__xludf.DUMMYFUNCTION("""COMPUTED_VALUE"""),"")</f>
        <v/>
      </c>
      <c r="J62" s="53" t="str">
        <f>IFERROR(__xludf.DUMMYFUNCTION("""COMPUTED_VALUE"""),"")</f>
        <v/>
      </c>
      <c r="K62" s="54" t="str">
        <f>IFERROR(__xludf.DUMMYFUNCTION("""COMPUTED_VALUE"""),"")</f>
        <v/>
      </c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6"/>
      <c r="W62" s="56"/>
      <c r="X62" s="56"/>
      <c r="Y62" s="56"/>
      <c r="Z62" s="57"/>
      <c r="AA62" s="58"/>
      <c r="AB62" s="59"/>
    </row>
    <row r="63" ht="13.5" customHeight="1">
      <c r="A63" s="60" t="str">
        <f>IFERROR(__xludf.DUMMYFUNCTION("""COMPUTED_VALUE"""),"")</f>
        <v/>
      </c>
      <c r="B63" s="64" t="str">
        <f>IFERROR(__xludf.DUMMYFUNCTION("""COMPUTED_VALUE"""),"")</f>
        <v/>
      </c>
      <c r="C63" s="63" t="str">
        <f>IFERROR(__xludf.DUMMYFUNCTION("""COMPUTED_VALUE"""),"")</f>
        <v/>
      </c>
      <c r="D63" s="63" t="str">
        <f>IFERROR(__xludf.DUMMYFUNCTION("""COMPUTED_VALUE"""),"")</f>
        <v/>
      </c>
      <c r="E63" s="51" t="str">
        <f>IFERROR(__xludf.DUMMYFUNCTION("""COMPUTED_VALUE"""),"")</f>
        <v/>
      </c>
      <c r="F63" s="82" t="str">
        <f>IFERROR(__xludf.DUMMYFUNCTION("""COMPUTED_VALUE"""),"")</f>
        <v/>
      </c>
      <c r="G63" s="52" t="str">
        <f>IFERROR(__xludf.DUMMYFUNCTION("""COMPUTED_VALUE"""),"")</f>
        <v/>
      </c>
      <c r="H63" s="53" t="str">
        <f>IFERROR(__xludf.DUMMYFUNCTION("""COMPUTED_VALUE"""),"")</f>
        <v/>
      </c>
      <c r="I63" s="53" t="str">
        <f>IFERROR(__xludf.DUMMYFUNCTION("""COMPUTED_VALUE"""),"")</f>
        <v/>
      </c>
      <c r="J63" s="53" t="str">
        <f>IFERROR(__xludf.DUMMYFUNCTION("""COMPUTED_VALUE"""),"")</f>
        <v/>
      </c>
      <c r="K63" s="54" t="str">
        <f>IFERROR(__xludf.DUMMYFUNCTION("""COMPUTED_VALUE"""),"")</f>
        <v/>
      </c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6"/>
      <c r="W63" s="56"/>
      <c r="X63" s="56"/>
      <c r="Y63" s="56"/>
      <c r="Z63" s="57"/>
      <c r="AA63" s="58"/>
      <c r="AB63" s="59"/>
    </row>
    <row r="64" ht="13.5" customHeight="1">
      <c r="A64" s="60" t="str">
        <f>IFERROR(__xludf.DUMMYFUNCTION("""COMPUTED_VALUE"""),"")</f>
        <v/>
      </c>
      <c r="B64" s="64" t="str">
        <f>IFERROR(__xludf.DUMMYFUNCTION("""COMPUTED_VALUE"""),"")</f>
        <v/>
      </c>
      <c r="C64" s="63" t="str">
        <f>IFERROR(__xludf.DUMMYFUNCTION("""COMPUTED_VALUE"""),"")</f>
        <v/>
      </c>
      <c r="D64" s="63" t="str">
        <f>IFERROR(__xludf.DUMMYFUNCTION("""COMPUTED_VALUE"""),"")</f>
        <v/>
      </c>
      <c r="E64" s="51" t="str">
        <f>IFERROR(__xludf.DUMMYFUNCTION("""COMPUTED_VALUE"""),"")</f>
        <v/>
      </c>
      <c r="F64" s="82" t="str">
        <f>IFERROR(__xludf.DUMMYFUNCTION("""COMPUTED_VALUE"""),"")</f>
        <v/>
      </c>
      <c r="G64" s="52" t="str">
        <f>IFERROR(__xludf.DUMMYFUNCTION("""COMPUTED_VALUE"""),"")</f>
        <v/>
      </c>
      <c r="H64" s="53" t="str">
        <f>IFERROR(__xludf.DUMMYFUNCTION("""COMPUTED_VALUE"""),"")</f>
        <v/>
      </c>
      <c r="I64" s="53" t="str">
        <f>IFERROR(__xludf.DUMMYFUNCTION("""COMPUTED_VALUE"""),"")</f>
        <v/>
      </c>
      <c r="J64" s="53" t="str">
        <f>IFERROR(__xludf.DUMMYFUNCTION("""COMPUTED_VALUE"""),"")</f>
        <v/>
      </c>
      <c r="K64" s="54" t="str">
        <f>IFERROR(__xludf.DUMMYFUNCTION("""COMPUTED_VALUE"""),"")</f>
        <v/>
      </c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6"/>
      <c r="W64" s="56"/>
      <c r="X64" s="56"/>
      <c r="Y64" s="56"/>
      <c r="Z64" s="57"/>
      <c r="AA64" s="58"/>
      <c r="AB64" s="59"/>
    </row>
    <row r="65" ht="13.5" customHeight="1">
      <c r="A65" s="60" t="str">
        <f>IFERROR(__xludf.DUMMYFUNCTION("""COMPUTED_VALUE"""),"")</f>
        <v/>
      </c>
      <c r="B65" s="64" t="str">
        <f>IFERROR(__xludf.DUMMYFUNCTION("""COMPUTED_VALUE"""),"")</f>
        <v/>
      </c>
      <c r="C65" s="63" t="str">
        <f>IFERROR(__xludf.DUMMYFUNCTION("""COMPUTED_VALUE"""),"")</f>
        <v/>
      </c>
      <c r="D65" s="63" t="str">
        <f>IFERROR(__xludf.DUMMYFUNCTION("""COMPUTED_VALUE"""),"")</f>
        <v/>
      </c>
      <c r="E65" s="51" t="str">
        <f>IFERROR(__xludf.DUMMYFUNCTION("""COMPUTED_VALUE"""),"")</f>
        <v/>
      </c>
      <c r="F65" s="82" t="str">
        <f>IFERROR(__xludf.DUMMYFUNCTION("""COMPUTED_VALUE"""),"")</f>
        <v/>
      </c>
      <c r="G65" s="52" t="str">
        <f>IFERROR(__xludf.DUMMYFUNCTION("""COMPUTED_VALUE"""),"")</f>
        <v/>
      </c>
      <c r="H65" s="53" t="str">
        <f>IFERROR(__xludf.DUMMYFUNCTION("""COMPUTED_VALUE"""),"")</f>
        <v/>
      </c>
      <c r="I65" s="53" t="str">
        <f>IFERROR(__xludf.DUMMYFUNCTION("""COMPUTED_VALUE"""),"")</f>
        <v/>
      </c>
      <c r="J65" s="53" t="str">
        <f>IFERROR(__xludf.DUMMYFUNCTION("""COMPUTED_VALUE"""),"")</f>
        <v/>
      </c>
      <c r="K65" s="54" t="str">
        <f>IFERROR(__xludf.DUMMYFUNCTION("""COMPUTED_VALUE"""),"")</f>
        <v/>
      </c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6"/>
      <c r="W65" s="56"/>
      <c r="X65" s="56"/>
      <c r="Y65" s="56"/>
      <c r="Z65" s="57"/>
      <c r="AA65" s="58"/>
      <c r="AB65" s="59"/>
    </row>
    <row r="66" ht="13.5" customHeight="1">
      <c r="A66" s="60" t="str">
        <f>IFERROR(__xludf.DUMMYFUNCTION("""COMPUTED_VALUE"""),"")</f>
        <v/>
      </c>
      <c r="B66" s="64" t="str">
        <f>IFERROR(__xludf.DUMMYFUNCTION("""COMPUTED_VALUE"""),"")</f>
        <v/>
      </c>
      <c r="C66" s="63" t="str">
        <f>IFERROR(__xludf.DUMMYFUNCTION("""COMPUTED_VALUE"""),"")</f>
        <v/>
      </c>
      <c r="D66" s="63" t="str">
        <f>IFERROR(__xludf.DUMMYFUNCTION("""COMPUTED_VALUE"""),"")</f>
        <v/>
      </c>
      <c r="E66" s="51" t="str">
        <f>IFERROR(__xludf.DUMMYFUNCTION("""COMPUTED_VALUE"""),"")</f>
        <v/>
      </c>
      <c r="F66" s="82" t="str">
        <f>IFERROR(__xludf.DUMMYFUNCTION("""COMPUTED_VALUE"""),"")</f>
        <v/>
      </c>
      <c r="G66" s="52" t="str">
        <f>IFERROR(__xludf.DUMMYFUNCTION("""COMPUTED_VALUE"""),"")</f>
        <v/>
      </c>
      <c r="H66" s="53" t="str">
        <f>IFERROR(__xludf.DUMMYFUNCTION("""COMPUTED_VALUE"""),"")</f>
        <v/>
      </c>
      <c r="I66" s="53" t="str">
        <f>IFERROR(__xludf.DUMMYFUNCTION("""COMPUTED_VALUE"""),"")</f>
        <v/>
      </c>
      <c r="J66" s="53" t="str">
        <f>IFERROR(__xludf.DUMMYFUNCTION("""COMPUTED_VALUE"""),"")</f>
        <v/>
      </c>
      <c r="K66" s="54" t="str">
        <f>IFERROR(__xludf.DUMMYFUNCTION("""COMPUTED_VALUE"""),"")</f>
        <v/>
      </c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6"/>
      <c r="W66" s="56"/>
      <c r="X66" s="56"/>
      <c r="Y66" s="56"/>
      <c r="Z66" s="57"/>
      <c r="AA66" s="58"/>
      <c r="AB66" s="59"/>
    </row>
    <row r="67" ht="13.5" customHeight="1">
      <c r="A67" s="60" t="str">
        <f>IFERROR(__xludf.DUMMYFUNCTION("""COMPUTED_VALUE"""),"")</f>
        <v/>
      </c>
      <c r="B67" s="64" t="str">
        <f>IFERROR(__xludf.DUMMYFUNCTION("""COMPUTED_VALUE"""),"")</f>
        <v/>
      </c>
      <c r="C67" s="63" t="str">
        <f>IFERROR(__xludf.DUMMYFUNCTION("""COMPUTED_VALUE"""),"")</f>
        <v/>
      </c>
      <c r="D67" s="63" t="str">
        <f>IFERROR(__xludf.DUMMYFUNCTION("""COMPUTED_VALUE"""),"")</f>
        <v/>
      </c>
      <c r="E67" s="51" t="str">
        <f>IFERROR(__xludf.DUMMYFUNCTION("""COMPUTED_VALUE"""),"")</f>
        <v/>
      </c>
      <c r="F67" s="82" t="str">
        <f>IFERROR(__xludf.DUMMYFUNCTION("""COMPUTED_VALUE"""),"")</f>
        <v/>
      </c>
      <c r="G67" s="52" t="str">
        <f>IFERROR(__xludf.DUMMYFUNCTION("""COMPUTED_VALUE"""),"")</f>
        <v/>
      </c>
      <c r="H67" s="53" t="str">
        <f>IFERROR(__xludf.DUMMYFUNCTION("""COMPUTED_VALUE"""),"")</f>
        <v/>
      </c>
      <c r="I67" s="53" t="str">
        <f>IFERROR(__xludf.DUMMYFUNCTION("""COMPUTED_VALUE"""),"")</f>
        <v/>
      </c>
      <c r="J67" s="53" t="str">
        <f>IFERROR(__xludf.DUMMYFUNCTION("""COMPUTED_VALUE"""),"")</f>
        <v/>
      </c>
      <c r="K67" s="54" t="str">
        <f>IFERROR(__xludf.DUMMYFUNCTION("""COMPUTED_VALUE"""),"")</f>
        <v/>
      </c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6"/>
      <c r="W67" s="56"/>
      <c r="X67" s="56"/>
      <c r="Y67" s="56"/>
      <c r="Z67" s="57"/>
      <c r="AA67" s="58"/>
      <c r="AB67" s="59"/>
    </row>
    <row r="68" ht="13.5" customHeight="1">
      <c r="A68" s="60" t="str">
        <f>IFERROR(__xludf.DUMMYFUNCTION("""COMPUTED_VALUE"""),"")</f>
        <v/>
      </c>
      <c r="B68" s="64" t="str">
        <f>IFERROR(__xludf.DUMMYFUNCTION("""COMPUTED_VALUE"""),"")</f>
        <v/>
      </c>
      <c r="C68" s="63" t="str">
        <f>IFERROR(__xludf.DUMMYFUNCTION("""COMPUTED_VALUE"""),"")</f>
        <v/>
      </c>
      <c r="D68" s="63" t="str">
        <f>IFERROR(__xludf.DUMMYFUNCTION("""COMPUTED_VALUE"""),"")</f>
        <v/>
      </c>
      <c r="E68" s="51" t="str">
        <f>IFERROR(__xludf.DUMMYFUNCTION("""COMPUTED_VALUE"""),"")</f>
        <v/>
      </c>
      <c r="F68" s="82" t="str">
        <f>IFERROR(__xludf.DUMMYFUNCTION("""COMPUTED_VALUE"""),"")</f>
        <v/>
      </c>
      <c r="G68" s="52" t="str">
        <f>IFERROR(__xludf.DUMMYFUNCTION("""COMPUTED_VALUE"""),"")</f>
        <v/>
      </c>
      <c r="H68" s="53" t="str">
        <f>IFERROR(__xludf.DUMMYFUNCTION("""COMPUTED_VALUE"""),"")</f>
        <v/>
      </c>
      <c r="I68" s="53" t="str">
        <f>IFERROR(__xludf.DUMMYFUNCTION("""COMPUTED_VALUE"""),"")</f>
        <v/>
      </c>
      <c r="J68" s="53" t="str">
        <f>IFERROR(__xludf.DUMMYFUNCTION("""COMPUTED_VALUE"""),"")</f>
        <v/>
      </c>
      <c r="K68" s="54" t="str">
        <f>IFERROR(__xludf.DUMMYFUNCTION("""COMPUTED_VALUE"""),"")</f>
        <v/>
      </c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6"/>
      <c r="W68" s="56"/>
      <c r="X68" s="56"/>
      <c r="Y68" s="56"/>
      <c r="Z68" s="57"/>
      <c r="AA68" s="58"/>
      <c r="AB68" s="59"/>
    </row>
    <row r="69" ht="13.5" customHeight="1">
      <c r="A69" s="60" t="str">
        <f>IFERROR(__xludf.DUMMYFUNCTION("""COMPUTED_VALUE"""),"")</f>
        <v/>
      </c>
      <c r="B69" s="64" t="str">
        <f>IFERROR(__xludf.DUMMYFUNCTION("""COMPUTED_VALUE"""),"")</f>
        <v/>
      </c>
      <c r="C69" s="63" t="str">
        <f>IFERROR(__xludf.DUMMYFUNCTION("""COMPUTED_VALUE"""),"")</f>
        <v/>
      </c>
      <c r="D69" s="63" t="str">
        <f>IFERROR(__xludf.DUMMYFUNCTION("""COMPUTED_VALUE"""),"")</f>
        <v/>
      </c>
      <c r="E69" s="51" t="str">
        <f>IFERROR(__xludf.DUMMYFUNCTION("""COMPUTED_VALUE"""),"")</f>
        <v/>
      </c>
      <c r="F69" s="82" t="str">
        <f>IFERROR(__xludf.DUMMYFUNCTION("""COMPUTED_VALUE"""),"")</f>
        <v/>
      </c>
      <c r="G69" s="52" t="str">
        <f>IFERROR(__xludf.DUMMYFUNCTION("""COMPUTED_VALUE"""),"")</f>
        <v/>
      </c>
      <c r="H69" s="53" t="str">
        <f>IFERROR(__xludf.DUMMYFUNCTION("""COMPUTED_VALUE"""),"")</f>
        <v/>
      </c>
      <c r="I69" s="53" t="str">
        <f>IFERROR(__xludf.DUMMYFUNCTION("""COMPUTED_VALUE"""),"")</f>
        <v/>
      </c>
      <c r="J69" s="53" t="str">
        <f>IFERROR(__xludf.DUMMYFUNCTION("""COMPUTED_VALUE"""),"")</f>
        <v/>
      </c>
      <c r="K69" s="54" t="str">
        <f>IFERROR(__xludf.DUMMYFUNCTION("""COMPUTED_VALUE"""),"")</f>
        <v/>
      </c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6"/>
      <c r="W69" s="56"/>
      <c r="X69" s="56"/>
      <c r="Y69" s="56"/>
      <c r="Z69" s="57"/>
      <c r="AA69" s="58"/>
      <c r="AB69" s="59"/>
    </row>
    <row r="70" ht="13.5" customHeight="1">
      <c r="A70" s="60" t="str">
        <f>IFERROR(__xludf.DUMMYFUNCTION("""COMPUTED_VALUE"""),"")</f>
        <v/>
      </c>
      <c r="B70" s="64" t="str">
        <f>IFERROR(__xludf.DUMMYFUNCTION("""COMPUTED_VALUE"""),"")</f>
        <v/>
      </c>
      <c r="C70" s="63" t="str">
        <f>IFERROR(__xludf.DUMMYFUNCTION("""COMPUTED_VALUE"""),"")</f>
        <v/>
      </c>
      <c r="D70" s="63" t="str">
        <f>IFERROR(__xludf.DUMMYFUNCTION("""COMPUTED_VALUE"""),"")</f>
        <v/>
      </c>
      <c r="E70" s="51" t="str">
        <f>IFERROR(__xludf.DUMMYFUNCTION("""COMPUTED_VALUE"""),"")</f>
        <v/>
      </c>
      <c r="F70" s="82" t="str">
        <f>IFERROR(__xludf.DUMMYFUNCTION("""COMPUTED_VALUE"""),"")</f>
        <v/>
      </c>
      <c r="G70" s="52" t="str">
        <f>IFERROR(__xludf.DUMMYFUNCTION("""COMPUTED_VALUE"""),"")</f>
        <v/>
      </c>
      <c r="H70" s="53" t="str">
        <f>IFERROR(__xludf.DUMMYFUNCTION("""COMPUTED_VALUE"""),"")</f>
        <v/>
      </c>
      <c r="I70" s="53" t="str">
        <f>IFERROR(__xludf.DUMMYFUNCTION("""COMPUTED_VALUE"""),"")</f>
        <v/>
      </c>
      <c r="J70" s="53" t="str">
        <f>IFERROR(__xludf.DUMMYFUNCTION("""COMPUTED_VALUE"""),"")</f>
        <v/>
      </c>
      <c r="K70" s="54" t="str">
        <f>IFERROR(__xludf.DUMMYFUNCTION("""COMPUTED_VALUE"""),"")</f>
        <v/>
      </c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6"/>
      <c r="W70" s="56"/>
      <c r="X70" s="56"/>
      <c r="Y70" s="56"/>
      <c r="Z70" s="57"/>
      <c r="AA70" s="58"/>
      <c r="AB70" s="59"/>
    </row>
    <row r="71" ht="13.5" customHeight="1">
      <c r="A71" s="60" t="str">
        <f>IFERROR(__xludf.DUMMYFUNCTION("""COMPUTED_VALUE"""),"")</f>
        <v/>
      </c>
      <c r="B71" s="64" t="str">
        <f>IFERROR(__xludf.DUMMYFUNCTION("""COMPUTED_VALUE"""),"")</f>
        <v/>
      </c>
      <c r="C71" s="63" t="str">
        <f>IFERROR(__xludf.DUMMYFUNCTION("""COMPUTED_VALUE"""),"")</f>
        <v/>
      </c>
      <c r="D71" s="63" t="str">
        <f>IFERROR(__xludf.DUMMYFUNCTION("""COMPUTED_VALUE"""),"")</f>
        <v/>
      </c>
      <c r="E71" s="51" t="str">
        <f>IFERROR(__xludf.DUMMYFUNCTION("""COMPUTED_VALUE"""),"")</f>
        <v/>
      </c>
      <c r="F71" s="82" t="str">
        <f>IFERROR(__xludf.DUMMYFUNCTION("""COMPUTED_VALUE"""),"")</f>
        <v/>
      </c>
      <c r="G71" s="52" t="str">
        <f>IFERROR(__xludf.DUMMYFUNCTION("""COMPUTED_VALUE"""),"")</f>
        <v/>
      </c>
      <c r="H71" s="53" t="str">
        <f>IFERROR(__xludf.DUMMYFUNCTION("""COMPUTED_VALUE"""),"")</f>
        <v/>
      </c>
      <c r="I71" s="53" t="str">
        <f>IFERROR(__xludf.DUMMYFUNCTION("""COMPUTED_VALUE"""),"")</f>
        <v/>
      </c>
      <c r="J71" s="53" t="str">
        <f>IFERROR(__xludf.DUMMYFUNCTION("""COMPUTED_VALUE"""),"")</f>
        <v/>
      </c>
      <c r="K71" s="54" t="str">
        <f>IFERROR(__xludf.DUMMYFUNCTION("""COMPUTED_VALUE"""),"")</f>
        <v/>
      </c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6"/>
      <c r="W71" s="56"/>
      <c r="X71" s="56"/>
      <c r="Y71" s="56"/>
      <c r="Z71" s="57"/>
      <c r="AA71" s="58"/>
      <c r="AB71" s="59"/>
    </row>
    <row r="72" ht="13.5" customHeight="1">
      <c r="A72" s="60" t="str">
        <f>IFERROR(__xludf.DUMMYFUNCTION("""COMPUTED_VALUE"""),"")</f>
        <v/>
      </c>
      <c r="B72" s="64" t="str">
        <f>IFERROR(__xludf.DUMMYFUNCTION("""COMPUTED_VALUE"""),"")</f>
        <v/>
      </c>
      <c r="C72" s="63" t="str">
        <f>IFERROR(__xludf.DUMMYFUNCTION("""COMPUTED_VALUE"""),"")</f>
        <v/>
      </c>
      <c r="D72" s="63" t="str">
        <f>IFERROR(__xludf.DUMMYFUNCTION("""COMPUTED_VALUE"""),"")</f>
        <v/>
      </c>
      <c r="E72" s="51" t="str">
        <f>IFERROR(__xludf.DUMMYFUNCTION("""COMPUTED_VALUE"""),"")</f>
        <v/>
      </c>
      <c r="F72" s="82" t="str">
        <f>IFERROR(__xludf.DUMMYFUNCTION("""COMPUTED_VALUE"""),"")</f>
        <v/>
      </c>
      <c r="G72" s="52" t="str">
        <f>IFERROR(__xludf.DUMMYFUNCTION("""COMPUTED_VALUE"""),"")</f>
        <v/>
      </c>
      <c r="H72" s="53" t="str">
        <f>IFERROR(__xludf.DUMMYFUNCTION("""COMPUTED_VALUE"""),"")</f>
        <v/>
      </c>
      <c r="I72" s="53" t="str">
        <f>IFERROR(__xludf.DUMMYFUNCTION("""COMPUTED_VALUE"""),"")</f>
        <v/>
      </c>
      <c r="J72" s="53" t="str">
        <f>IFERROR(__xludf.DUMMYFUNCTION("""COMPUTED_VALUE"""),"")</f>
        <v/>
      </c>
      <c r="K72" s="54" t="str">
        <f>IFERROR(__xludf.DUMMYFUNCTION("""COMPUTED_VALUE"""),"")</f>
        <v/>
      </c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6"/>
      <c r="W72" s="56"/>
      <c r="X72" s="56"/>
      <c r="Y72" s="56"/>
      <c r="Z72" s="57"/>
      <c r="AA72" s="58"/>
      <c r="AB72" s="59"/>
    </row>
    <row r="73" ht="13.5" customHeight="1">
      <c r="A73" s="60" t="str">
        <f>IFERROR(__xludf.DUMMYFUNCTION("""COMPUTED_VALUE"""),"")</f>
        <v/>
      </c>
      <c r="B73" s="64" t="str">
        <f>IFERROR(__xludf.DUMMYFUNCTION("""COMPUTED_VALUE"""),"")</f>
        <v/>
      </c>
      <c r="C73" s="63" t="str">
        <f>IFERROR(__xludf.DUMMYFUNCTION("""COMPUTED_VALUE"""),"")</f>
        <v/>
      </c>
      <c r="D73" s="63" t="str">
        <f>IFERROR(__xludf.DUMMYFUNCTION("""COMPUTED_VALUE"""),"")</f>
        <v/>
      </c>
      <c r="E73" s="51" t="str">
        <f>IFERROR(__xludf.DUMMYFUNCTION("""COMPUTED_VALUE"""),"")</f>
        <v/>
      </c>
      <c r="F73" s="82" t="str">
        <f>IFERROR(__xludf.DUMMYFUNCTION("""COMPUTED_VALUE"""),"")</f>
        <v/>
      </c>
      <c r="G73" s="52" t="str">
        <f>IFERROR(__xludf.DUMMYFUNCTION("""COMPUTED_VALUE"""),"")</f>
        <v/>
      </c>
      <c r="H73" s="53" t="str">
        <f>IFERROR(__xludf.DUMMYFUNCTION("""COMPUTED_VALUE"""),"")</f>
        <v/>
      </c>
      <c r="I73" s="53" t="str">
        <f>IFERROR(__xludf.DUMMYFUNCTION("""COMPUTED_VALUE"""),"")</f>
        <v/>
      </c>
      <c r="J73" s="53" t="str">
        <f>IFERROR(__xludf.DUMMYFUNCTION("""COMPUTED_VALUE"""),"")</f>
        <v/>
      </c>
      <c r="K73" s="54" t="str">
        <f>IFERROR(__xludf.DUMMYFUNCTION("""COMPUTED_VALUE"""),"")</f>
        <v/>
      </c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6"/>
      <c r="W73" s="56"/>
      <c r="X73" s="56"/>
      <c r="Y73" s="56"/>
      <c r="Z73" s="57"/>
      <c r="AA73" s="58"/>
      <c r="AB73" s="59"/>
    </row>
    <row r="74" ht="13.5" customHeight="1">
      <c r="A74" s="60" t="str">
        <f>IFERROR(__xludf.DUMMYFUNCTION("""COMPUTED_VALUE"""),"")</f>
        <v/>
      </c>
      <c r="B74" s="64" t="str">
        <f>IFERROR(__xludf.DUMMYFUNCTION("""COMPUTED_VALUE"""),"")</f>
        <v/>
      </c>
      <c r="C74" s="63" t="str">
        <f>IFERROR(__xludf.DUMMYFUNCTION("""COMPUTED_VALUE"""),"")</f>
        <v/>
      </c>
      <c r="D74" s="63" t="str">
        <f>IFERROR(__xludf.DUMMYFUNCTION("""COMPUTED_VALUE"""),"")</f>
        <v/>
      </c>
      <c r="E74" s="51" t="str">
        <f>IFERROR(__xludf.DUMMYFUNCTION("""COMPUTED_VALUE"""),"")</f>
        <v/>
      </c>
      <c r="F74" s="82" t="str">
        <f>IFERROR(__xludf.DUMMYFUNCTION("""COMPUTED_VALUE"""),"")</f>
        <v/>
      </c>
      <c r="G74" s="52" t="str">
        <f>IFERROR(__xludf.DUMMYFUNCTION("""COMPUTED_VALUE"""),"")</f>
        <v/>
      </c>
      <c r="H74" s="53" t="str">
        <f>IFERROR(__xludf.DUMMYFUNCTION("""COMPUTED_VALUE"""),"")</f>
        <v/>
      </c>
      <c r="I74" s="53" t="str">
        <f>IFERROR(__xludf.DUMMYFUNCTION("""COMPUTED_VALUE"""),"")</f>
        <v/>
      </c>
      <c r="J74" s="53" t="str">
        <f>IFERROR(__xludf.DUMMYFUNCTION("""COMPUTED_VALUE"""),"")</f>
        <v/>
      </c>
      <c r="K74" s="54" t="str">
        <f>IFERROR(__xludf.DUMMYFUNCTION("""COMPUTED_VALUE"""),"")</f>
        <v/>
      </c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6"/>
      <c r="W74" s="56"/>
      <c r="X74" s="56"/>
      <c r="Y74" s="56"/>
      <c r="Z74" s="57"/>
      <c r="AA74" s="58"/>
      <c r="AB74" s="59"/>
    </row>
    <row r="75" ht="13.5" customHeight="1">
      <c r="A75" s="60" t="str">
        <f>IFERROR(__xludf.DUMMYFUNCTION("""COMPUTED_VALUE"""),"")</f>
        <v/>
      </c>
      <c r="B75" s="64" t="str">
        <f>IFERROR(__xludf.DUMMYFUNCTION("""COMPUTED_VALUE"""),"")</f>
        <v/>
      </c>
      <c r="C75" s="63" t="str">
        <f>IFERROR(__xludf.DUMMYFUNCTION("""COMPUTED_VALUE"""),"")</f>
        <v/>
      </c>
      <c r="D75" s="63" t="str">
        <f>IFERROR(__xludf.DUMMYFUNCTION("""COMPUTED_VALUE"""),"")</f>
        <v/>
      </c>
      <c r="E75" s="51" t="str">
        <f>IFERROR(__xludf.DUMMYFUNCTION("""COMPUTED_VALUE"""),"")</f>
        <v/>
      </c>
      <c r="F75" s="82" t="str">
        <f>IFERROR(__xludf.DUMMYFUNCTION("""COMPUTED_VALUE"""),"")</f>
        <v/>
      </c>
      <c r="G75" s="52" t="str">
        <f>IFERROR(__xludf.DUMMYFUNCTION("""COMPUTED_VALUE"""),"")</f>
        <v/>
      </c>
      <c r="H75" s="53" t="str">
        <f>IFERROR(__xludf.DUMMYFUNCTION("""COMPUTED_VALUE"""),"")</f>
        <v/>
      </c>
      <c r="I75" s="53" t="str">
        <f>IFERROR(__xludf.DUMMYFUNCTION("""COMPUTED_VALUE"""),"")</f>
        <v/>
      </c>
      <c r="J75" s="53" t="str">
        <f>IFERROR(__xludf.DUMMYFUNCTION("""COMPUTED_VALUE"""),"")</f>
        <v/>
      </c>
      <c r="K75" s="54" t="str">
        <f>IFERROR(__xludf.DUMMYFUNCTION("""COMPUTED_VALUE"""),"")</f>
        <v/>
      </c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6"/>
      <c r="W75" s="56"/>
      <c r="X75" s="56"/>
      <c r="Y75" s="56"/>
      <c r="Z75" s="57"/>
      <c r="AA75" s="58"/>
      <c r="AB75" s="59"/>
    </row>
    <row r="76" ht="13.5" customHeight="1">
      <c r="A76" s="60" t="str">
        <f>IFERROR(__xludf.DUMMYFUNCTION("""COMPUTED_VALUE"""),"")</f>
        <v/>
      </c>
      <c r="B76" s="64" t="str">
        <f>IFERROR(__xludf.DUMMYFUNCTION("""COMPUTED_VALUE"""),"")</f>
        <v/>
      </c>
      <c r="C76" s="63" t="str">
        <f>IFERROR(__xludf.DUMMYFUNCTION("""COMPUTED_VALUE"""),"")</f>
        <v/>
      </c>
      <c r="D76" s="63" t="str">
        <f>IFERROR(__xludf.DUMMYFUNCTION("""COMPUTED_VALUE"""),"")</f>
        <v/>
      </c>
      <c r="E76" s="51" t="str">
        <f>IFERROR(__xludf.DUMMYFUNCTION("""COMPUTED_VALUE"""),"")</f>
        <v/>
      </c>
      <c r="F76" s="82" t="str">
        <f>IFERROR(__xludf.DUMMYFUNCTION("""COMPUTED_VALUE"""),"")</f>
        <v/>
      </c>
      <c r="G76" s="52" t="str">
        <f>IFERROR(__xludf.DUMMYFUNCTION("""COMPUTED_VALUE"""),"")</f>
        <v/>
      </c>
      <c r="H76" s="53" t="str">
        <f>IFERROR(__xludf.DUMMYFUNCTION("""COMPUTED_VALUE"""),"")</f>
        <v/>
      </c>
      <c r="I76" s="53" t="str">
        <f>IFERROR(__xludf.DUMMYFUNCTION("""COMPUTED_VALUE"""),"")</f>
        <v/>
      </c>
      <c r="J76" s="53" t="str">
        <f>IFERROR(__xludf.DUMMYFUNCTION("""COMPUTED_VALUE"""),"")</f>
        <v/>
      </c>
      <c r="K76" s="54" t="str">
        <f>IFERROR(__xludf.DUMMYFUNCTION("""COMPUTED_VALUE"""),"")</f>
        <v/>
      </c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6"/>
      <c r="W76" s="56"/>
      <c r="X76" s="56"/>
      <c r="Y76" s="56"/>
      <c r="Z76" s="57"/>
      <c r="AA76" s="58"/>
      <c r="AB76" s="59"/>
    </row>
    <row r="77" ht="13.5" customHeight="1">
      <c r="A77" s="60" t="str">
        <f>IFERROR(__xludf.DUMMYFUNCTION("""COMPUTED_VALUE"""),"")</f>
        <v/>
      </c>
      <c r="B77" s="64" t="str">
        <f>IFERROR(__xludf.DUMMYFUNCTION("""COMPUTED_VALUE"""),"")</f>
        <v/>
      </c>
      <c r="C77" s="63" t="str">
        <f>IFERROR(__xludf.DUMMYFUNCTION("""COMPUTED_VALUE"""),"")</f>
        <v/>
      </c>
      <c r="D77" s="63" t="str">
        <f>IFERROR(__xludf.DUMMYFUNCTION("""COMPUTED_VALUE"""),"")</f>
        <v/>
      </c>
      <c r="E77" s="51" t="str">
        <f>IFERROR(__xludf.DUMMYFUNCTION("""COMPUTED_VALUE"""),"")</f>
        <v/>
      </c>
      <c r="F77" s="82" t="str">
        <f>IFERROR(__xludf.DUMMYFUNCTION("""COMPUTED_VALUE"""),"")</f>
        <v/>
      </c>
      <c r="G77" s="52" t="str">
        <f>IFERROR(__xludf.DUMMYFUNCTION("""COMPUTED_VALUE"""),"")</f>
        <v/>
      </c>
      <c r="H77" s="53" t="str">
        <f>IFERROR(__xludf.DUMMYFUNCTION("""COMPUTED_VALUE"""),"")</f>
        <v/>
      </c>
      <c r="I77" s="53" t="str">
        <f>IFERROR(__xludf.DUMMYFUNCTION("""COMPUTED_VALUE"""),"")</f>
        <v/>
      </c>
      <c r="J77" s="53" t="str">
        <f>IFERROR(__xludf.DUMMYFUNCTION("""COMPUTED_VALUE"""),"")</f>
        <v/>
      </c>
      <c r="K77" s="54" t="str">
        <f>IFERROR(__xludf.DUMMYFUNCTION("""COMPUTED_VALUE"""),"")</f>
        <v/>
      </c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6"/>
      <c r="W77" s="56"/>
      <c r="X77" s="56"/>
      <c r="Y77" s="56"/>
      <c r="Z77" s="57"/>
      <c r="AA77" s="58"/>
      <c r="AB77" s="59"/>
    </row>
    <row r="78" ht="13.5" customHeight="1">
      <c r="A78" s="60" t="str">
        <f>IFERROR(__xludf.DUMMYFUNCTION("""COMPUTED_VALUE"""),"")</f>
        <v/>
      </c>
      <c r="B78" s="64" t="str">
        <f>IFERROR(__xludf.DUMMYFUNCTION("""COMPUTED_VALUE"""),"")</f>
        <v/>
      </c>
      <c r="C78" s="63" t="str">
        <f>IFERROR(__xludf.DUMMYFUNCTION("""COMPUTED_VALUE"""),"")</f>
        <v/>
      </c>
      <c r="D78" s="63" t="str">
        <f>IFERROR(__xludf.DUMMYFUNCTION("""COMPUTED_VALUE"""),"")</f>
        <v/>
      </c>
      <c r="E78" s="51" t="str">
        <f>IFERROR(__xludf.DUMMYFUNCTION("""COMPUTED_VALUE"""),"")</f>
        <v/>
      </c>
      <c r="F78" s="82" t="str">
        <f>IFERROR(__xludf.DUMMYFUNCTION("""COMPUTED_VALUE"""),"")</f>
        <v/>
      </c>
      <c r="G78" s="52" t="str">
        <f>IFERROR(__xludf.DUMMYFUNCTION("""COMPUTED_VALUE"""),"")</f>
        <v/>
      </c>
      <c r="H78" s="53" t="str">
        <f>IFERROR(__xludf.DUMMYFUNCTION("""COMPUTED_VALUE"""),"")</f>
        <v/>
      </c>
      <c r="I78" s="53" t="str">
        <f>IFERROR(__xludf.DUMMYFUNCTION("""COMPUTED_VALUE"""),"")</f>
        <v/>
      </c>
      <c r="J78" s="53" t="str">
        <f>IFERROR(__xludf.DUMMYFUNCTION("""COMPUTED_VALUE"""),"")</f>
        <v/>
      </c>
      <c r="K78" s="54" t="str">
        <f>IFERROR(__xludf.DUMMYFUNCTION("""COMPUTED_VALUE"""),"")</f>
        <v/>
      </c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6"/>
      <c r="W78" s="56"/>
      <c r="X78" s="56"/>
      <c r="Y78" s="56"/>
      <c r="Z78" s="57"/>
      <c r="AA78" s="58"/>
      <c r="AB78" s="59"/>
    </row>
    <row r="79" ht="13.5" customHeight="1">
      <c r="A79" s="60" t="str">
        <f>IFERROR(__xludf.DUMMYFUNCTION("""COMPUTED_VALUE"""),"")</f>
        <v/>
      </c>
      <c r="B79" s="64" t="str">
        <f>IFERROR(__xludf.DUMMYFUNCTION("""COMPUTED_VALUE"""),"")</f>
        <v/>
      </c>
      <c r="C79" s="63" t="str">
        <f>IFERROR(__xludf.DUMMYFUNCTION("""COMPUTED_VALUE"""),"")</f>
        <v/>
      </c>
      <c r="D79" s="63" t="str">
        <f>IFERROR(__xludf.DUMMYFUNCTION("""COMPUTED_VALUE"""),"")</f>
        <v/>
      </c>
      <c r="E79" s="51" t="str">
        <f>IFERROR(__xludf.DUMMYFUNCTION("""COMPUTED_VALUE"""),"")</f>
        <v/>
      </c>
      <c r="F79" s="82" t="str">
        <f>IFERROR(__xludf.DUMMYFUNCTION("""COMPUTED_VALUE"""),"")</f>
        <v/>
      </c>
      <c r="G79" s="52" t="str">
        <f>IFERROR(__xludf.DUMMYFUNCTION("""COMPUTED_VALUE"""),"")</f>
        <v/>
      </c>
      <c r="H79" s="53" t="str">
        <f>IFERROR(__xludf.DUMMYFUNCTION("""COMPUTED_VALUE"""),"")</f>
        <v/>
      </c>
      <c r="I79" s="53" t="str">
        <f>IFERROR(__xludf.DUMMYFUNCTION("""COMPUTED_VALUE"""),"")</f>
        <v/>
      </c>
      <c r="J79" s="53" t="str">
        <f>IFERROR(__xludf.DUMMYFUNCTION("""COMPUTED_VALUE"""),"")</f>
        <v/>
      </c>
      <c r="K79" s="54" t="str">
        <f>IFERROR(__xludf.DUMMYFUNCTION("""COMPUTED_VALUE"""),"")</f>
        <v/>
      </c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6"/>
      <c r="W79" s="56"/>
      <c r="X79" s="56"/>
      <c r="Y79" s="56"/>
      <c r="Z79" s="57"/>
      <c r="AA79" s="58"/>
      <c r="AB79" s="59"/>
    </row>
    <row r="80" ht="13.5" customHeight="1">
      <c r="A80" s="60" t="str">
        <f>IFERROR(__xludf.DUMMYFUNCTION("""COMPUTED_VALUE"""),"")</f>
        <v/>
      </c>
      <c r="B80" s="64" t="str">
        <f>IFERROR(__xludf.DUMMYFUNCTION("""COMPUTED_VALUE"""),"")</f>
        <v/>
      </c>
      <c r="C80" s="63" t="str">
        <f>IFERROR(__xludf.DUMMYFUNCTION("""COMPUTED_VALUE"""),"")</f>
        <v/>
      </c>
      <c r="D80" s="63" t="str">
        <f>IFERROR(__xludf.DUMMYFUNCTION("""COMPUTED_VALUE"""),"")</f>
        <v/>
      </c>
      <c r="E80" s="51" t="str">
        <f>IFERROR(__xludf.DUMMYFUNCTION("""COMPUTED_VALUE"""),"")</f>
        <v/>
      </c>
      <c r="F80" s="82" t="str">
        <f>IFERROR(__xludf.DUMMYFUNCTION("""COMPUTED_VALUE"""),"")</f>
        <v/>
      </c>
      <c r="G80" s="52" t="str">
        <f>IFERROR(__xludf.DUMMYFUNCTION("""COMPUTED_VALUE"""),"")</f>
        <v/>
      </c>
      <c r="H80" s="53" t="str">
        <f>IFERROR(__xludf.DUMMYFUNCTION("""COMPUTED_VALUE"""),"")</f>
        <v/>
      </c>
      <c r="I80" s="53" t="str">
        <f>IFERROR(__xludf.DUMMYFUNCTION("""COMPUTED_VALUE"""),"")</f>
        <v/>
      </c>
      <c r="J80" s="53" t="str">
        <f>IFERROR(__xludf.DUMMYFUNCTION("""COMPUTED_VALUE"""),"")</f>
        <v/>
      </c>
      <c r="K80" s="54" t="str">
        <f>IFERROR(__xludf.DUMMYFUNCTION("""COMPUTED_VALUE"""),"")</f>
        <v/>
      </c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6"/>
      <c r="W80" s="56"/>
      <c r="X80" s="56"/>
      <c r="Y80" s="56"/>
      <c r="Z80" s="57"/>
      <c r="AA80" s="58"/>
      <c r="AB80" s="59"/>
    </row>
    <row r="81" ht="13.5" customHeight="1">
      <c r="A81" s="60" t="str">
        <f>IFERROR(__xludf.DUMMYFUNCTION("""COMPUTED_VALUE"""),"")</f>
        <v/>
      </c>
      <c r="B81" s="64" t="str">
        <f>IFERROR(__xludf.DUMMYFUNCTION("""COMPUTED_VALUE"""),"")</f>
        <v/>
      </c>
      <c r="C81" s="63" t="str">
        <f>IFERROR(__xludf.DUMMYFUNCTION("""COMPUTED_VALUE"""),"")</f>
        <v/>
      </c>
      <c r="D81" s="63" t="str">
        <f>IFERROR(__xludf.DUMMYFUNCTION("""COMPUTED_VALUE"""),"")</f>
        <v/>
      </c>
      <c r="E81" s="51" t="str">
        <f>IFERROR(__xludf.DUMMYFUNCTION("""COMPUTED_VALUE"""),"")</f>
        <v/>
      </c>
      <c r="F81" s="82" t="str">
        <f>IFERROR(__xludf.DUMMYFUNCTION("""COMPUTED_VALUE"""),"")</f>
        <v/>
      </c>
      <c r="G81" s="52" t="str">
        <f>IFERROR(__xludf.DUMMYFUNCTION("""COMPUTED_VALUE"""),"")</f>
        <v/>
      </c>
      <c r="H81" s="53" t="str">
        <f>IFERROR(__xludf.DUMMYFUNCTION("""COMPUTED_VALUE"""),"")</f>
        <v/>
      </c>
      <c r="I81" s="53" t="str">
        <f>IFERROR(__xludf.DUMMYFUNCTION("""COMPUTED_VALUE"""),"")</f>
        <v/>
      </c>
      <c r="J81" s="53" t="str">
        <f>IFERROR(__xludf.DUMMYFUNCTION("""COMPUTED_VALUE"""),"")</f>
        <v/>
      </c>
      <c r="K81" s="54" t="str">
        <f>IFERROR(__xludf.DUMMYFUNCTION("""COMPUTED_VALUE"""),"")</f>
        <v/>
      </c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6"/>
      <c r="W81" s="56"/>
      <c r="X81" s="56"/>
      <c r="Y81" s="56"/>
      <c r="Z81" s="57"/>
      <c r="AA81" s="58"/>
      <c r="AB81" s="59"/>
    </row>
    <row r="82" ht="13.5" customHeight="1">
      <c r="A82" s="60" t="str">
        <f>IFERROR(__xludf.DUMMYFUNCTION("""COMPUTED_VALUE"""),"")</f>
        <v/>
      </c>
      <c r="B82" s="64" t="str">
        <f>IFERROR(__xludf.DUMMYFUNCTION("""COMPUTED_VALUE"""),"")</f>
        <v/>
      </c>
      <c r="C82" s="63" t="str">
        <f>IFERROR(__xludf.DUMMYFUNCTION("""COMPUTED_VALUE"""),"")</f>
        <v/>
      </c>
      <c r="D82" s="63" t="str">
        <f>IFERROR(__xludf.DUMMYFUNCTION("""COMPUTED_VALUE"""),"")</f>
        <v/>
      </c>
      <c r="E82" s="51" t="str">
        <f>IFERROR(__xludf.DUMMYFUNCTION("""COMPUTED_VALUE"""),"")</f>
        <v/>
      </c>
      <c r="F82" s="82" t="str">
        <f>IFERROR(__xludf.DUMMYFUNCTION("""COMPUTED_VALUE"""),"")</f>
        <v/>
      </c>
      <c r="G82" s="52" t="str">
        <f>IFERROR(__xludf.DUMMYFUNCTION("""COMPUTED_VALUE"""),"")</f>
        <v/>
      </c>
      <c r="H82" s="53" t="str">
        <f>IFERROR(__xludf.DUMMYFUNCTION("""COMPUTED_VALUE"""),"")</f>
        <v/>
      </c>
      <c r="I82" s="53" t="str">
        <f>IFERROR(__xludf.DUMMYFUNCTION("""COMPUTED_VALUE"""),"")</f>
        <v/>
      </c>
      <c r="J82" s="53" t="str">
        <f>IFERROR(__xludf.DUMMYFUNCTION("""COMPUTED_VALUE"""),"")</f>
        <v/>
      </c>
      <c r="K82" s="54" t="str">
        <f>IFERROR(__xludf.DUMMYFUNCTION("""COMPUTED_VALUE"""),"")</f>
        <v/>
      </c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6"/>
      <c r="W82" s="56"/>
      <c r="X82" s="56"/>
      <c r="Y82" s="56"/>
      <c r="Z82" s="57"/>
      <c r="AA82" s="58"/>
      <c r="AB82" s="59"/>
    </row>
    <row r="83" ht="13.5" customHeight="1">
      <c r="A83" s="60" t="str">
        <f>IFERROR(__xludf.DUMMYFUNCTION("""COMPUTED_VALUE"""),"")</f>
        <v/>
      </c>
      <c r="B83" s="64" t="str">
        <f>IFERROR(__xludf.DUMMYFUNCTION("""COMPUTED_VALUE"""),"")</f>
        <v/>
      </c>
      <c r="C83" s="63" t="str">
        <f>IFERROR(__xludf.DUMMYFUNCTION("""COMPUTED_VALUE"""),"")</f>
        <v/>
      </c>
      <c r="D83" s="63" t="str">
        <f>IFERROR(__xludf.DUMMYFUNCTION("""COMPUTED_VALUE"""),"")</f>
        <v/>
      </c>
      <c r="E83" s="51" t="str">
        <f>IFERROR(__xludf.DUMMYFUNCTION("""COMPUTED_VALUE"""),"")</f>
        <v/>
      </c>
      <c r="F83" s="82" t="str">
        <f>IFERROR(__xludf.DUMMYFUNCTION("""COMPUTED_VALUE"""),"")</f>
        <v/>
      </c>
      <c r="G83" s="52" t="str">
        <f>IFERROR(__xludf.DUMMYFUNCTION("""COMPUTED_VALUE"""),"")</f>
        <v/>
      </c>
      <c r="H83" s="53" t="str">
        <f>IFERROR(__xludf.DUMMYFUNCTION("""COMPUTED_VALUE"""),"")</f>
        <v/>
      </c>
      <c r="I83" s="53" t="str">
        <f>IFERROR(__xludf.DUMMYFUNCTION("""COMPUTED_VALUE"""),"")</f>
        <v/>
      </c>
      <c r="J83" s="53" t="str">
        <f>IFERROR(__xludf.DUMMYFUNCTION("""COMPUTED_VALUE"""),"")</f>
        <v/>
      </c>
      <c r="K83" s="54" t="str">
        <f>IFERROR(__xludf.DUMMYFUNCTION("""COMPUTED_VALUE"""),"")</f>
        <v/>
      </c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6"/>
      <c r="W83" s="56"/>
      <c r="X83" s="56"/>
      <c r="Y83" s="56"/>
      <c r="Z83" s="57"/>
      <c r="AA83" s="58"/>
      <c r="AB83" s="59"/>
    </row>
    <row r="84" ht="13.5" customHeight="1">
      <c r="A84" s="60" t="str">
        <f>IFERROR(__xludf.DUMMYFUNCTION("""COMPUTED_VALUE"""),"")</f>
        <v/>
      </c>
      <c r="B84" s="64" t="str">
        <f>IFERROR(__xludf.DUMMYFUNCTION("""COMPUTED_VALUE"""),"")</f>
        <v/>
      </c>
      <c r="C84" s="63" t="str">
        <f>IFERROR(__xludf.DUMMYFUNCTION("""COMPUTED_VALUE"""),"")</f>
        <v/>
      </c>
      <c r="D84" s="63" t="str">
        <f>IFERROR(__xludf.DUMMYFUNCTION("""COMPUTED_VALUE"""),"")</f>
        <v/>
      </c>
      <c r="E84" s="51" t="str">
        <f>IFERROR(__xludf.DUMMYFUNCTION("""COMPUTED_VALUE"""),"")</f>
        <v/>
      </c>
      <c r="F84" s="82" t="str">
        <f>IFERROR(__xludf.DUMMYFUNCTION("""COMPUTED_VALUE"""),"")</f>
        <v/>
      </c>
      <c r="G84" s="52" t="str">
        <f>IFERROR(__xludf.DUMMYFUNCTION("""COMPUTED_VALUE"""),"")</f>
        <v/>
      </c>
      <c r="H84" s="53" t="str">
        <f>IFERROR(__xludf.DUMMYFUNCTION("""COMPUTED_VALUE"""),"")</f>
        <v/>
      </c>
      <c r="I84" s="53" t="str">
        <f>IFERROR(__xludf.DUMMYFUNCTION("""COMPUTED_VALUE"""),"")</f>
        <v/>
      </c>
      <c r="J84" s="53" t="str">
        <f>IFERROR(__xludf.DUMMYFUNCTION("""COMPUTED_VALUE"""),"")</f>
        <v/>
      </c>
      <c r="K84" s="54" t="str">
        <f>IFERROR(__xludf.DUMMYFUNCTION("""COMPUTED_VALUE"""),"")</f>
        <v/>
      </c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6"/>
      <c r="W84" s="56"/>
      <c r="X84" s="56"/>
      <c r="Y84" s="56"/>
      <c r="Z84" s="57"/>
      <c r="AA84" s="58"/>
      <c r="AB84" s="59"/>
    </row>
    <row r="85" ht="13.5" customHeight="1">
      <c r="A85" s="60" t="str">
        <f>IFERROR(__xludf.DUMMYFUNCTION("""COMPUTED_VALUE"""),"")</f>
        <v/>
      </c>
      <c r="B85" s="64" t="str">
        <f>IFERROR(__xludf.DUMMYFUNCTION("""COMPUTED_VALUE"""),"")</f>
        <v/>
      </c>
      <c r="C85" s="63" t="str">
        <f>IFERROR(__xludf.DUMMYFUNCTION("""COMPUTED_VALUE"""),"")</f>
        <v/>
      </c>
      <c r="D85" s="63" t="str">
        <f>IFERROR(__xludf.DUMMYFUNCTION("""COMPUTED_VALUE"""),"")</f>
        <v/>
      </c>
      <c r="E85" s="51" t="str">
        <f>IFERROR(__xludf.DUMMYFUNCTION("""COMPUTED_VALUE"""),"")</f>
        <v/>
      </c>
      <c r="F85" s="82" t="str">
        <f>IFERROR(__xludf.DUMMYFUNCTION("""COMPUTED_VALUE"""),"")</f>
        <v/>
      </c>
      <c r="G85" s="52" t="str">
        <f>IFERROR(__xludf.DUMMYFUNCTION("""COMPUTED_VALUE"""),"")</f>
        <v/>
      </c>
      <c r="H85" s="53" t="str">
        <f>IFERROR(__xludf.DUMMYFUNCTION("""COMPUTED_VALUE"""),"")</f>
        <v/>
      </c>
      <c r="I85" s="53" t="str">
        <f>IFERROR(__xludf.DUMMYFUNCTION("""COMPUTED_VALUE"""),"")</f>
        <v/>
      </c>
      <c r="J85" s="53" t="str">
        <f>IFERROR(__xludf.DUMMYFUNCTION("""COMPUTED_VALUE"""),"")</f>
        <v/>
      </c>
      <c r="K85" s="54" t="str">
        <f>IFERROR(__xludf.DUMMYFUNCTION("""COMPUTED_VALUE"""),"")</f>
        <v/>
      </c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6"/>
      <c r="W85" s="56"/>
      <c r="X85" s="56"/>
      <c r="Y85" s="56"/>
      <c r="Z85" s="57"/>
      <c r="AA85" s="58"/>
      <c r="AB85" s="59"/>
    </row>
    <row r="86" ht="13.5" customHeight="1">
      <c r="A86" s="60" t="str">
        <f>IFERROR(__xludf.DUMMYFUNCTION("""COMPUTED_VALUE"""),"")</f>
        <v/>
      </c>
      <c r="B86" s="64" t="str">
        <f>IFERROR(__xludf.DUMMYFUNCTION("""COMPUTED_VALUE"""),"")</f>
        <v/>
      </c>
      <c r="C86" s="63" t="str">
        <f>IFERROR(__xludf.DUMMYFUNCTION("""COMPUTED_VALUE"""),"")</f>
        <v/>
      </c>
      <c r="D86" s="63" t="str">
        <f>IFERROR(__xludf.DUMMYFUNCTION("""COMPUTED_VALUE"""),"")</f>
        <v/>
      </c>
      <c r="E86" s="51" t="str">
        <f>IFERROR(__xludf.DUMMYFUNCTION("""COMPUTED_VALUE"""),"")</f>
        <v/>
      </c>
      <c r="F86" s="82" t="str">
        <f>IFERROR(__xludf.DUMMYFUNCTION("""COMPUTED_VALUE"""),"")</f>
        <v/>
      </c>
      <c r="G86" s="52" t="str">
        <f>IFERROR(__xludf.DUMMYFUNCTION("""COMPUTED_VALUE"""),"")</f>
        <v/>
      </c>
      <c r="H86" s="53" t="str">
        <f>IFERROR(__xludf.DUMMYFUNCTION("""COMPUTED_VALUE"""),"")</f>
        <v/>
      </c>
      <c r="I86" s="53" t="str">
        <f>IFERROR(__xludf.DUMMYFUNCTION("""COMPUTED_VALUE"""),"")</f>
        <v/>
      </c>
      <c r="J86" s="53" t="str">
        <f>IFERROR(__xludf.DUMMYFUNCTION("""COMPUTED_VALUE"""),"")</f>
        <v/>
      </c>
      <c r="K86" s="54" t="str">
        <f>IFERROR(__xludf.DUMMYFUNCTION("""COMPUTED_VALUE"""),"")</f>
        <v/>
      </c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6"/>
      <c r="W86" s="56"/>
      <c r="X86" s="56"/>
      <c r="Y86" s="56"/>
      <c r="Z86" s="57"/>
      <c r="AA86" s="58"/>
      <c r="AB86" s="59"/>
    </row>
    <row r="87" ht="13.5" customHeight="1">
      <c r="A87" s="60" t="str">
        <f>IFERROR(__xludf.DUMMYFUNCTION("""COMPUTED_VALUE"""),"")</f>
        <v/>
      </c>
      <c r="B87" s="64" t="str">
        <f>IFERROR(__xludf.DUMMYFUNCTION("""COMPUTED_VALUE"""),"")</f>
        <v/>
      </c>
      <c r="C87" s="63" t="str">
        <f>IFERROR(__xludf.DUMMYFUNCTION("""COMPUTED_VALUE"""),"")</f>
        <v/>
      </c>
      <c r="D87" s="63" t="str">
        <f>IFERROR(__xludf.DUMMYFUNCTION("""COMPUTED_VALUE"""),"")</f>
        <v/>
      </c>
      <c r="E87" s="51" t="str">
        <f>IFERROR(__xludf.DUMMYFUNCTION("""COMPUTED_VALUE"""),"")</f>
        <v/>
      </c>
      <c r="F87" s="82" t="str">
        <f>IFERROR(__xludf.DUMMYFUNCTION("""COMPUTED_VALUE"""),"")</f>
        <v/>
      </c>
      <c r="G87" s="52" t="str">
        <f>IFERROR(__xludf.DUMMYFUNCTION("""COMPUTED_VALUE"""),"")</f>
        <v/>
      </c>
      <c r="H87" s="53" t="str">
        <f>IFERROR(__xludf.DUMMYFUNCTION("""COMPUTED_VALUE"""),"")</f>
        <v/>
      </c>
      <c r="I87" s="53" t="str">
        <f>IFERROR(__xludf.DUMMYFUNCTION("""COMPUTED_VALUE"""),"")</f>
        <v/>
      </c>
      <c r="J87" s="53" t="str">
        <f>IFERROR(__xludf.DUMMYFUNCTION("""COMPUTED_VALUE"""),"")</f>
        <v/>
      </c>
      <c r="K87" s="54" t="str">
        <f>IFERROR(__xludf.DUMMYFUNCTION("""COMPUTED_VALUE"""),"")</f>
        <v/>
      </c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6"/>
      <c r="W87" s="56"/>
      <c r="X87" s="56"/>
      <c r="Y87" s="56"/>
      <c r="Z87" s="57"/>
      <c r="AA87" s="58"/>
      <c r="AB87" s="59"/>
    </row>
    <row r="88" ht="13.5" customHeight="1">
      <c r="A88" s="60" t="str">
        <f>IFERROR(__xludf.DUMMYFUNCTION("""COMPUTED_VALUE"""),"")</f>
        <v/>
      </c>
      <c r="B88" s="64" t="str">
        <f>IFERROR(__xludf.DUMMYFUNCTION("""COMPUTED_VALUE"""),"")</f>
        <v/>
      </c>
      <c r="C88" s="63" t="str">
        <f>IFERROR(__xludf.DUMMYFUNCTION("""COMPUTED_VALUE"""),"")</f>
        <v/>
      </c>
      <c r="D88" s="63" t="str">
        <f>IFERROR(__xludf.DUMMYFUNCTION("""COMPUTED_VALUE"""),"")</f>
        <v/>
      </c>
      <c r="E88" s="51" t="str">
        <f>IFERROR(__xludf.DUMMYFUNCTION("""COMPUTED_VALUE"""),"")</f>
        <v/>
      </c>
      <c r="F88" s="82" t="str">
        <f>IFERROR(__xludf.DUMMYFUNCTION("""COMPUTED_VALUE"""),"")</f>
        <v/>
      </c>
      <c r="G88" s="52" t="str">
        <f>IFERROR(__xludf.DUMMYFUNCTION("""COMPUTED_VALUE"""),"")</f>
        <v/>
      </c>
      <c r="H88" s="53" t="str">
        <f>IFERROR(__xludf.DUMMYFUNCTION("""COMPUTED_VALUE"""),"")</f>
        <v/>
      </c>
      <c r="I88" s="53" t="str">
        <f>IFERROR(__xludf.DUMMYFUNCTION("""COMPUTED_VALUE"""),"")</f>
        <v/>
      </c>
      <c r="J88" s="53" t="str">
        <f>IFERROR(__xludf.DUMMYFUNCTION("""COMPUTED_VALUE"""),"")</f>
        <v/>
      </c>
      <c r="K88" s="54" t="str">
        <f>IFERROR(__xludf.DUMMYFUNCTION("""COMPUTED_VALUE"""),"")</f>
        <v/>
      </c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6"/>
      <c r="W88" s="56"/>
      <c r="X88" s="56"/>
      <c r="Y88" s="56"/>
      <c r="Z88" s="57"/>
      <c r="AA88" s="58"/>
      <c r="AB88" s="59"/>
    </row>
    <row r="89" ht="13.5" customHeight="1">
      <c r="A89" s="60" t="str">
        <f>IFERROR(__xludf.DUMMYFUNCTION("""COMPUTED_VALUE"""),"")</f>
        <v/>
      </c>
      <c r="B89" s="64" t="str">
        <f>IFERROR(__xludf.DUMMYFUNCTION("""COMPUTED_VALUE"""),"")</f>
        <v/>
      </c>
      <c r="C89" s="63" t="str">
        <f>IFERROR(__xludf.DUMMYFUNCTION("""COMPUTED_VALUE"""),"")</f>
        <v/>
      </c>
      <c r="D89" s="63" t="str">
        <f>IFERROR(__xludf.DUMMYFUNCTION("""COMPUTED_VALUE"""),"")</f>
        <v/>
      </c>
      <c r="E89" s="51" t="str">
        <f>IFERROR(__xludf.DUMMYFUNCTION("""COMPUTED_VALUE"""),"")</f>
        <v/>
      </c>
      <c r="F89" s="82" t="str">
        <f>IFERROR(__xludf.DUMMYFUNCTION("""COMPUTED_VALUE"""),"")</f>
        <v/>
      </c>
      <c r="G89" s="52" t="str">
        <f>IFERROR(__xludf.DUMMYFUNCTION("""COMPUTED_VALUE"""),"")</f>
        <v/>
      </c>
      <c r="H89" s="53" t="str">
        <f>IFERROR(__xludf.DUMMYFUNCTION("""COMPUTED_VALUE"""),"")</f>
        <v/>
      </c>
      <c r="I89" s="53" t="str">
        <f>IFERROR(__xludf.DUMMYFUNCTION("""COMPUTED_VALUE"""),"")</f>
        <v/>
      </c>
      <c r="J89" s="53" t="str">
        <f>IFERROR(__xludf.DUMMYFUNCTION("""COMPUTED_VALUE"""),"")</f>
        <v/>
      </c>
      <c r="K89" s="54" t="str">
        <f>IFERROR(__xludf.DUMMYFUNCTION("""COMPUTED_VALUE"""),"")</f>
        <v/>
      </c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6"/>
      <c r="W89" s="56"/>
      <c r="X89" s="56"/>
      <c r="Y89" s="56"/>
      <c r="Z89" s="57"/>
      <c r="AA89" s="58"/>
      <c r="AB89" s="59"/>
    </row>
    <row r="90" ht="13.5" customHeight="1">
      <c r="A90" s="60" t="str">
        <f>IFERROR(__xludf.DUMMYFUNCTION("""COMPUTED_VALUE"""),"")</f>
        <v/>
      </c>
      <c r="B90" s="64" t="str">
        <f>IFERROR(__xludf.DUMMYFUNCTION("""COMPUTED_VALUE"""),"")</f>
        <v/>
      </c>
      <c r="C90" s="63" t="str">
        <f>IFERROR(__xludf.DUMMYFUNCTION("""COMPUTED_VALUE"""),"")</f>
        <v/>
      </c>
      <c r="D90" s="63" t="str">
        <f>IFERROR(__xludf.DUMMYFUNCTION("""COMPUTED_VALUE"""),"")</f>
        <v/>
      </c>
      <c r="E90" s="51" t="str">
        <f>IFERROR(__xludf.DUMMYFUNCTION("""COMPUTED_VALUE"""),"")</f>
        <v/>
      </c>
      <c r="F90" s="82" t="str">
        <f>IFERROR(__xludf.DUMMYFUNCTION("""COMPUTED_VALUE"""),"")</f>
        <v/>
      </c>
      <c r="G90" s="52" t="str">
        <f>IFERROR(__xludf.DUMMYFUNCTION("""COMPUTED_VALUE"""),"")</f>
        <v/>
      </c>
      <c r="H90" s="53" t="str">
        <f>IFERROR(__xludf.DUMMYFUNCTION("""COMPUTED_VALUE"""),"")</f>
        <v/>
      </c>
      <c r="I90" s="53" t="str">
        <f>IFERROR(__xludf.DUMMYFUNCTION("""COMPUTED_VALUE"""),"")</f>
        <v/>
      </c>
      <c r="J90" s="53" t="str">
        <f>IFERROR(__xludf.DUMMYFUNCTION("""COMPUTED_VALUE"""),"")</f>
        <v/>
      </c>
      <c r="K90" s="54" t="str">
        <f>IFERROR(__xludf.DUMMYFUNCTION("""COMPUTED_VALUE"""),"")</f>
        <v/>
      </c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6"/>
      <c r="W90" s="56"/>
      <c r="X90" s="56"/>
      <c r="Y90" s="56"/>
      <c r="Z90" s="57"/>
      <c r="AA90" s="58"/>
      <c r="AB90" s="59"/>
    </row>
    <row r="91" ht="13.5" customHeight="1">
      <c r="A91" s="60" t="str">
        <f>IFERROR(__xludf.DUMMYFUNCTION("""COMPUTED_VALUE"""),"")</f>
        <v/>
      </c>
      <c r="B91" s="64" t="str">
        <f>IFERROR(__xludf.DUMMYFUNCTION("""COMPUTED_VALUE"""),"")</f>
        <v/>
      </c>
      <c r="C91" s="63" t="str">
        <f>IFERROR(__xludf.DUMMYFUNCTION("""COMPUTED_VALUE"""),"")</f>
        <v/>
      </c>
      <c r="D91" s="63" t="str">
        <f>IFERROR(__xludf.DUMMYFUNCTION("""COMPUTED_VALUE"""),"")</f>
        <v/>
      </c>
      <c r="E91" s="51" t="str">
        <f>IFERROR(__xludf.DUMMYFUNCTION("""COMPUTED_VALUE"""),"")</f>
        <v/>
      </c>
      <c r="F91" s="82" t="str">
        <f>IFERROR(__xludf.DUMMYFUNCTION("""COMPUTED_VALUE"""),"")</f>
        <v/>
      </c>
      <c r="G91" s="52" t="str">
        <f>IFERROR(__xludf.DUMMYFUNCTION("""COMPUTED_VALUE"""),"")</f>
        <v/>
      </c>
      <c r="H91" s="53" t="str">
        <f>IFERROR(__xludf.DUMMYFUNCTION("""COMPUTED_VALUE"""),"")</f>
        <v/>
      </c>
      <c r="I91" s="53" t="str">
        <f>IFERROR(__xludf.DUMMYFUNCTION("""COMPUTED_VALUE"""),"")</f>
        <v/>
      </c>
      <c r="J91" s="53" t="str">
        <f>IFERROR(__xludf.DUMMYFUNCTION("""COMPUTED_VALUE"""),"")</f>
        <v/>
      </c>
      <c r="K91" s="54" t="str">
        <f>IFERROR(__xludf.DUMMYFUNCTION("""COMPUTED_VALUE"""),"")</f>
        <v/>
      </c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6"/>
      <c r="W91" s="56"/>
      <c r="X91" s="56"/>
      <c r="Y91" s="56"/>
      <c r="Z91" s="57"/>
      <c r="AA91" s="58"/>
      <c r="AB91" s="59"/>
    </row>
    <row r="92" ht="13.5" customHeight="1">
      <c r="A92" s="60" t="str">
        <f>IFERROR(__xludf.DUMMYFUNCTION("""COMPUTED_VALUE"""),"")</f>
        <v/>
      </c>
      <c r="B92" s="64" t="str">
        <f>IFERROR(__xludf.DUMMYFUNCTION("""COMPUTED_VALUE"""),"")</f>
        <v/>
      </c>
      <c r="C92" s="63" t="str">
        <f>IFERROR(__xludf.DUMMYFUNCTION("""COMPUTED_VALUE"""),"")</f>
        <v/>
      </c>
      <c r="D92" s="63" t="str">
        <f>IFERROR(__xludf.DUMMYFUNCTION("""COMPUTED_VALUE"""),"")</f>
        <v/>
      </c>
      <c r="E92" s="51" t="str">
        <f>IFERROR(__xludf.DUMMYFUNCTION("""COMPUTED_VALUE"""),"")</f>
        <v/>
      </c>
      <c r="F92" s="82" t="str">
        <f>IFERROR(__xludf.DUMMYFUNCTION("""COMPUTED_VALUE"""),"")</f>
        <v/>
      </c>
      <c r="G92" s="52" t="str">
        <f>IFERROR(__xludf.DUMMYFUNCTION("""COMPUTED_VALUE"""),"")</f>
        <v/>
      </c>
      <c r="H92" s="53" t="str">
        <f>IFERROR(__xludf.DUMMYFUNCTION("""COMPUTED_VALUE"""),"")</f>
        <v/>
      </c>
      <c r="I92" s="53" t="str">
        <f>IFERROR(__xludf.DUMMYFUNCTION("""COMPUTED_VALUE"""),"")</f>
        <v/>
      </c>
      <c r="J92" s="53" t="str">
        <f>IFERROR(__xludf.DUMMYFUNCTION("""COMPUTED_VALUE"""),"")</f>
        <v/>
      </c>
      <c r="K92" s="54" t="str">
        <f>IFERROR(__xludf.DUMMYFUNCTION("""COMPUTED_VALUE"""),"")</f>
        <v/>
      </c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6"/>
      <c r="W92" s="56"/>
      <c r="X92" s="56"/>
      <c r="Y92" s="56"/>
      <c r="Z92" s="57"/>
      <c r="AA92" s="58"/>
      <c r="AB92" s="59"/>
    </row>
    <row r="93" ht="13.5" customHeight="1">
      <c r="A93" s="60" t="str">
        <f>IFERROR(__xludf.DUMMYFUNCTION("""COMPUTED_VALUE"""),"")</f>
        <v/>
      </c>
      <c r="B93" s="64" t="str">
        <f>IFERROR(__xludf.DUMMYFUNCTION("""COMPUTED_VALUE"""),"")</f>
        <v/>
      </c>
      <c r="C93" s="63" t="str">
        <f>IFERROR(__xludf.DUMMYFUNCTION("""COMPUTED_VALUE"""),"")</f>
        <v/>
      </c>
      <c r="D93" s="63" t="str">
        <f>IFERROR(__xludf.DUMMYFUNCTION("""COMPUTED_VALUE"""),"")</f>
        <v/>
      </c>
      <c r="E93" s="51" t="str">
        <f>IFERROR(__xludf.DUMMYFUNCTION("""COMPUTED_VALUE"""),"")</f>
        <v/>
      </c>
      <c r="F93" s="82" t="str">
        <f>IFERROR(__xludf.DUMMYFUNCTION("""COMPUTED_VALUE"""),"")</f>
        <v/>
      </c>
      <c r="G93" s="52" t="str">
        <f>IFERROR(__xludf.DUMMYFUNCTION("""COMPUTED_VALUE"""),"")</f>
        <v/>
      </c>
      <c r="H93" s="53" t="str">
        <f>IFERROR(__xludf.DUMMYFUNCTION("""COMPUTED_VALUE"""),"")</f>
        <v/>
      </c>
      <c r="I93" s="53" t="str">
        <f>IFERROR(__xludf.DUMMYFUNCTION("""COMPUTED_VALUE"""),"")</f>
        <v/>
      </c>
      <c r="J93" s="53" t="str">
        <f>IFERROR(__xludf.DUMMYFUNCTION("""COMPUTED_VALUE"""),"")</f>
        <v/>
      </c>
      <c r="K93" s="54" t="str">
        <f>IFERROR(__xludf.DUMMYFUNCTION("""COMPUTED_VALUE"""),"")</f>
        <v/>
      </c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6"/>
      <c r="W93" s="56"/>
      <c r="X93" s="56"/>
      <c r="Y93" s="56"/>
      <c r="Z93" s="57"/>
      <c r="AA93" s="58"/>
      <c r="AB93" s="59"/>
    </row>
    <row r="94" ht="13.5" customHeight="1">
      <c r="A94" s="60" t="str">
        <f>IFERROR(__xludf.DUMMYFUNCTION("""COMPUTED_VALUE"""),"")</f>
        <v/>
      </c>
      <c r="B94" s="64" t="str">
        <f>IFERROR(__xludf.DUMMYFUNCTION("""COMPUTED_VALUE"""),"")</f>
        <v/>
      </c>
      <c r="C94" s="63" t="str">
        <f>IFERROR(__xludf.DUMMYFUNCTION("""COMPUTED_VALUE"""),"")</f>
        <v/>
      </c>
      <c r="D94" s="63" t="str">
        <f>IFERROR(__xludf.DUMMYFUNCTION("""COMPUTED_VALUE"""),"")</f>
        <v/>
      </c>
      <c r="E94" s="51" t="str">
        <f>IFERROR(__xludf.DUMMYFUNCTION("""COMPUTED_VALUE"""),"")</f>
        <v/>
      </c>
      <c r="F94" s="82" t="str">
        <f>IFERROR(__xludf.DUMMYFUNCTION("""COMPUTED_VALUE"""),"")</f>
        <v/>
      </c>
      <c r="G94" s="52" t="str">
        <f>IFERROR(__xludf.DUMMYFUNCTION("""COMPUTED_VALUE"""),"")</f>
        <v/>
      </c>
      <c r="H94" s="53" t="str">
        <f>IFERROR(__xludf.DUMMYFUNCTION("""COMPUTED_VALUE"""),"")</f>
        <v/>
      </c>
      <c r="I94" s="53" t="str">
        <f>IFERROR(__xludf.DUMMYFUNCTION("""COMPUTED_VALUE"""),"")</f>
        <v/>
      </c>
      <c r="J94" s="53" t="str">
        <f>IFERROR(__xludf.DUMMYFUNCTION("""COMPUTED_VALUE"""),"")</f>
        <v/>
      </c>
      <c r="K94" s="54" t="str">
        <f>IFERROR(__xludf.DUMMYFUNCTION("""COMPUTED_VALUE"""),"")</f>
        <v/>
      </c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6"/>
      <c r="W94" s="56"/>
      <c r="X94" s="56"/>
      <c r="Y94" s="56"/>
      <c r="Z94" s="57"/>
      <c r="AA94" s="58"/>
      <c r="AB94" s="59"/>
    </row>
    <row r="95" ht="13.5" customHeight="1">
      <c r="A95" s="60" t="str">
        <f>IFERROR(__xludf.DUMMYFUNCTION("""COMPUTED_VALUE"""),"")</f>
        <v/>
      </c>
      <c r="B95" s="64" t="str">
        <f>IFERROR(__xludf.DUMMYFUNCTION("""COMPUTED_VALUE"""),"")</f>
        <v/>
      </c>
      <c r="C95" s="63" t="str">
        <f>IFERROR(__xludf.DUMMYFUNCTION("""COMPUTED_VALUE"""),"")</f>
        <v/>
      </c>
      <c r="D95" s="63" t="str">
        <f>IFERROR(__xludf.DUMMYFUNCTION("""COMPUTED_VALUE"""),"")</f>
        <v/>
      </c>
      <c r="E95" s="51" t="str">
        <f>IFERROR(__xludf.DUMMYFUNCTION("""COMPUTED_VALUE"""),"")</f>
        <v/>
      </c>
      <c r="F95" s="82" t="str">
        <f>IFERROR(__xludf.DUMMYFUNCTION("""COMPUTED_VALUE"""),"")</f>
        <v/>
      </c>
      <c r="G95" s="52" t="str">
        <f>IFERROR(__xludf.DUMMYFUNCTION("""COMPUTED_VALUE"""),"")</f>
        <v/>
      </c>
      <c r="H95" s="53" t="str">
        <f>IFERROR(__xludf.DUMMYFUNCTION("""COMPUTED_VALUE"""),"")</f>
        <v/>
      </c>
      <c r="I95" s="53" t="str">
        <f>IFERROR(__xludf.DUMMYFUNCTION("""COMPUTED_VALUE"""),"")</f>
        <v/>
      </c>
      <c r="J95" s="53" t="str">
        <f>IFERROR(__xludf.DUMMYFUNCTION("""COMPUTED_VALUE"""),"")</f>
        <v/>
      </c>
      <c r="K95" s="54" t="str">
        <f>IFERROR(__xludf.DUMMYFUNCTION("""COMPUTED_VALUE"""),"")</f>
        <v/>
      </c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6"/>
      <c r="W95" s="56"/>
      <c r="X95" s="56"/>
      <c r="Y95" s="56"/>
      <c r="Z95" s="57"/>
      <c r="AA95" s="58"/>
      <c r="AB95" s="59"/>
    </row>
    <row r="96" ht="13.5" customHeight="1">
      <c r="A96" s="60" t="str">
        <f>IFERROR(__xludf.DUMMYFUNCTION("""COMPUTED_VALUE"""),"")</f>
        <v/>
      </c>
      <c r="B96" s="64" t="str">
        <f>IFERROR(__xludf.DUMMYFUNCTION("""COMPUTED_VALUE"""),"")</f>
        <v/>
      </c>
      <c r="C96" s="63" t="str">
        <f>IFERROR(__xludf.DUMMYFUNCTION("""COMPUTED_VALUE"""),"")</f>
        <v/>
      </c>
      <c r="D96" s="63" t="str">
        <f>IFERROR(__xludf.DUMMYFUNCTION("""COMPUTED_VALUE"""),"")</f>
        <v/>
      </c>
      <c r="E96" s="51" t="str">
        <f>IFERROR(__xludf.DUMMYFUNCTION("""COMPUTED_VALUE"""),"")</f>
        <v/>
      </c>
      <c r="F96" s="82" t="str">
        <f>IFERROR(__xludf.DUMMYFUNCTION("""COMPUTED_VALUE"""),"")</f>
        <v/>
      </c>
      <c r="G96" s="52" t="str">
        <f>IFERROR(__xludf.DUMMYFUNCTION("""COMPUTED_VALUE"""),"")</f>
        <v/>
      </c>
      <c r="H96" s="53" t="str">
        <f>IFERROR(__xludf.DUMMYFUNCTION("""COMPUTED_VALUE"""),"")</f>
        <v/>
      </c>
      <c r="I96" s="53" t="str">
        <f>IFERROR(__xludf.DUMMYFUNCTION("""COMPUTED_VALUE"""),"")</f>
        <v/>
      </c>
      <c r="J96" s="53" t="str">
        <f>IFERROR(__xludf.DUMMYFUNCTION("""COMPUTED_VALUE"""),"")</f>
        <v/>
      </c>
      <c r="K96" s="54" t="str">
        <f>IFERROR(__xludf.DUMMYFUNCTION("""COMPUTED_VALUE"""),"")</f>
        <v/>
      </c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6"/>
      <c r="W96" s="56"/>
      <c r="X96" s="56"/>
      <c r="Y96" s="56"/>
      <c r="Z96" s="57"/>
      <c r="AA96" s="58"/>
      <c r="AB96" s="59"/>
    </row>
    <row r="97" ht="13.5" customHeight="1">
      <c r="A97" s="60" t="str">
        <f>IFERROR(__xludf.DUMMYFUNCTION("""COMPUTED_VALUE"""),"")</f>
        <v/>
      </c>
      <c r="B97" s="64" t="str">
        <f>IFERROR(__xludf.DUMMYFUNCTION("""COMPUTED_VALUE"""),"")</f>
        <v/>
      </c>
      <c r="C97" s="63" t="str">
        <f>IFERROR(__xludf.DUMMYFUNCTION("""COMPUTED_VALUE"""),"")</f>
        <v/>
      </c>
      <c r="D97" s="63" t="str">
        <f>IFERROR(__xludf.DUMMYFUNCTION("""COMPUTED_VALUE"""),"")</f>
        <v/>
      </c>
      <c r="E97" s="51" t="str">
        <f>IFERROR(__xludf.DUMMYFUNCTION("""COMPUTED_VALUE"""),"")</f>
        <v/>
      </c>
      <c r="F97" s="82" t="str">
        <f>IFERROR(__xludf.DUMMYFUNCTION("""COMPUTED_VALUE"""),"")</f>
        <v/>
      </c>
      <c r="G97" s="52" t="str">
        <f>IFERROR(__xludf.DUMMYFUNCTION("""COMPUTED_VALUE"""),"")</f>
        <v/>
      </c>
      <c r="H97" s="53" t="str">
        <f>IFERROR(__xludf.DUMMYFUNCTION("""COMPUTED_VALUE"""),"")</f>
        <v/>
      </c>
      <c r="I97" s="53" t="str">
        <f>IFERROR(__xludf.DUMMYFUNCTION("""COMPUTED_VALUE"""),"")</f>
        <v/>
      </c>
      <c r="J97" s="53" t="str">
        <f>IFERROR(__xludf.DUMMYFUNCTION("""COMPUTED_VALUE"""),"")</f>
        <v/>
      </c>
      <c r="K97" s="54" t="str">
        <f>IFERROR(__xludf.DUMMYFUNCTION("""COMPUTED_VALUE"""),"")</f>
        <v/>
      </c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6"/>
      <c r="W97" s="56"/>
      <c r="X97" s="56"/>
      <c r="Y97" s="56"/>
      <c r="Z97" s="57"/>
      <c r="AA97" s="58"/>
      <c r="AB97" s="59"/>
    </row>
    <row r="98" ht="13.5" customHeight="1">
      <c r="A98" s="60" t="str">
        <f>IFERROR(__xludf.DUMMYFUNCTION("""COMPUTED_VALUE"""),"")</f>
        <v/>
      </c>
      <c r="B98" s="64" t="str">
        <f>IFERROR(__xludf.DUMMYFUNCTION("""COMPUTED_VALUE"""),"")</f>
        <v/>
      </c>
      <c r="C98" s="63" t="str">
        <f>IFERROR(__xludf.DUMMYFUNCTION("""COMPUTED_VALUE"""),"")</f>
        <v/>
      </c>
      <c r="D98" s="63" t="str">
        <f>IFERROR(__xludf.DUMMYFUNCTION("""COMPUTED_VALUE"""),"")</f>
        <v/>
      </c>
      <c r="E98" s="51" t="str">
        <f>IFERROR(__xludf.DUMMYFUNCTION("""COMPUTED_VALUE"""),"")</f>
        <v/>
      </c>
      <c r="F98" s="82" t="str">
        <f>IFERROR(__xludf.DUMMYFUNCTION("""COMPUTED_VALUE"""),"")</f>
        <v/>
      </c>
      <c r="G98" s="52" t="str">
        <f>IFERROR(__xludf.DUMMYFUNCTION("""COMPUTED_VALUE"""),"")</f>
        <v/>
      </c>
      <c r="H98" s="53" t="str">
        <f>IFERROR(__xludf.DUMMYFUNCTION("""COMPUTED_VALUE"""),"")</f>
        <v/>
      </c>
      <c r="I98" s="53" t="str">
        <f>IFERROR(__xludf.DUMMYFUNCTION("""COMPUTED_VALUE"""),"")</f>
        <v/>
      </c>
      <c r="J98" s="53" t="str">
        <f>IFERROR(__xludf.DUMMYFUNCTION("""COMPUTED_VALUE"""),"")</f>
        <v/>
      </c>
      <c r="K98" s="54" t="str">
        <f>IFERROR(__xludf.DUMMYFUNCTION("""COMPUTED_VALUE"""),"")</f>
        <v/>
      </c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6"/>
      <c r="W98" s="56"/>
      <c r="X98" s="56"/>
      <c r="Y98" s="56"/>
      <c r="Z98" s="57"/>
      <c r="AA98" s="58"/>
      <c r="AB98" s="59"/>
    </row>
    <row r="99" ht="13.5" customHeight="1">
      <c r="A99" s="60" t="str">
        <f>IFERROR(__xludf.DUMMYFUNCTION("""COMPUTED_VALUE"""),"")</f>
        <v/>
      </c>
      <c r="B99" s="64" t="str">
        <f>IFERROR(__xludf.DUMMYFUNCTION("""COMPUTED_VALUE"""),"")</f>
        <v/>
      </c>
      <c r="C99" s="63" t="str">
        <f>IFERROR(__xludf.DUMMYFUNCTION("""COMPUTED_VALUE"""),"")</f>
        <v/>
      </c>
      <c r="D99" s="63" t="str">
        <f>IFERROR(__xludf.DUMMYFUNCTION("""COMPUTED_VALUE"""),"")</f>
        <v/>
      </c>
      <c r="E99" s="51" t="str">
        <f>IFERROR(__xludf.DUMMYFUNCTION("""COMPUTED_VALUE"""),"")</f>
        <v/>
      </c>
      <c r="F99" s="82" t="str">
        <f>IFERROR(__xludf.DUMMYFUNCTION("""COMPUTED_VALUE"""),"")</f>
        <v/>
      </c>
      <c r="G99" s="52" t="str">
        <f>IFERROR(__xludf.DUMMYFUNCTION("""COMPUTED_VALUE"""),"")</f>
        <v/>
      </c>
      <c r="H99" s="53" t="str">
        <f>IFERROR(__xludf.DUMMYFUNCTION("""COMPUTED_VALUE"""),"")</f>
        <v/>
      </c>
      <c r="I99" s="53" t="str">
        <f>IFERROR(__xludf.DUMMYFUNCTION("""COMPUTED_VALUE"""),"")</f>
        <v/>
      </c>
      <c r="J99" s="53" t="str">
        <f>IFERROR(__xludf.DUMMYFUNCTION("""COMPUTED_VALUE"""),"")</f>
        <v/>
      </c>
      <c r="K99" s="54" t="str">
        <f>IFERROR(__xludf.DUMMYFUNCTION("""COMPUTED_VALUE"""),"")</f>
        <v/>
      </c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6"/>
      <c r="W99" s="56"/>
      <c r="X99" s="56"/>
      <c r="Y99" s="56"/>
      <c r="Z99" s="57"/>
      <c r="AA99" s="58"/>
      <c r="AB99" s="59"/>
    </row>
    <row r="100" ht="13.5" customHeight="1">
      <c r="A100" s="60" t="str">
        <f>IFERROR(__xludf.DUMMYFUNCTION("""COMPUTED_VALUE"""),"")</f>
        <v/>
      </c>
      <c r="B100" s="64" t="str">
        <f>IFERROR(__xludf.DUMMYFUNCTION("""COMPUTED_VALUE"""),"")</f>
        <v/>
      </c>
      <c r="C100" s="63" t="str">
        <f>IFERROR(__xludf.DUMMYFUNCTION("""COMPUTED_VALUE"""),"")</f>
        <v/>
      </c>
      <c r="D100" s="63" t="str">
        <f>IFERROR(__xludf.DUMMYFUNCTION("""COMPUTED_VALUE"""),"")</f>
        <v/>
      </c>
      <c r="E100" s="51" t="str">
        <f>IFERROR(__xludf.DUMMYFUNCTION("""COMPUTED_VALUE"""),"")</f>
        <v/>
      </c>
      <c r="F100" s="82" t="str">
        <f>IFERROR(__xludf.DUMMYFUNCTION("""COMPUTED_VALUE"""),"")</f>
        <v/>
      </c>
      <c r="G100" s="52" t="str">
        <f>IFERROR(__xludf.DUMMYFUNCTION("""COMPUTED_VALUE"""),"")</f>
        <v/>
      </c>
      <c r="H100" s="53" t="str">
        <f>IFERROR(__xludf.DUMMYFUNCTION("""COMPUTED_VALUE"""),"")</f>
        <v/>
      </c>
      <c r="I100" s="53" t="str">
        <f>IFERROR(__xludf.DUMMYFUNCTION("""COMPUTED_VALUE"""),"")</f>
        <v/>
      </c>
      <c r="J100" s="53" t="str">
        <f>IFERROR(__xludf.DUMMYFUNCTION("""COMPUTED_VALUE"""),"")</f>
        <v/>
      </c>
      <c r="K100" s="54" t="str">
        <f>IFERROR(__xludf.DUMMYFUNCTION("""COMPUTED_VALUE"""),"")</f>
        <v/>
      </c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6"/>
      <c r="W100" s="56"/>
      <c r="X100" s="56"/>
      <c r="Y100" s="56"/>
      <c r="Z100" s="57"/>
      <c r="AA100" s="58"/>
      <c r="AB100" s="59"/>
    </row>
    <row r="101" ht="13.5" customHeight="1">
      <c r="A101" s="60" t="str">
        <f>IFERROR(__xludf.DUMMYFUNCTION("""COMPUTED_VALUE"""),"")</f>
        <v/>
      </c>
      <c r="B101" s="64" t="str">
        <f>IFERROR(__xludf.DUMMYFUNCTION("""COMPUTED_VALUE"""),"")</f>
        <v/>
      </c>
      <c r="C101" s="63" t="str">
        <f>IFERROR(__xludf.DUMMYFUNCTION("""COMPUTED_VALUE"""),"")</f>
        <v/>
      </c>
      <c r="D101" s="63" t="str">
        <f>IFERROR(__xludf.DUMMYFUNCTION("""COMPUTED_VALUE"""),"")</f>
        <v/>
      </c>
      <c r="E101" s="51" t="str">
        <f>IFERROR(__xludf.DUMMYFUNCTION("""COMPUTED_VALUE"""),"")</f>
        <v/>
      </c>
      <c r="F101" s="82" t="str">
        <f>IFERROR(__xludf.DUMMYFUNCTION("""COMPUTED_VALUE"""),"")</f>
        <v/>
      </c>
      <c r="G101" s="52" t="str">
        <f>IFERROR(__xludf.DUMMYFUNCTION("""COMPUTED_VALUE"""),"")</f>
        <v/>
      </c>
      <c r="H101" s="53" t="str">
        <f>IFERROR(__xludf.DUMMYFUNCTION("""COMPUTED_VALUE"""),"")</f>
        <v/>
      </c>
      <c r="I101" s="53" t="str">
        <f>IFERROR(__xludf.DUMMYFUNCTION("""COMPUTED_VALUE"""),"")</f>
        <v/>
      </c>
      <c r="J101" s="53" t="str">
        <f>IFERROR(__xludf.DUMMYFUNCTION("""COMPUTED_VALUE"""),"")</f>
        <v/>
      </c>
      <c r="K101" s="54" t="str">
        <f>IFERROR(__xludf.DUMMYFUNCTION("""COMPUTED_VALUE"""),"")</f>
        <v/>
      </c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6"/>
      <c r="W101" s="56"/>
      <c r="X101" s="56"/>
      <c r="Y101" s="56"/>
      <c r="Z101" s="57"/>
      <c r="AA101" s="58"/>
      <c r="AB101" s="59"/>
    </row>
    <row r="102" ht="13.5" customHeight="1">
      <c r="A102" s="60" t="str">
        <f>IFERROR(__xludf.DUMMYFUNCTION("""COMPUTED_VALUE"""),"")</f>
        <v/>
      </c>
      <c r="B102" s="64" t="str">
        <f>IFERROR(__xludf.DUMMYFUNCTION("""COMPUTED_VALUE"""),"")</f>
        <v/>
      </c>
      <c r="C102" s="63" t="str">
        <f>IFERROR(__xludf.DUMMYFUNCTION("""COMPUTED_VALUE"""),"")</f>
        <v/>
      </c>
      <c r="D102" s="63" t="str">
        <f>IFERROR(__xludf.DUMMYFUNCTION("""COMPUTED_VALUE"""),"")</f>
        <v/>
      </c>
      <c r="E102" s="51" t="str">
        <f>IFERROR(__xludf.DUMMYFUNCTION("""COMPUTED_VALUE"""),"")</f>
        <v/>
      </c>
      <c r="F102" s="82" t="str">
        <f>IFERROR(__xludf.DUMMYFUNCTION("""COMPUTED_VALUE"""),"")</f>
        <v/>
      </c>
      <c r="G102" s="52" t="str">
        <f>IFERROR(__xludf.DUMMYFUNCTION("""COMPUTED_VALUE"""),"")</f>
        <v/>
      </c>
      <c r="H102" s="53" t="str">
        <f>IFERROR(__xludf.DUMMYFUNCTION("""COMPUTED_VALUE"""),"")</f>
        <v/>
      </c>
      <c r="I102" s="53" t="str">
        <f>IFERROR(__xludf.DUMMYFUNCTION("""COMPUTED_VALUE"""),"")</f>
        <v/>
      </c>
      <c r="J102" s="53" t="str">
        <f>IFERROR(__xludf.DUMMYFUNCTION("""COMPUTED_VALUE"""),"")</f>
        <v/>
      </c>
      <c r="K102" s="54" t="str">
        <f>IFERROR(__xludf.DUMMYFUNCTION("""COMPUTED_VALUE"""),"")</f>
        <v/>
      </c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6"/>
      <c r="W102" s="56"/>
      <c r="X102" s="56"/>
      <c r="Y102" s="56"/>
      <c r="Z102" s="57"/>
      <c r="AA102" s="58"/>
      <c r="AB102" s="59"/>
    </row>
    <row r="103" ht="13.5" customHeight="1">
      <c r="A103" s="60" t="str">
        <f>IFERROR(__xludf.DUMMYFUNCTION("""COMPUTED_VALUE"""),"")</f>
        <v/>
      </c>
      <c r="B103" s="64" t="str">
        <f>IFERROR(__xludf.DUMMYFUNCTION("""COMPUTED_VALUE"""),"")</f>
        <v/>
      </c>
      <c r="C103" s="63" t="str">
        <f>IFERROR(__xludf.DUMMYFUNCTION("""COMPUTED_VALUE"""),"")</f>
        <v/>
      </c>
      <c r="D103" s="63" t="str">
        <f>IFERROR(__xludf.DUMMYFUNCTION("""COMPUTED_VALUE"""),"")</f>
        <v/>
      </c>
      <c r="E103" s="51" t="str">
        <f>IFERROR(__xludf.DUMMYFUNCTION("""COMPUTED_VALUE"""),"")</f>
        <v/>
      </c>
      <c r="F103" s="82" t="str">
        <f>IFERROR(__xludf.DUMMYFUNCTION("""COMPUTED_VALUE"""),"")</f>
        <v/>
      </c>
      <c r="G103" s="52" t="str">
        <f>IFERROR(__xludf.DUMMYFUNCTION("""COMPUTED_VALUE"""),"")</f>
        <v/>
      </c>
      <c r="H103" s="53" t="str">
        <f>IFERROR(__xludf.DUMMYFUNCTION("""COMPUTED_VALUE"""),"")</f>
        <v/>
      </c>
      <c r="I103" s="53" t="str">
        <f>IFERROR(__xludf.DUMMYFUNCTION("""COMPUTED_VALUE"""),"")</f>
        <v/>
      </c>
      <c r="J103" s="53" t="str">
        <f>IFERROR(__xludf.DUMMYFUNCTION("""COMPUTED_VALUE"""),"")</f>
        <v/>
      </c>
      <c r="K103" s="54" t="str">
        <f>IFERROR(__xludf.DUMMYFUNCTION("""COMPUTED_VALUE"""),"")</f>
        <v/>
      </c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6"/>
      <c r="W103" s="56"/>
      <c r="X103" s="56"/>
      <c r="Y103" s="56"/>
      <c r="Z103" s="57"/>
      <c r="AA103" s="58"/>
      <c r="AB103" s="59"/>
    </row>
    <row r="104" ht="13.5" customHeight="1">
      <c r="A104" s="60" t="str">
        <f>IFERROR(__xludf.DUMMYFUNCTION("""COMPUTED_VALUE"""),"")</f>
        <v/>
      </c>
      <c r="B104" s="64" t="str">
        <f>IFERROR(__xludf.DUMMYFUNCTION("""COMPUTED_VALUE"""),"")</f>
        <v/>
      </c>
      <c r="C104" s="63" t="str">
        <f>IFERROR(__xludf.DUMMYFUNCTION("""COMPUTED_VALUE"""),"")</f>
        <v/>
      </c>
      <c r="D104" s="63" t="str">
        <f>IFERROR(__xludf.DUMMYFUNCTION("""COMPUTED_VALUE"""),"")</f>
        <v/>
      </c>
      <c r="E104" s="51" t="str">
        <f>IFERROR(__xludf.DUMMYFUNCTION("""COMPUTED_VALUE"""),"")</f>
        <v/>
      </c>
      <c r="F104" s="82" t="str">
        <f>IFERROR(__xludf.DUMMYFUNCTION("""COMPUTED_VALUE"""),"")</f>
        <v/>
      </c>
      <c r="G104" s="52" t="str">
        <f>IFERROR(__xludf.DUMMYFUNCTION("""COMPUTED_VALUE"""),"")</f>
        <v/>
      </c>
      <c r="H104" s="53" t="str">
        <f>IFERROR(__xludf.DUMMYFUNCTION("""COMPUTED_VALUE"""),"")</f>
        <v/>
      </c>
      <c r="I104" s="53" t="str">
        <f>IFERROR(__xludf.DUMMYFUNCTION("""COMPUTED_VALUE"""),"")</f>
        <v/>
      </c>
      <c r="J104" s="53" t="str">
        <f>IFERROR(__xludf.DUMMYFUNCTION("""COMPUTED_VALUE"""),"")</f>
        <v/>
      </c>
      <c r="K104" s="54" t="str">
        <f>IFERROR(__xludf.DUMMYFUNCTION("""COMPUTED_VALUE"""),"")</f>
        <v/>
      </c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6"/>
      <c r="W104" s="56"/>
      <c r="X104" s="56"/>
      <c r="Y104" s="56"/>
      <c r="Z104" s="57"/>
      <c r="AA104" s="58"/>
      <c r="AB104" s="59"/>
    </row>
    <row r="105" ht="13.5" customHeight="1">
      <c r="A105" s="60" t="str">
        <f>IFERROR(__xludf.DUMMYFUNCTION("""COMPUTED_VALUE"""),"")</f>
        <v/>
      </c>
      <c r="B105" s="64" t="str">
        <f>IFERROR(__xludf.DUMMYFUNCTION("""COMPUTED_VALUE"""),"")</f>
        <v/>
      </c>
      <c r="C105" s="63" t="str">
        <f>IFERROR(__xludf.DUMMYFUNCTION("""COMPUTED_VALUE"""),"")</f>
        <v/>
      </c>
      <c r="D105" s="63" t="str">
        <f>IFERROR(__xludf.DUMMYFUNCTION("""COMPUTED_VALUE"""),"")</f>
        <v/>
      </c>
      <c r="E105" s="51" t="str">
        <f>IFERROR(__xludf.DUMMYFUNCTION("""COMPUTED_VALUE"""),"")</f>
        <v/>
      </c>
      <c r="F105" s="82" t="str">
        <f>IFERROR(__xludf.DUMMYFUNCTION("""COMPUTED_VALUE"""),"")</f>
        <v/>
      </c>
      <c r="G105" s="52" t="str">
        <f>IFERROR(__xludf.DUMMYFUNCTION("""COMPUTED_VALUE"""),"")</f>
        <v/>
      </c>
      <c r="H105" s="53" t="str">
        <f>IFERROR(__xludf.DUMMYFUNCTION("""COMPUTED_VALUE"""),"")</f>
        <v/>
      </c>
      <c r="I105" s="53" t="str">
        <f>IFERROR(__xludf.DUMMYFUNCTION("""COMPUTED_VALUE"""),"")</f>
        <v/>
      </c>
      <c r="J105" s="53" t="str">
        <f>IFERROR(__xludf.DUMMYFUNCTION("""COMPUTED_VALUE"""),"")</f>
        <v/>
      </c>
      <c r="K105" s="54" t="str">
        <f>IFERROR(__xludf.DUMMYFUNCTION("""COMPUTED_VALUE"""),"")</f>
        <v/>
      </c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6"/>
      <c r="W105" s="56"/>
      <c r="X105" s="56"/>
      <c r="Y105" s="56"/>
      <c r="Z105" s="57"/>
      <c r="AA105" s="58"/>
      <c r="AB105" s="59"/>
    </row>
    <row r="106" ht="13.5" customHeight="1">
      <c r="A106" s="60" t="str">
        <f>IFERROR(__xludf.DUMMYFUNCTION("""COMPUTED_VALUE"""),"")</f>
        <v/>
      </c>
      <c r="B106" s="64" t="str">
        <f>IFERROR(__xludf.DUMMYFUNCTION("""COMPUTED_VALUE"""),"")</f>
        <v/>
      </c>
      <c r="C106" s="63" t="str">
        <f>IFERROR(__xludf.DUMMYFUNCTION("""COMPUTED_VALUE"""),"")</f>
        <v/>
      </c>
      <c r="D106" s="63" t="str">
        <f>IFERROR(__xludf.DUMMYFUNCTION("""COMPUTED_VALUE"""),"")</f>
        <v/>
      </c>
      <c r="E106" s="51" t="str">
        <f>IFERROR(__xludf.DUMMYFUNCTION("""COMPUTED_VALUE"""),"")</f>
        <v/>
      </c>
      <c r="F106" s="82" t="str">
        <f>IFERROR(__xludf.DUMMYFUNCTION("""COMPUTED_VALUE"""),"")</f>
        <v/>
      </c>
      <c r="G106" s="52" t="str">
        <f>IFERROR(__xludf.DUMMYFUNCTION("""COMPUTED_VALUE"""),"")</f>
        <v/>
      </c>
      <c r="H106" s="53" t="str">
        <f>IFERROR(__xludf.DUMMYFUNCTION("""COMPUTED_VALUE"""),"")</f>
        <v/>
      </c>
      <c r="I106" s="53" t="str">
        <f>IFERROR(__xludf.DUMMYFUNCTION("""COMPUTED_VALUE"""),"")</f>
        <v/>
      </c>
      <c r="J106" s="53" t="str">
        <f>IFERROR(__xludf.DUMMYFUNCTION("""COMPUTED_VALUE"""),"")</f>
        <v/>
      </c>
      <c r="K106" s="54" t="str">
        <f>IFERROR(__xludf.DUMMYFUNCTION("""COMPUTED_VALUE"""),"")</f>
        <v/>
      </c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6"/>
      <c r="W106" s="56"/>
      <c r="X106" s="56"/>
      <c r="Y106" s="56"/>
      <c r="Z106" s="57"/>
      <c r="AA106" s="58"/>
      <c r="AB106" s="59"/>
    </row>
    <row r="107" ht="13.5" customHeight="1">
      <c r="A107" s="60" t="str">
        <f>IFERROR(__xludf.DUMMYFUNCTION("""COMPUTED_VALUE"""),"")</f>
        <v/>
      </c>
      <c r="B107" s="64" t="str">
        <f>IFERROR(__xludf.DUMMYFUNCTION("""COMPUTED_VALUE"""),"")</f>
        <v/>
      </c>
      <c r="C107" s="63" t="str">
        <f>IFERROR(__xludf.DUMMYFUNCTION("""COMPUTED_VALUE"""),"")</f>
        <v/>
      </c>
      <c r="D107" s="63" t="str">
        <f>IFERROR(__xludf.DUMMYFUNCTION("""COMPUTED_VALUE"""),"")</f>
        <v/>
      </c>
      <c r="E107" s="51" t="str">
        <f>IFERROR(__xludf.DUMMYFUNCTION("""COMPUTED_VALUE"""),"")</f>
        <v/>
      </c>
      <c r="F107" s="82" t="str">
        <f>IFERROR(__xludf.DUMMYFUNCTION("""COMPUTED_VALUE"""),"")</f>
        <v/>
      </c>
      <c r="G107" s="52" t="str">
        <f>IFERROR(__xludf.DUMMYFUNCTION("""COMPUTED_VALUE"""),"")</f>
        <v/>
      </c>
      <c r="H107" s="53" t="str">
        <f>IFERROR(__xludf.DUMMYFUNCTION("""COMPUTED_VALUE"""),"")</f>
        <v/>
      </c>
      <c r="I107" s="53" t="str">
        <f>IFERROR(__xludf.DUMMYFUNCTION("""COMPUTED_VALUE"""),"")</f>
        <v/>
      </c>
      <c r="J107" s="53" t="str">
        <f>IFERROR(__xludf.DUMMYFUNCTION("""COMPUTED_VALUE"""),"")</f>
        <v/>
      </c>
      <c r="K107" s="54" t="str">
        <f>IFERROR(__xludf.DUMMYFUNCTION("""COMPUTED_VALUE"""),"")</f>
        <v/>
      </c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6"/>
      <c r="W107" s="56"/>
      <c r="X107" s="56"/>
      <c r="Y107" s="56"/>
      <c r="Z107" s="57"/>
      <c r="AA107" s="58"/>
      <c r="AB107" s="59"/>
    </row>
    <row r="108" ht="13.5" customHeight="1">
      <c r="A108" s="60" t="str">
        <f>IFERROR(__xludf.DUMMYFUNCTION("""COMPUTED_VALUE"""),"")</f>
        <v/>
      </c>
      <c r="B108" s="64" t="str">
        <f>IFERROR(__xludf.DUMMYFUNCTION("""COMPUTED_VALUE"""),"")</f>
        <v/>
      </c>
      <c r="C108" s="63" t="str">
        <f>IFERROR(__xludf.DUMMYFUNCTION("""COMPUTED_VALUE"""),"")</f>
        <v/>
      </c>
      <c r="D108" s="63" t="str">
        <f>IFERROR(__xludf.DUMMYFUNCTION("""COMPUTED_VALUE"""),"")</f>
        <v/>
      </c>
      <c r="E108" s="51" t="str">
        <f>IFERROR(__xludf.DUMMYFUNCTION("""COMPUTED_VALUE"""),"")</f>
        <v/>
      </c>
      <c r="F108" s="82" t="str">
        <f>IFERROR(__xludf.DUMMYFUNCTION("""COMPUTED_VALUE"""),"")</f>
        <v/>
      </c>
      <c r="G108" s="52" t="str">
        <f>IFERROR(__xludf.DUMMYFUNCTION("""COMPUTED_VALUE"""),"")</f>
        <v/>
      </c>
      <c r="H108" s="53" t="str">
        <f>IFERROR(__xludf.DUMMYFUNCTION("""COMPUTED_VALUE"""),"")</f>
        <v/>
      </c>
      <c r="I108" s="53" t="str">
        <f>IFERROR(__xludf.DUMMYFUNCTION("""COMPUTED_VALUE"""),"")</f>
        <v/>
      </c>
      <c r="J108" s="53" t="str">
        <f>IFERROR(__xludf.DUMMYFUNCTION("""COMPUTED_VALUE"""),"")</f>
        <v/>
      </c>
      <c r="K108" s="54" t="str">
        <f>IFERROR(__xludf.DUMMYFUNCTION("""COMPUTED_VALUE"""),"")</f>
        <v/>
      </c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6"/>
      <c r="W108" s="56"/>
      <c r="X108" s="56"/>
      <c r="Y108" s="56"/>
      <c r="Z108" s="57"/>
      <c r="AA108" s="58"/>
      <c r="AB108" s="59"/>
    </row>
    <row r="109" ht="13.5" customHeight="1">
      <c r="A109" s="60" t="str">
        <f>IFERROR(__xludf.DUMMYFUNCTION("""COMPUTED_VALUE"""),"")</f>
        <v/>
      </c>
      <c r="B109" s="64" t="str">
        <f>IFERROR(__xludf.DUMMYFUNCTION("""COMPUTED_VALUE"""),"")</f>
        <v/>
      </c>
      <c r="C109" s="63" t="str">
        <f>IFERROR(__xludf.DUMMYFUNCTION("""COMPUTED_VALUE"""),"")</f>
        <v/>
      </c>
      <c r="D109" s="63" t="str">
        <f>IFERROR(__xludf.DUMMYFUNCTION("""COMPUTED_VALUE"""),"")</f>
        <v/>
      </c>
      <c r="E109" s="51" t="str">
        <f>IFERROR(__xludf.DUMMYFUNCTION("""COMPUTED_VALUE"""),"")</f>
        <v/>
      </c>
      <c r="F109" s="82" t="str">
        <f>IFERROR(__xludf.DUMMYFUNCTION("""COMPUTED_VALUE"""),"")</f>
        <v/>
      </c>
      <c r="G109" s="52" t="str">
        <f>IFERROR(__xludf.DUMMYFUNCTION("""COMPUTED_VALUE"""),"")</f>
        <v/>
      </c>
      <c r="H109" s="53" t="str">
        <f>IFERROR(__xludf.DUMMYFUNCTION("""COMPUTED_VALUE"""),"")</f>
        <v/>
      </c>
      <c r="I109" s="53" t="str">
        <f>IFERROR(__xludf.DUMMYFUNCTION("""COMPUTED_VALUE"""),"")</f>
        <v/>
      </c>
      <c r="J109" s="53" t="str">
        <f>IFERROR(__xludf.DUMMYFUNCTION("""COMPUTED_VALUE"""),"")</f>
        <v/>
      </c>
      <c r="K109" s="54" t="str">
        <f>IFERROR(__xludf.DUMMYFUNCTION("""COMPUTED_VALUE"""),"")</f>
        <v/>
      </c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6"/>
      <c r="W109" s="56"/>
      <c r="X109" s="56"/>
      <c r="Y109" s="56"/>
      <c r="Z109" s="57"/>
      <c r="AA109" s="58"/>
      <c r="AB109" s="59"/>
    </row>
    <row r="110" ht="13.5" customHeight="1">
      <c r="A110" s="60" t="str">
        <f>IFERROR(__xludf.DUMMYFUNCTION("""COMPUTED_VALUE"""),"")</f>
        <v/>
      </c>
      <c r="B110" s="64" t="str">
        <f>IFERROR(__xludf.DUMMYFUNCTION("""COMPUTED_VALUE"""),"")</f>
        <v/>
      </c>
      <c r="C110" s="63" t="str">
        <f>IFERROR(__xludf.DUMMYFUNCTION("""COMPUTED_VALUE"""),"")</f>
        <v/>
      </c>
      <c r="D110" s="63" t="str">
        <f>IFERROR(__xludf.DUMMYFUNCTION("""COMPUTED_VALUE"""),"")</f>
        <v/>
      </c>
      <c r="E110" s="51" t="str">
        <f>IFERROR(__xludf.DUMMYFUNCTION("""COMPUTED_VALUE"""),"")</f>
        <v/>
      </c>
      <c r="F110" s="82" t="str">
        <f>IFERROR(__xludf.DUMMYFUNCTION("""COMPUTED_VALUE"""),"")</f>
        <v/>
      </c>
      <c r="G110" s="52" t="str">
        <f>IFERROR(__xludf.DUMMYFUNCTION("""COMPUTED_VALUE"""),"")</f>
        <v/>
      </c>
      <c r="H110" s="53" t="str">
        <f>IFERROR(__xludf.DUMMYFUNCTION("""COMPUTED_VALUE"""),"")</f>
        <v/>
      </c>
      <c r="I110" s="53" t="str">
        <f>IFERROR(__xludf.DUMMYFUNCTION("""COMPUTED_VALUE"""),"")</f>
        <v/>
      </c>
      <c r="J110" s="53" t="str">
        <f>IFERROR(__xludf.DUMMYFUNCTION("""COMPUTED_VALUE"""),"")</f>
        <v/>
      </c>
      <c r="K110" s="54" t="str">
        <f>IFERROR(__xludf.DUMMYFUNCTION("""COMPUTED_VALUE"""),"")</f>
        <v/>
      </c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6"/>
      <c r="W110" s="56"/>
      <c r="X110" s="56"/>
      <c r="Y110" s="56"/>
      <c r="Z110" s="57"/>
      <c r="AA110" s="58"/>
      <c r="AB110" s="59"/>
    </row>
    <row r="111" ht="13.5" customHeight="1">
      <c r="A111" s="60" t="str">
        <f>IFERROR(__xludf.DUMMYFUNCTION("""COMPUTED_VALUE"""),"")</f>
        <v/>
      </c>
      <c r="B111" s="64" t="str">
        <f>IFERROR(__xludf.DUMMYFUNCTION("""COMPUTED_VALUE"""),"")</f>
        <v/>
      </c>
      <c r="C111" s="63" t="str">
        <f>IFERROR(__xludf.DUMMYFUNCTION("""COMPUTED_VALUE"""),"")</f>
        <v/>
      </c>
      <c r="D111" s="63" t="str">
        <f>IFERROR(__xludf.DUMMYFUNCTION("""COMPUTED_VALUE"""),"")</f>
        <v/>
      </c>
      <c r="E111" s="51" t="str">
        <f>IFERROR(__xludf.DUMMYFUNCTION("""COMPUTED_VALUE"""),"")</f>
        <v/>
      </c>
      <c r="F111" s="82" t="str">
        <f>IFERROR(__xludf.DUMMYFUNCTION("""COMPUTED_VALUE"""),"")</f>
        <v/>
      </c>
      <c r="G111" s="52" t="str">
        <f>IFERROR(__xludf.DUMMYFUNCTION("""COMPUTED_VALUE"""),"")</f>
        <v/>
      </c>
      <c r="H111" s="53" t="str">
        <f>IFERROR(__xludf.DUMMYFUNCTION("""COMPUTED_VALUE"""),"")</f>
        <v/>
      </c>
      <c r="I111" s="53" t="str">
        <f>IFERROR(__xludf.DUMMYFUNCTION("""COMPUTED_VALUE"""),"")</f>
        <v/>
      </c>
      <c r="J111" s="53" t="str">
        <f>IFERROR(__xludf.DUMMYFUNCTION("""COMPUTED_VALUE"""),"")</f>
        <v/>
      </c>
      <c r="K111" s="54" t="str">
        <f>IFERROR(__xludf.DUMMYFUNCTION("""COMPUTED_VALUE"""),"")</f>
        <v/>
      </c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6"/>
      <c r="W111" s="56"/>
      <c r="X111" s="56"/>
      <c r="Y111" s="56"/>
      <c r="Z111" s="57"/>
      <c r="AA111" s="58"/>
      <c r="AB111" s="59"/>
    </row>
    <row r="112" ht="13.5" customHeight="1">
      <c r="A112" s="60" t="str">
        <f>IFERROR(__xludf.DUMMYFUNCTION("""COMPUTED_VALUE"""),"")</f>
        <v/>
      </c>
      <c r="B112" s="64" t="str">
        <f>IFERROR(__xludf.DUMMYFUNCTION("""COMPUTED_VALUE"""),"")</f>
        <v/>
      </c>
      <c r="C112" s="63" t="str">
        <f>IFERROR(__xludf.DUMMYFUNCTION("""COMPUTED_VALUE"""),"")</f>
        <v/>
      </c>
      <c r="D112" s="63" t="str">
        <f>IFERROR(__xludf.DUMMYFUNCTION("""COMPUTED_VALUE"""),"")</f>
        <v/>
      </c>
      <c r="E112" s="51" t="str">
        <f>IFERROR(__xludf.DUMMYFUNCTION("""COMPUTED_VALUE"""),"")</f>
        <v/>
      </c>
      <c r="F112" s="82" t="str">
        <f>IFERROR(__xludf.DUMMYFUNCTION("""COMPUTED_VALUE"""),"")</f>
        <v/>
      </c>
      <c r="G112" s="52" t="str">
        <f>IFERROR(__xludf.DUMMYFUNCTION("""COMPUTED_VALUE"""),"")</f>
        <v/>
      </c>
      <c r="H112" s="53" t="str">
        <f>IFERROR(__xludf.DUMMYFUNCTION("""COMPUTED_VALUE"""),"")</f>
        <v/>
      </c>
      <c r="I112" s="53" t="str">
        <f>IFERROR(__xludf.DUMMYFUNCTION("""COMPUTED_VALUE"""),"")</f>
        <v/>
      </c>
      <c r="J112" s="53" t="str">
        <f>IFERROR(__xludf.DUMMYFUNCTION("""COMPUTED_VALUE"""),"")</f>
        <v/>
      </c>
      <c r="K112" s="54" t="str">
        <f>IFERROR(__xludf.DUMMYFUNCTION("""COMPUTED_VALUE"""),"")</f>
        <v/>
      </c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6"/>
      <c r="W112" s="56"/>
      <c r="X112" s="56"/>
      <c r="Y112" s="56"/>
      <c r="Z112" s="57"/>
      <c r="AA112" s="58"/>
      <c r="AB112" s="59"/>
    </row>
    <row r="113" ht="13.5" customHeight="1">
      <c r="A113" s="60" t="str">
        <f>IFERROR(__xludf.DUMMYFUNCTION("""COMPUTED_VALUE"""),"")</f>
        <v/>
      </c>
      <c r="B113" s="64" t="str">
        <f>IFERROR(__xludf.DUMMYFUNCTION("""COMPUTED_VALUE"""),"")</f>
        <v/>
      </c>
      <c r="C113" s="63" t="str">
        <f>IFERROR(__xludf.DUMMYFUNCTION("""COMPUTED_VALUE"""),"")</f>
        <v/>
      </c>
      <c r="D113" s="63" t="str">
        <f>IFERROR(__xludf.DUMMYFUNCTION("""COMPUTED_VALUE"""),"")</f>
        <v/>
      </c>
      <c r="E113" s="51" t="str">
        <f>IFERROR(__xludf.DUMMYFUNCTION("""COMPUTED_VALUE"""),"")</f>
        <v/>
      </c>
      <c r="F113" s="82" t="str">
        <f>IFERROR(__xludf.DUMMYFUNCTION("""COMPUTED_VALUE"""),"")</f>
        <v/>
      </c>
      <c r="G113" s="52" t="str">
        <f>IFERROR(__xludf.DUMMYFUNCTION("""COMPUTED_VALUE"""),"")</f>
        <v/>
      </c>
      <c r="H113" s="53" t="str">
        <f>IFERROR(__xludf.DUMMYFUNCTION("""COMPUTED_VALUE"""),"")</f>
        <v/>
      </c>
      <c r="I113" s="53" t="str">
        <f>IFERROR(__xludf.DUMMYFUNCTION("""COMPUTED_VALUE"""),"")</f>
        <v/>
      </c>
      <c r="J113" s="53" t="str">
        <f>IFERROR(__xludf.DUMMYFUNCTION("""COMPUTED_VALUE"""),"")</f>
        <v/>
      </c>
      <c r="K113" s="54" t="str">
        <f>IFERROR(__xludf.DUMMYFUNCTION("""COMPUTED_VALUE"""),"")</f>
        <v/>
      </c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6"/>
      <c r="W113" s="56"/>
      <c r="X113" s="56"/>
      <c r="Y113" s="56"/>
      <c r="Z113" s="57"/>
      <c r="AA113" s="58"/>
      <c r="AB113" s="59"/>
    </row>
    <row r="114" ht="13.5" customHeight="1">
      <c r="A114" s="60" t="str">
        <f>IFERROR(__xludf.DUMMYFUNCTION("""COMPUTED_VALUE"""),"")</f>
        <v/>
      </c>
      <c r="B114" s="64" t="str">
        <f>IFERROR(__xludf.DUMMYFUNCTION("""COMPUTED_VALUE"""),"")</f>
        <v/>
      </c>
      <c r="C114" s="63" t="str">
        <f>IFERROR(__xludf.DUMMYFUNCTION("""COMPUTED_VALUE"""),"")</f>
        <v/>
      </c>
      <c r="D114" s="63" t="str">
        <f>IFERROR(__xludf.DUMMYFUNCTION("""COMPUTED_VALUE"""),"")</f>
        <v/>
      </c>
      <c r="E114" s="51" t="str">
        <f>IFERROR(__xludf.DUMMYFUNCTION("""COMPUTED_VALUE"""),"")</f>
        <v/>
      </c>
      <c r="F114" s="82" t="str">
        <f>IFERROR(__xludf.DUMMYFUNCTION("""COMPUTED_VALUE"""),"")</f>
        <v/>
      </c>
      <c r="G114" s="52" t="str">
        <f>IFERROR(__xludf.DUMMYFUNCTION("""COMPUTED_VALUE"""),"")</f>
        <v/>
      </c>
      <c r="H114" s="53" t="str">
        <f>IFERROR(__xludf.DUMMYFUNCTION("""COMPUTED_VALUE"""),"")</f>
        <v/>
      </c>
      <c r="I114" s="53" t="str">
        <f>IFERROR(__xludf.DUMMYFUNCTION("""COMPUTED_VALUE"""),"")</f>
        <v/>
      </c>
      <c r="J114" s="53" t="str">
        <f>IFERROR(__xludf.DUMMYFUNCTION("""COMPUTED_VALUE"""),"")</f>
        <v/>
      </c>
      <c r="K114" s="54" t="str">
        <f>IFERROR(__xludf.DUMMYFUNCTION("""COMPUTED_VALUE"""),"")</f>
        <v/>
      </c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6"/>
      <c r="W114" s="56"/>
      <c r="X114" s="56"/>
      <c r="Y114" s="56"/>
      <c r="Z114" s="57"/>
      <c r="AA114" s="58"/>
      <c r="AB114" s="59"/>
    </row>
    <row r="115" ht="13.5" customHeight="1">
      <c r="A115" s="60" t="str">
        <f>IFERROR(__xludf.DUMMYFUNCTION("""COMPUTED_VALUE"""),"")</f>
        <v/>
      </c>
      <c r="B115" s="64" t="str">
        <f>IFERROR(__xludf.DUMMYFUNCTION("""COMPUTED_VALUE"""),"")</f>
        <v/>
      </c>
      <c r="C115" s="63" t="str">
        <f>IFERROR(__xludf.DUMMYFUNCTION("""COMPUTED_VALUE"""),"")</f>
        <v/>
      </c>
      <c r="D115" s="63" t="str">
        <f>IFERROR(__xludf.DUMMYFUNCTION("""COMPUTED_VALUE"""),"")</f>
        <v/>
      </c>
      <c r="E115" s="51" t="str">
        <f>IFERROR(__xludf.DUMMYFUNCTION("""COMPUTED_VALUE"""),"")</f>
        <v/>
      </c>
      <c r="F115" s="82" t="str">
        <f>IFERROR(__xludf.DUMMYFUNCTION("""COMPUTED_VALUE"""),"")</f>
        <v/>
      </c>
      <c r="G115" s="52" t="str">
        <f>IFERROR(__xludf.DUMMYFUNCTION("""COMPUTED_VALUE"""),"")</f>
        <v/>
      </c>
      <c r="H115" s="53" t="str">
        <f>IFERROR(__xludf.DUMMYFUNCTION("""COMPUTED_VALUE"""),"")</f>
        <v/>
      </c>
      <c r="I115" s="53" t="str">
        <f>IFERROR(__xludf.DUMMYFUNCTION("""COMPUTED_VALUE"""),"")</f>
        <v/>
      </c>
      <c r="J115" s="53" t="str">
        <f>IFERROR(__xludf.DUMMYFUNCTION("""COMPUTED_VALUE"""),"")</f>
        <v/>
      </c>
      <c r="K115" s="54" t="str">
        <f>IFERROR(__xludf.DUMMYFUNCTION("""COMPUTED_VALUE"""),"")</f>
        <v/>
      </c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6"/>
      <c r="W115" s="56"/>
      <c r="X115" s="56"/>
      <c r="Y115" s="56"/>
      <c r="Z115" s="57"/>
      <c r="AA115" s="58"/>
      <c r="AB115" s="59"/>
    </row>
    <row r="116" ht="13.5" customHeight="1">
      <c r="A116" s="60" t="str">
        <f>IFERROR(__xludf.DUMMYFUNCTION("""COMPUTED_VALUE"""),"")</f>
        <v/>
      </c>
      <c r="B116" s="64" t="str">
        <f>IFERROR(__xludf.DUMMYFUNCTION("""COMPUTED_VALUE"""),"")</f>
        <v/>
      </c>
      <c r="C116" s="63" t="str">
        <f>IFERROR(__xludf.DUMMYFUNCTION("""COMPUTED_VALUE"""),"")</f>
        <v/>
      </c>
      <c r="D116" s="63" t="str">
        <f>IFERROR(__xludf.DUMMYFUNCTION("""COMPUTED_VALUE"""),"")</f>
        <v/>
      </c>
      <c r="E116" s="51" t="str">
        <f>IFERROR(__xludf.DUMMYFUNCTION("""COMPUTED_VALUE"""),"")</f>
        <v/>
      </c>
      <c r="F116" s="82" t="str">
        <f>IFERROR(__xludf.DUMMYFUNCTION("""COMPUTED_VALUE"""),"")</f>
        <v/>
      </c>
      <c r="G116" s="52" t="str">
        <f>IFERROR(__xludf.DUMMYFUNCTION("""COMPUTED_VALUE"""),"")</f>
        <v/>
      </c>
      <c r="H116" s="53" t="str">
        <f>IFERROR(__xludf.DUMMYFUNCTION("""COMPUTED_VALUE"""),"")</f>
        <v/>
      </c>
      <c r="I116" s="53" t="str">
        <f>IFERROR(__xludf.DUMMYFUNCTION("""COMPUTED_VALUE"""),"")</f>
        <v/>
      </c>
      <c r="J116" s="53" t="str">
        <f>IFERROR(__xludf.DUMMYFUNCTION("""COMPUTED_VALUE"""),"")</f>
        <v/>
      </c>
      <c r="K116" s="54" t="str">
        <f>IFERROR(__xludf.DUMMYFUNCTION("""COMPUTED_VALUE"""),"")</f>
        <v/>
      </c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6"/>
      <c r="W116" s="56"/>
      <c r="X116" s="56"/>
      <c r="Y116" s="56"/>
      <c r="Z116" s="57"/>
      <c r="AA116" s="58"/>
      <c r="AB116" s="59"/>
    </row>
    <row r="117" ht="13.5" customHeight="1">
      <c r="A117" s="60" t="str">
        <f>IFERROR(__xludf.DUMMYFUNCTION("""COMPUTED_VALUE"""),"")</f>
        <v/>
      </c>
      <c r="B117" s="64" t="str">
        <f>IFERROR(__xludf.DUMMYFUNCTION("""COMPUTED_VALUE"""),"")</f>
        <v/>
      </c>
      <c r="C117" s="63" t="str">
        <f>IFERROR(__xludf.DUMMYFUNCTION("""COMPUTED_VALUE"""),"")</f>
        <v/>
      </c>
      <c r="D117" s="63" t="str">
        <f>IFERROR(__xludf.DUMMYFUNCTION("""COMPUTED_VALUE"""),"")</f>
        <v/>
      </c>
      <c r="E117" s="51" t="str">
        <f>IFERROR(__xludf.DUMMYFUNCTION("""COMPUTED_VALUE"""),"")</f>
        <v/>
      </c>
      <c r="F117" s="82" t="str">
        <f>IFERROR(__xludf.DUMMYFUNCTION("""COMPUTED_VALUE"""),"")</f>
        <v/>
      </c>
      <c r="G117" s="52" t="str">
        <f>IFERROR(__xludf.DUMMYFUNCTION("""COMPUTED_VALUE"""),"")</f>
        <v/>
      </c>
      <c r="H117" s="53" t="str">
        <f>IFERROR(__xludf.DUMMYFUNCTION("""COMPUTED_VALUE"""),"")</f>
        <v/>
      </c>
      <c r="I117" s="53" t="str">
        <f>IFERROR(__xludf.DUMMYFUNCTION("""COMPUTED_VALUE"""),"")</f>
        <v/>
      </c>
      <c r="J117" s="53" t="str">
        <f>IFERROR(__xludf.DUMMYFUNCTION("""COMPUTED_VALUE"""),"")</f>
        <v/>
      </c>
      <c r="K117" s="54" t="str">
        <f>IFERROR(__xludf.DUMMYFUNCTION("""COMPUTED_VALUE"""),"")</f>
        <v/>
      </c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6"/>
      <c r="W117" s="56"/>
      <c r="X117" s="56"/>
      <c r="Y117" s="56"/>
      <c r="Z117" s="57"/>
      <c r="AA117" s="58"/>
      <c r="AB117" s="59"/>
    </row>
    <row r="118" ht="13.5" customHeight="1">
      <c r="A118" s="60" t="str">
        <f>IFERROR(__xludf.DUMMYFUNCTION("""COMPUTED_VALUE"""),"")</f>
        <v/>
      </c>
      <c r="B118" s="64" t="str">
        <f>IFERROR(__xludf.DUMMYFUNCTION("""COMPUTED_VALUE"""),"")</f>
        <v/>
      </c>
      <c r="C118" s="63" t="str">
        <f>IFERROR(__xludf.DUMMYFUNCTION("""COMPUTED_VALUE"""),"")</f>
        <v/>
      </c>
      <c r="D118" s="63" t="str">
        <f>IFERROR(__xludf.DUMMYFUNCTION("""COMPUTED_VALUE"""),"")</f>
        <v/>
      </c>
      <c r="E118" s="51" t="str">
        <f>IFERROR(__xludf.DUMMYFUNCTION("""COMPUTED_VALUE"""),"")</f>
        <v/>
      </c>
      <c r="F118" s="82" t="str">
        <f>IFERROR(__xludf.DUMMYFUNCTION("""COMPUTED_VALUE"""),"")</f>
        <v/>
      </c>
      <c r="G118" s="52" t="str">
        <f>IFERROR(__xludf.DUMMYFUNCTION("""COMPUTED_VALUE"""),"")</f>
        <v/>
      </c>
      <c r="H118" s="53" t="str">
        <f>IFERROR(__xludf.DUMMYFUNCTION("""COMPUTED_VALUE"""),"")</f>
        <v/>
      </c>
      <c r="I118" s="53" t="str">
        <f>IFERROR(__xludf.DUMMYFUNCTION("""COMPUTED_VALUE"""),"")</f>
        <v/>
      </c>
      <c r="J118" s="53" t="str">
        <f>IFERROR(__xludf.DUMMYFUNCTION("""COMPUTED_VALUE"""),"")</f>
        <v/>
      </c>
      <c r="K118" s="54" t="str">
        <f>IFERROR(__xludf.DUMMYFUNCTION("""COMPUTED_VALUE"""),"")</f>
        <v/>
      </c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6"/>
      <c r="W118" s="56"/>
      <c r="X118" s="56"/>
      <c r="Y118" s="56"/>
      <c r="Z118" s="57"/>
      <c r="AA118" s="58"/>
      <c r="AB118" s="59"/>
    </row>
    <row r="119" ht="13.5" customHeight="1">
      <c r="A119" s="60" t="str">
        <f>IFERROR(__xludf.DUMMYFUNCTION("""COMPUTED_VALUE"""),"")</f>
        <v/>
      </c>
      <c r="B119" s="64" t="str">
        <f>IFERROR(__xludf.DUMMYFUNCTION("""COMPUTED_VALUE"""),"")</f>
        <v/>
      </c>
      <c r="C119" s="63" t="str">
        <f>IFERROR(__xludf.DUMMYFUNCTION("""COMPUTED_VALUE"""),"")</f>
        <v/>
      </c>
      <c r="D119" s="63" t="str">
        <f>IFERROR(__xludf.DUMMYFUNCTION("""COMPUTED_VALUE"""),"")</f>
        <v/>
      </c>
      <c r="E119" s="51" t="str">
        <f>IFERROR(__xludf.DUMMYFUNCTION("""COMPUTED_VALUE"""),"")</f>
        <v/>
      </c>
      <c r="F119" s="82" t="str">
        <f>IFERROR(__xludf.DUMMYFUNCTION("""COMPUTED_VALUE"""),"")</f>
        <v/>
      </c>
      <c r="G119" s="52" t="str">
        <f>IFERROR(__xludf.DUMMYFUNCTION("""COMPUTED_VALUE"""),"")</f>
        <v/>
      </c>
      <c r="H119" s="53" t="str">
        <f>IFERROR(__xludf.DUMMYFUNCTION("""COMPUTED_VALUE"""),"")</f>
        <v/>
      </c>
      <c r="I119" s="53" t="str">
        <f>IFERROR(__xludf.DUMMYFUNCTION("""COMPUTED_VALUE"""),"")</f>
        <v/>
      </c>
      <c r="J119" s="53" t="str">
        <f>IFERROR(__xludf.DUMMYFUNCTION("""COMPUTED_VALUE"""),"")</f>
        <v/>
      </c>
      <c r="K119" s="54" t="str">
        <f>IFERROR(__xludf.DUMMYFUNCTION("""COMPUTED_VALUE"""),"")</f>
        <v/>
      </c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6"/>
      <c r="W119" s="56"/>
      <c r="X119" s="56"/>
      <c r="Y119" s="56"/>
      <c r="Z119" s="57"/>
      <c r="AA119" s="58"/>
      <c r="AB119" s="59"/>
    </row>
    <row r="120" ht="13.5" customHeight="1">
      <c r="A120" s="60" t="str">
        <f>IFERROR(__xludf.DUMMYFUNCTION("""COMPUTED_VALUE"""),"")</f>
        <v/>
      </c>
      <c r="B120" s="64" t="str">
        <f>IFERROR(__xludf.DUMMYFUNCTION("""COMPUTED_VALUE"""),"")</f>
        <v/>
      </c>
      <c r="C120" s="63" t="str">
        <f>IFERROR(__xludf.DUMMYFUNCTION("""COMPUTED_VALUE"""),"")</f>
        <v/>
      </c>
      <c r="D120" s="63" t="str">
        <f>IFERROR(__xludf.DUMMYFUNCTION("""COMPUTED_VALUE"""),"")</f>
        <v/>
      </c>
      <c r="E120" s="51" t="str">
        <f>IFERROR(__xludf.DUMMYFUNCTION("""COMPUTED_VALUE"""),"")</f>
        <v/>
      </c>
      <c r="F120" s="82" t="str">
        <f>IFERROR(__xludf.DUMMYFUNCTION("""COMPUTED_VALUE"""),"")</f>
        <v/>
      </c>
      <c r="G120" s="52" t="str">
        <f>IFERROR(__xludf.DUMMYFUNCTION("""COMPUTED_VALUE"""),"")</f>
        <v/>
      </c>
      <c r="H120" s="53" t="str">
        <f>IFERROR(__xludf.DUMMYFUNCTION("""COMPUTED_VALUE"""),"")</f>
        <v/>
      </c>
      <c r="I120" s="53" t="str">
        <f>IFERROR(__xludf.DUMMYFUNCTION("""COMPUTED_VALUE"""),"")</f>
        <v/>
      </c>
      <c r="J120" s="53" t="str">
        <f>IFERROR(__xludf.DUMMYFUNCTION("""COMPUTED_VALUE"""),"")</f>
        <v/>
      </c>
      <c r="K120" s="54" t="str">
        <f>IFERROR(__xludf.DUMMYFUNCTION("""COMPUTED_VALUE"""),"")</f>
        <v/>
      </c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6"/>
      <c r="W120" s="56"/>
      <c r="X120" s="56"/>
      <c r="Y120" s="56"/>
      <c r="Z120" s="57"/>
      <c r="AA120" s="58"/>
      <c r="AB120" s="59"/>
    </row>
    <row r="121" ht="13.5" customHeight="1">
      <c r="A121" s="60" t="str">
        <f>IFERROR(__xludf.DUMMYFUNCTION("""COMPUTED_VALUE"""),"")</f>
        <v/>
      </c>
      <c r="B121" s="64" t="str">
        <f>IFERROR(__xludf.DUMMYFUNCTION("""COMPUTED_VALUE"""),"")</f>
        <v/>
      </c>
      <c r="C121" s="63" t="str">
        <f>IFERROR(__xludf.DUMMYFUNCTION("""COMPUTED_VALUE"""),"")</f>
        <v/>
      </c>
      <c r="D121" s="63" t="str">
        <f>IFERROR(__xludf.DUMMYFUNCTION("""COMPUTED_VALUE"""),"")</f>
        <v/>
      </c>
      <c r="E121" s="51" t="str">
        <f>IFERROR(__xludf.DUMMYFUNCTION("""COMPUTED_VALUE"""),"")</f>
        <v/>
      </c>
      <c r="F121" s="82" t="str">
        <f>IFERROR(__xludf.DUMMYFUNCTION("""COMPUTED_VALUE"""),"")</f>
        <v/>
      </c>
      <c r="G121" s="52" t="str">
        <f>IFERROR(__xludf.DUMMYFUNCTION("""COMPUTED_VALUE"""),"")</f>
        <v/>
      </c>
      <c r="H121" s="53" t="str">
        <f>IFERROR(__xludf.DUMMYFUNCTION("""COMPUTED_VALUE"""),"")</f>
        <v/>
      </c>
      <c r="I121" s="53" t="str">
        <f>IFERROR(__xludf.DUMMYFUNCTION("""COMPUTED_VALUE"""),"")</f>
        <v/>
      </c>
      <c r="J121" s="53" t="str">
        <f>IFERROR(__xludf.DUMMYFUNCTION("""COMPUTED_VALUE"""),"")</f>
        <v/>
      </c>
      <c r="K121" s="54" t="str">
        <f>IFERROR(__xludf.DUMMYFUNCTION("""COMPUTED_VALUE"""),"")</f>
        <v/>
      </c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6"/>
      <c r="W121" s="56"/>
      <c r="X121" s="56"/>
      <c r="Y121" s="56"/>
      <c r="Z121" s="57"/>
      <c r="AA121" s="58"/>
      <c r="AB121" s="59"/>
    </row>
    <row r="122" ht="13.5" customHeight="1">
      <c r="A122" s="60" t="str">
        <f>IFERROR(__xludf.DUMMYFUNCTION("""COMPUTED_VALUE"""),"")</f>
        <v/>
      </c>
      <c r="B122" s="64" t="str">
        <f>IFERROR(__xludf.DUMMYFUNCTION("""COMPUTED_VALUE"""),"")</f>
        <v/>
      </c>
      <c r="C122" s="63" t="str">
        <f>IFERROR(__xludf.DUMMYFUNCTION("""COMPUTED_VALUE"""),"")</f>
        <v/>
      </c>
      <c r="D122" s="63" t="str">
        <f>IFERROR(__xludf.DUMMYFUNCTION("""COMPUTED_VALUE"""),"")</f>
        <v/>
      </c>
      <c r="E122" s="51" t="str">
        <f>IFERROR(__xludf.DUMMYFUNCTION("""COMPUTED_VALUE"""),"")</f>
        <v/>
      </c>
      <c r="F122" s="82" t="str">
        <f>IFERROR(__xludf.DUMMYFUNCTION("""COMPUTED_VALUE"""),"")</f>
        <v/>
      </c>
      <c r="G122" s="52" t="str">
        <f>IFERROR(__xludf.DUMMYFUNCTION("""COMPUTED_VALUE"""),"")</f>
        <v/>
      </c>
      <c r="H122" s="53" t="str">
        <f>IFERROR(__xludf.DUMMYFUNCTION("""COMPUTED_VALUE"""),"")</f>
        <v/>
      </c>
      <c r="I122" s="53" t="str">
        <f>IFERROR(__xludf.DUMMYFUNCTION("""COMPUTED_VALUE"""),"")</f>
        <v/>
      </c>
      <c r="J122" s="53" t="str">
        <f>IFERROR(__xludf.DUMMYFUNCTION("""COMPUTED_VALUE"""),"")</f>
        <v/>
      </c>
      <c r="K122" s="54" t="str">
        <f>IFERROR(__xludf.DUMMYFUNCTION("""COMPUTED_VALUE"""),"")</f>
        <v/>
      </c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6"/>
      <c r="W122" s="56"/>
      <c r="X122" s="56"/>
      <c r="Y122" s="56"/>
      <c r="Z122" s="57"/>
      <c r="AA122" s="58"/>
      <c r="AB122" s="59"/>
    </row>
    <row r="123" ht="13.5" customHeight="1">
      <c r="A123" s="60" t="str">
        <f>IFERROR(__xludf.DUMMYFUNCTION("""COMPUTED_VALUE"""),"")</f>
        <v/>
      </c>
      <c r="B123" s="64" t="str">
        <f>IFERROR(__xludf.DUMMYFUNCTION("""COMPUTED_VALUE"""),"")</f>
        <v/>
      </c>
      <c r="C123" s="63" t="str">
        <f>IFERROR(__xludf.DUMMYFUNCTION("""COMPUTED_VALUE"""),"")</f>
        <v/>
      </c>
      <c r="D123" s="63" t="str">
        <f>IFERROR(__xludf.DUMMYFUNCTION("""COMPUTED_VALUE"""),"")</f>
        <v/>
      </c>
      <c r="E123" s="51" t="str">
        <f>IFERROR(__xludf.DUMMYFUNCTION("""COMPUTED_VALUE"""),"")</f>
        <v/>
      </c>
      <c r="F123" s="82" t="str">
        <f>IFERROR(__xludf.DUMMYFUNCTION("""COMPUTED_VALUE"""),"")</f>
        <v/>
      </c>
      <c r="G123" s="52" t="str">
        <f>IFERROR(__xludf.DUMMYFUNCTION("""COMPUTED_VALUE"""),"")</f>
        <v/>
      </c>
      <c r="H123" s="53" t="str">
        <f>IFERROR(__xludf.DUMMYFUNCTION("""COMPUTED_VALUE"""),"")</f>
        <v/>
      </c>
      <c r="I123" s="53" t="str">
        <f>IFERROR(__xludf.DUMMYFUNCTION("""COMPUTED_VALUE"""),"")</f>
        <v/>
      </c>
      <c r="J123" s="53" t="str">
        <f>IFERROR(__xludf.DUMMYFUNCTION("""COMPUTED_VALUE"""),"")</f>
        <v/>
      </c>
      <c r="K123" s="54" t="str">
        <f>IFERROR(__xludf.DUMMYFUNCTION("""COMPUTED_VALUE"""),"")</f>
        <v/>
      </c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6"/>
      <c r="W123" s="56"/>
      <c r="X123" s="56"/>
      <c r="Y123" s="56"/>
      <c r="Z123" s="57"/>
      <c r="AA123" s="58"/>
      <c r="AB123" s="59"/>
    </row>
    <row r="124" ht="13.5" customHeight="1">
      <c r="A124" s="60" t="str">
        <f>IFERROR(__xludf.DUMMYFUNCTION("""COMPUTED_VALUE"""),"")</f>
        <v/>
      </c>
      <c r="B124" s="64" t="str">
        <f>IFERROR(__xludf.DUMMYFUNCTION("""COMPUTED_VALUE"""),"")</f>
        <v/>
      </c>
      <c r="C124" s="63" t="str">
        <f>IFERROR(__xludf.DUMMYFUNCTION("""COMPUTED_VALUE"""),"")</f>
        <v/>
      </c>
      <c r="D124" s="63" t="str">
        <f>IFERROR(__xludf.DUMMYFUNCTION("""COMPUTED_VALUE"""),"")</f>
        <v/>
      </c>
      <c r="E124" s="51" t="str">
        <f>IFERROR(__xludf.DUMMYFUNCTION("""COMPUTED_VALUE"""),"")</f>
        <v/>
      </c>
      <c r="F124" s="82" t="str">
        <f>IFERROR(__xludf.DUMMYFUNCTION("""COMPUTED_VALUE"""),"")</f>
        <v/>
      </c>
      <c r="G124" s="52" t="str">
        <f>IFERROR(__xludf.DUMMYFUNCTION("""COMPUTED_VALUE"""),"")</f>
        <v/>
      </c>
      <c r="H124" s="53" t="str">
        <f>IFERROR(__xludf.DUMMYFUNCTION("""COMPUTED_VALUE"""),"")</f>
        <v/>
      </c>
      <c r="I124" s="53" t="str">
        <f>IFERROR(__xludf.DUMMYFUNCTION("""COMPUTED_VALUE"""),"")</f>
        <v/>
      </c>
      <c r="J124" s="53" t="str">
        <f>IFERROR(__xludf.DUMMYFUNCTION("""COMPUTED_VALUE"""),"")</f>
        <v/>
      </c>
      <c r="K124" s="54" t="str">
        <f>IFERROR(__xludf.DUMMYFUNCTION("""COMPUTED_VALUE"""),"")</f>
        <v/>
      </c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6"/>
      <c r="W124" s="56"/>
      <c r="X124" s="56"/>
      <c r="Y124" s="56"/>
      <c r="Z124" s="57"/>
      <c r="AA124" s="58"/>
      <c r="AB124" s="59"/>
    </row>
    <row r="125" ht="13.5" customHeight="1">
      <c r="A125" s="60" t="str">
        <f>IFERROR(__xludf.DUMMYFUNCTION("""COMPUTED_VALUE"""),"")</f>
        <v/>
      </c>
      <c r="B125" s="64" t="str">
        <f>IFERROR(__xludf.DUMMYFUNCTION("""COMPUTED_VALUE"""),"")</f>
        <v/>
      </c>
      <c r="C125" s="63" t="str">
        <f>IFERROR(__xludf.DUMMYFUNCTION("""COMPUTED_VALUE"""),"")</f>
        <v/>
      </c>
      <c r="D125" s="63" t="str">
        <f>IFERROR(__xludf.DUMMYFUNCTION("""COMPUTED_VALUE"""),"")</f>
        <v/>
      </c>
      <c r="E125" s="51" t="str">
        <f>IFERROR(__xludf.DUMMYFUNCTION("""COMPUTED_VALUE"""),"")</f>
        <v/>
      </c>
      <c r="F125" s="82" t="str">
        <f>IFERROR(__xludf.DUMMYFUNCTION("""COMPUTED_VALUE"""),"")</f>
        <v/>
      </c>
      <c r="G125" s="52" t="str">
        <f>IFERROR(__xludf.DUMMYFUNCTION("""COMPUTED_VALUE"""),"")</f>
        <v/>
      </c>
      <c r="H125" s="53" t="str">
        <f>IFERROR(__xludf.DUMMYFUNCTION("""COMPUTED_VALUE"""),"")</f>
        <v/>
      </c>
      <c r="I125" s="53" t="str">
        <f>IFERROR(__xludf.DUMMYFUNCTION("""COMPUTED_VALUE"""),"")</f>
        <v/>
      </c>
      <c r="J125" s="53" t="str">
        <f>IFERROR(__xludf.DUMMYFUNCTION("""COMPUTED_VALUE"""),"")</f>
        <v/>
      </c>
      <c r="K125" s="54" t="str">
        <f>IFERROR(__xludf.DUMMYFUNCTION("""COMPUTED_VALUE"""),"")</f>
        <v/>
      </c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6"/>
      <c r="W125" s="56"/>
      <c r="X125" s="56"/>
      <c r="Y125" s="56"/>
      <c r="Z125" s="57"/>
      <c r="AA125" s="58"/>
      <c r="AB125" s="59"/>
    </row>
    <row r="126" ht="13.5" customHeight="1">
      <c r="A126" s="60" t="str">
        <f>IFERROR(__xludf.DUMMYFUNCTION("""COMPUTED_VALUE"""),"")</f>
        <v/>
      </c>
      <c r="B126" s="64" t="str">
        <f>IFERROR(__xludf.DUMMYFUNCTION("""COMPUTED_VALUE"""),"")</f>
        <v/>
      </c>
      <c r="C126" s="63" t="str">
        <f>IFERROR(__xludf.DUMMYFUNCTION("""COMPUTED_VALUE"""),"")</f>
        <v/>
      </c>
      <c r="D126" s="63" t="str">
        <f>IFERROR(__xludf.DUMMYFUNCTION("""COMPUTED_VALUE"""),"")</f>
        <v/>
      </c>
      <c r="E126" s="51" t="str">
        <f>IFERROR(__xludf.DUMMYFUNCTION("""COMPUTED_VALUE"""),"")</f>
        <v/>
      </c>
      <c r="F126" s="82" t="str">
        <f>IFERROR(__xludf.DUMMYFUNCTION("""COMPUTED_VALUE"""),"")</f>
        <v/>
      </c>
      <c r="G126" s="52" t="str">
        <f>IFERROR(__xludf.DUMMYFUNCTION("""COMPUTED_VALUE"""),"")</f>
        <v/>
      </c>
      <c r="H126" s="53" t="str">
        <f>IFERROR(__xludf.DUMMYFUNCTION("""COMPUTED_VALUE"""),"")</f>
        <v/>
      </c>
      <c r="I126" s="53" t="str">
        <f>IFERROR(__xludf.DUMMYFUNCTION("""COMPUTED_VALUE"""),"")</f>
        <v/>
      </c>
      <c r="J126" s="53" t="str">
        <f>IFERROR(__xludf.DUMMYFUNCTION("""COMPUTED_VALUE"""),"")</f>
        <v/>
      </c>
      <c r="K126" s="54" t="str">
        <f>IFERROR(__xludf.DUMMYFUNCTION("""COMPUTED_VALUE"""),"")</f>
        <v/>
      </c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6"/>
      <c r="W126" s="56"/>
      <c r="X126" s="56"/>
      <c r="Y126" s="56"/>
      <c r="Z126" s="57"/>
      <c r="AA126" s="58"/>
      <c r="AB126" s="59"/>
    </row>
    <row r="127" ht="13.5" customHeight="1">
      <c r="A127" s="60" t="str">
        <f>IFERROR(__xludf.DUMMYFUNCTION("""COMPUTED_VALUE"""),"")</f>
        <v/>
      </c>
      <c r="B127" s="64" t="str">
        <f>IFERROR(__xludf.DUMMYFUNCTION("""COMPUTED_VALUE"""),"")</f>
        <v/>
      </c>
      <c r="C127" s="63" t="str">
        <f>IFERROR(__xludf.DUMMYFUNCTION("""COMPUTED_VALUE"""),"")</f>
        <v/>
      </c>
      <c r="D127" s="63" t="str">
        <f>IFERROR(__xludf.DUMMYFUNCTION("""COMPUTED_VALUE"""),"")</f>
        <v/>
      </c>
      <c r="E127" s="51" t="str">
        <f>IFERROR(__xludf.DUMMYFUNCTION("""COMPUTED_VALUE"""),"")</f>
        <v/>
      </c>
      <c r="F127" s="82" t="str">
        <f>IFERROR(__xludf.DUMMYFUNCTION("""COMPUTED_VALUE"""),"")</f>
        <v/>
      </c>
      <c r="G127" s="52" t="str">
        <f>IFERROR(__xludf.DUMMYFUNCTION("""COMPUTED_VALUE"""),"")</f>
        <v/>
      </c>
      <c r="H127" s="53" t="str">
        <f>IFERROR(__xludf.DUMMYFUNCTION("""COMPUTED_VALUE"""),"")</f>
        <v/>
      </c>
      <c r="I127" s="53" t="str">
        <f>IFERROR(__xludf.DUMMYFUNCTION("""COMPUTED_VALUE"""),"")</f>
        <v/>
      </c>
      <c r="J127" s="53" t="str">
        <f>IFERROR(__xludf.DUMMYFUNCTION("""COMPUTED_VALUE"""),"")</f>
        <v/>
      </c>
      <c r="K127" s="54" t="str">
        <f>IFERROR(__xludf.DUMMYFUNCTION("""COMPUTED_VALUE"""),"")</f>
        <v/>
      </c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6"/>
      <c r="W127" s="56"/>
      <c r="X127" s="56"/>
      <c r="Y127" s="56"/>
      <c r="Z127" s="57"/>
      <c r="AA127" s="58"/>
      <c r="AB127" s="59"/>
    </row>
    <row r="128" ht="13.5" customHeight="1">
      <c r="A128" s="60" t="str">
        <f>IFERROR(__xludf.DUMMYFUNCTION("""COMPUTED_VALUE"""),"")</f>
        <v/>
      </c>
      <c r="B128" s="64" t="str">
        <f>IFERROR(__xludf.DUMMYFUNCTION("""COMPUTED_VALUE"""),"")</f>
        <v/>
      </c>
      <c r="C128" s="63" t="str">
        <f>IFERROR(__xludf.DUMMYFUNCTION("""COMPUTED_VALUE"""),"")</f>
        <v/>
      </c>
      <c r="D128" s="63" t="str">
        <f>IFERROR(__xludf.DUMMYFUNCTION("""COMPUTED_VALUE"""),"")</f>
        <v/>
      </c>
      <c r="E128" s="51" t="str">
        <f>IFERROR(__xludf.DUMMYFUNCTION("""COMPUTED_VALUE"""),"")</f>
        <v/>
      </c>
      <c r="F128" s="82" t="str">
        <f>IFERROR(__xludf.DUMMYFUNCTION("""COMPUTED_VALUE"""),"")</f>
        <v/>
      </c>
      <c r="G128" s="52" t="str">
        <f>IFERROR(__xludf.DUMMYFUNCTION("""COMPUTED_VALUE"""),"")</f>
        <v/>
      </c>
      <c r="H128" s="53" t="str">
        <f>IFERROR(__xludf.DUMMYFUNCTION("""COMPUTED_VALUE"""),"")</f>
        <v/>
      </c>
      <c r="I128" s="53" t="str">
        <f>IFERROR(__xludf.DUMMYFUNCTION("""COMPUTED_VALUE"""),"")</f>
        <v/>
      </c>
      <c r="J128" s="53" t="str">
        <f>IFERROR(__xludf.DUMMYFUNCTION("""COMPUTED_VALUE"""),"")</f>
        <v/>
      </c>
      <c r="K128" s="54" t="str">
        <f>IFERROR(__xludf.DUMMYFUNCTION("""COMPUTED_VALUE"""),"")</f>
        <v/>
      </c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6"/>
      <c r="W128" s="56"/>
      <c r="X128" s="56"/>
      <c r="Y128" s="56"/>
      <c r="Z128" s="57"/>
      <c r="AA128" s="58"/>
      <c r="AB128" s="59"/>
    </row>
    <row r="129" ht="13.5" customHeight="1">
      <c r="A129" s="60" t="str">
        <f>IFERROR(__xludf.DUMMYFUNCTION("""COMPUTED_VALUE"""),"")</f>
        <v/>
      </c>
      <c r="B129" s="64" t="str">
        <f>IFERROR(__xludf.DUMMYFUNCTION("""COMPUTED_VALUE"""),"")</f>
        <v/>
      </c>
      <c r="C129" s="63" t="str">
        <f>IFERROR(__xludf.DUMMYFUNCTION("""COMPUTED_VALUE"""),"")</f>
        <v/>
      </c>
      <c r="D129" s="63" t="str">
        <f>IFERROR(__xludf.DUMMYFUNCTION("""COMPUTED_VALUE"""),"")</f>
        <v/>
      </c>
      <c r="E129" s="51" t="str">
        <f>IFERROR(__xludf.DUMMYFUNCTION("""COMPUTED_VALUE"""),"")</f>
        <v/>
      </c>
      <c r="F129" s="82" t="str">
        <f>IFERROR(__xludf.DUMMYFUNCTION("""COMPUTED_VALUE"""),"")</f>
        <v/>
      </c>
      <c r="G129" s="52" t="str">
        <f>IFERROR(__xludf.DUMMYFUNCTION("""COMPUTED_VALUE"""),"")</f>
        <v/>
      </c>
      <c r="H129" s="53" t="str">
        <f>IFERROR(__xludf.DUMMYFUNCTION("""COMPUTED_VALUE"""),"")</f>
        <v/>
      </c>
      <c r="I129" s="53" t="str">
        <f>IFERROR(__xludf.DUMMYFUNCTION("""COMPUTED_VALUE"""),"")</f>
        <v/>
      </c>
      <c r="J129" s="53" t="str">
        <f>IFERROR(__xludf.DUMMYFUNCTION("""COMPUTED_VALUE"""),"")</f>
        <v/>
      </c>
      <c r="K129" s="54" t="str">
        <f>IFERROR(__xludf.DUMMYFUNCTION("""COMPUTED_VALUE"""),"")</f>
        <v/>
      </c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6"/>
      <c r="W129" s="56"/>
      <c r="X129" s="56"/>
      <c r="Y129" s="56"/>
      <c r="Z129" s="57"/>
      <c r="AA129" s="58"/>
      <c r="AB129" s="59"/>
    </row>
    <row r="130" ht="13.5" customHeight="1">
      <c r="A130" s="60" t="str">
        <f>IFERROR(__xludf.DUMMYFUNCTION("""COMPUTED_VALUE"""),"")</f>
        <v/>
      </c>
      <c r="B130" s="64" t="str">
        <f>IFERROR(__xludf.DUMMYFUNCTION("""COMPUTED_VALUE"""),"")</f>
        <v/>
      </c>
      <c r="C130" s="63" t="str">
        <f>IFERROR(__xludf.DUMMYFUNCTION("""COMPUTED_VALUE"""),"")</f>
        <v/>
      </c>
      <c r="D130" s="63" t="str">
        <f>IFERROR(__xludf.DUMMYFUNCTION("""COMPUTED_VALUE"""),"")</f>
        <v/>
      </c>
      <c r="E130" s="51" t="str">
        <f>IFERROR(__xludf.DUMMYFUNCTION("""COMPUTED_VALUE"""),"")</f>
        <v/>
      </c>
      <c r="F130" s="82" t="str">
        <f>IFERROR(__xludf.DUMMYFUNCTION("""COMPUTED_VALUE"""),"")</f>
        <v/>
      </c>
      <c r="G130" s="52" t="str">
        <f>IFERROR(__xludf.DUMMYFUNCTION("""COMPUTED_VALUE"""),"")</f>
        <v/>
      </c>
      <c r="H130" s="53" t="str">
        <f>IFERROR(__xludf.DUMMYFUNCTION("""COMPUTED_VALUE"""),"")</f>
        <v/>
      </c>
      <c r="I130" s="53" t="str">
        <f>IFERROR(__xludf.DUMMYFUNCTION("""COMPUTED_VALUE"""),"")</f>
        <v/>
      </c>
      <c r="J130" s="53" t="str">
        <f>IFERROR(__xludf.DUMMYFUNCTION("""COMPUTED_VALUE"""),"")</f>
        <v/>
      </c>
      <c r="K130" s="54" t="str">
        <f>IFERROR(__xludf.DUMMYFUNCTION("""COMPUTED_VALUE"""),"")</f>
        <v/>
      </c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6"/>
      <c r="W130" s="56"/>
      <c r="X130" s="56"/>
      <c r="Y130" s="56"/>
      <c r="Z130" s="57"/>
      <c r="AA130" s="58"/>
      <c r="AB130" s="59"/>
    </row>
    <row r="131" ht="13.5" customHeight="1">
      <c r="A131" s="60" t="str">
        <f>IFERROR(__xludf.DUMMYFUNCTION("""COMPUTED_VALUE"""),"")</f>
        <v/>
      </c>
      <c r="B131" s="64" t="str">
        <f>IFERROR(__xludf.DUMMYFUNCTION("""COMPUTED_VALUE"""),"")</f>
        <v/>
      </c>
      <c r="C131" s="63" t="str">
        <f>IFERROR(__xludf.DUMMYFUNCTION("""COMPUTED_VALUE"""),"")</f>
        <v/>
      </c>
      <c r="D131" s="63" t="str">
        <f>IFERROR(__xludf.DUMMYFUNCTION("""COMPUTED_VALUE"""),"")</f>
        <v/>
      </c>
      <c r="E131" s="51" t="str">
        <f>IFERROR(__xludf.DUMMYFUNCTION("""COMPUTED_VALUE"""),"")</f>
        <v/>
      </c>
      <c r="F131" s="82" t="str">
        <f>IFERROR(__xludf.DUMMYFUNCTION("""COMPUTED_VALUE"""),"")</f>
        <v/>
      </c>
      <c r="G131" s="52" t="str">
        <f>IFERROR(__xludf.DUMMYFUNCTION("""COMPUTED_VALUE"""),"")</f>
        <v/>
      </c>
      <c r="H131" s="53" t="str">
        <f>IFERROR(__xludf.DUMMYFUNCTION("""COMPUTED_VALUE"""),"")</f>
        <v/>
      </c>
      <c r="I131" s="53" t="str">
        <f>IFERROR(__xludf.DUMMYFUNCTION("""COMPUTED_VALUE"""),"")</f>
        <v/>
      </c>
      <c r="J131" s="53" t="str">
        <f>IFERROR(__xludf.DUMMYFUNCTION("""COMPUTED_VALUE"""),"")</f>
        <v/>
      </c>
      <c r="K131" s="54" t="str">
        <f>IFERROR(__xludf.DUMMYFUNCTION("""COMPUTED_VALUE"""),"")</f>
        <v/>
      </c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6"/>
      <c r="W131" s="56"/>
      <c r="X131" s="56"/>
      <c r="Y131" s="56"/>
      <c r="Z131" s="57"/>
      <c r="AA131" s="58"/>
      <c r="AB131" s="59"/>
    </row>
    <row r="132" ht="13.5" customHeight="1">
      <c r="A132" s="60" t="str">
        <f>IFERROR(__xludf.DUMMYFUNCTION("""COMPUTED_VALUE"""),"")</f>
        <v/>
      </c>
      <c r="B132" s="64" t="str">
        <f>IFERROR(__xludf.DUMMYFUNCTION("""COMPUTED_VALUE"""),"")</f>
        <v/>
      </c>
      <c r="C132" s="63" t="str">
        <f>IFERROR(__xludf.DUMMYFUNCTION("""COMPUTED_VALUE"""),"")</f>
        <v/>
      </c>
      <c r="D132" s="63" t="str">
        <f>IFERROR(__xludf.DUMMYFUNCTION("""COMPUTED_VALUE"""),"")</f>
        <v/>
      </c>
      <c r="E132" s="51" t="str">
        <f>IFERROR(__xludf.DUMMYFUNCTION("""COMPUTED_VALUE"""),"")</f>
        <v/>
      </c>
      <c r="F132" s="82" t="str">
        <f>IFERROR(__xludf.DUMMYFUNCTION("""COMPUTED_VALUE"""),"")</f>
        <v/>
      </c>
      <c r="G132" s="52" t="str">
        <f>IFERROR(__xludf.DUMMYFUNCTION("""COMPUTED_VALUE"""),"")</f>
        <v/>
      </c>
      <c r="H132" s="53" t="str">
        <f>IFERROR(__xludf.DUMMYFUNCTION("""COMPUTED_VALUE"""),"")</f>
        <v/>
      </c>
      <c r="I132" s="53" t="str">
        <f>IFERROR(__xludf.DUMMYFUNCTION("""COMPUTED_VALUE"""),"")</f>
        <v/>
      </c>
      <c r="J132" s="53" t="str">
        <f>IFERROR(__xludf.DUMMYFUNCTION("""COMPUTED_VALUE"""),"")</f>
        <v/>
      </c>
      <c r="K132" s="54" t="str">
        <f>IFERROR(__xludf.DUMMYFUNCTION("""COMPUTED_VALUE"""),"")</f>
        <v/>
      </c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6"/>
      <c r="W132" s="56"/>
      <c r="X132" s="56"/>
      <c r="Y132" s="56"/>
      <c r="Z132" s="57"/>
      <c r="AA132" s="58"/>
      <c r="AB132" s="59"/>
    </row>
    <row r="133" ht="13.5" customHeight="1">
      <c r="A133" s="60" t="str">
        <f>IFERROR(__xludf.DUMMYFUNCTION("""COMPUTED_VALUE"""),"")</f>
        <v/>
      </c>
      <c r="B133" s="64" t="str">
        <f>IFERROR(__xludf.DUMMYFUNCTION("""COMPUTED_VALUE"""),"")</f>
        <v/>
      </c>
      <c r="C133" s="63" t="str">
        <f>IFERROR(__xludf.DUMMYFUNCTION("""COMPUTED_VALUE"""),"")</f>
        <v/>
      </c>
      <c r="D133" s="63" t="str">
        <f>IFERROR(__xludf.DUMMYFUNCTION("""COMPUTED_VALUE"""),"")</f>
        <v/>
      </c>
      <c r="E133" s="51" t="str">
        <f>IFERROR(__xludf.DUMMYFUNCTION("""COMPUTED_VALUE"""),"")</f>
        <v/>
      </c>
      <c r="F133" s="82" t="str">
        <f>IFERROR(__xludf.DUMMYFUNCTION("""COMPUTED_VALUE"""),"")</f>
        <v/>
      </c>
      <c r="G133" s="52" t="str">
        <f>IFERROR(__xludf.DUMMYFUNCTION("""COMPUTED_VALUE"""),"")</f>
        <v/>
      </c>
      <c r="H133" s="53" t="str">
        <f>IFERROR(__xludf.DUMMYFUNCTION("""COMPUTED_VALUE"""),"")</f>
        <v/>
      </c>
      <c r="I133" s="53" t="str">
        <f>IFERROR(__xludf.DUMMYFUNCTION("""COMPUTED_VALUE"""),"")</f>
        <v/>
      </c>
      <c r="J133" s="53" t="str">
        <f>IFERROR(__xludf.DUMMYFUNCTION("""COMPUTED_VALUE"""),"")</f>
        <v/>
      </c>
      <c r="K133" s="54" t="str">
        <f>IFERROR(__xludf.DUMMYFUNCTION("""COMPUTED_VALUE"""),"")</f>
        <v/>
      </c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6"/>
      <c r="W133" s="56"/>
      <c r="X133" s="56"/>
      <c r="Y133" s="56"/>
      <c r="Z133" s="57"/>
      <c r="AA133" s="58"/>
      <c r="AB133" s="59"/>
    </row>
    <row r="134" ht="13.5" customHeight="1">
      <c r="A134" s="60" t="str">
        <f>IFERROR(__xludf.DUMMYFUNCTION("""COMPUTED_VALUE"""),"")</f>
        <v/>
      </c>
      <c r="B134" s="64" t="str">
        <f>IFERROR(__xludf.DUMMYFUNCTION("""COMPUTED_VALUE"""),"")</f>
        <v/>
      </c>
      <c r="C134" s="63" t="str">
        <f>IFERROR(__xludf.DUMMYFUNCTION("""COMPUTED_VALUE"""),"")</f>
        <v/>
      </c>
      <c r="D134" s="63" t="str">
        <f>IFERROR(__xludf.DUMMYFUNCTION("""COMPUTED_VALUE"""),"")</f>
        <v/>
      </c>
      <c r="E134" s="51" t="str">
        <f>IFERROR(__xludf.DUMMYFUNCTION("""COMPUTED_VALUE"""),"")</f>
        <v/>
      </c>
      <c r="F134" s="82" t="str">
        <f>IFERROR(__xludf.DUMMYFUNCTION("""COMPUTED_VALUE"""),"")</f>
        <v/>
      </c>
      <c r="G134" s="52" t="str">
        <f>IFERROR(__xludf.DUMMYFUNCTION("""COMPUTED_VALUE"""),"")</f>
        <v/>
      </c>
      <c r="H134" s="53" t="str">
        <f>IFERROR(__xludf.DUMMYFUNCTION("""COMPUTED_VALUE"""),"")</f>
        <v/>
      </c>
      <c r="I134" s="53" t="str">
        <f>IFERROR(__xludf.DUMMYFUNCTION("""COMPUTED_VALUE"""),"")</f>
        <v/>
      </c>
      <c r="J134" s="53" t="str">
        <f>IFERROR(__xludf.DUMMYFUNCTION("""COMPUTED_VALUE"""),"")</f>
        <v/>
      </c>
      <c r="K134" s="54" t="str">
        <f>IFERROR(__xludf.DUMMYFUNCTION("""COMPUTED_VALUE"""),"")</f>
        <v/>
      </c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6"/>
      <c r="W134" s="56"/>
      <c r="X134" s="56"/>
      <c r="Y134" s="56"/>
      <c r="Z134" s="57"/>
      <c r="AA134" s="58"/>
      <c r="AB134" s="59"/>
    </row>
    <row r="135" ht="13.5" customHeight="1">
      <c r="A135" s="60" t="str">
        <f>IFERROR(__xludf.DUMMYFUNCTION("""COMPUTED_VALUE"""),"")</f>
        <v/>
      </c>
      <c r="B135" s="64" t="str">
        <f>IFERROR(__xludf.DUMMYFUNCTION("""COMPUTED_VALUE"""),"")</f>
        <v/>
      </c>
      <c r="C135" s="63" t="str">
        <f>IFERROR(__xludf.DUMMYFUNCTION("""COMPUTED_VALUE"""),"")</f>
        <v/>
      </c>
      <c r="D135" s="63" t="str">
        <f>IFERROR(__xludf.DUMMYFUNCTION("""COMPUTED_VALUE"""),"")</f>
        <v/>
      </c>
      <c r="E135" s="51" t="str">
        <f>IFERROR(__xludf.DUMMYFUNCTION("""COMPUTED_VALUE"""),"")</f>
        <v/>
      </c>
      <c r="F135" s="82" t="str">
        <f>IFERROR(__xludf.DUMMYFUNCTION("""COMPUTED_VALUE"""),"")</f>
        <v/>
      </c>
      <c r="G135" s="52" t="str">
        <f>IFERROR(__xludf.DUMMYFUNCTION("""COMPUTED_VALUE"""),"")</f>
        <v/>
      </c>
      <c r="H135" s="53" t="str">
        <f>IFERROR(__xludf.DUMMYFUNCTION("""COMPUTED_VALUE"""),"")</f>
        <v/>
      </c>
      <c r="I135" s="53" t="str">
        <f>IFERROR(__xludf.DUMMYFUNCTION("""COMPUTED_VALUE"""),"")</f>
        <v/>
      </c>
      <c r="J135" s="53" t="str">
        <f>IFERROR(__xludf.DUMMYFUNCTION("""COMPUTED_VALUE"""),"")</f>
        <v/>
      </c>
      <c r="K135" s="54" t="str">
        <f>IFERROR(__xludf.DUMMYFUNCTION("""COMPUTED_VALUE"""),"")</f>
        <v/>
      </c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6"/>
      <c r="W135" s="56"/>
      <c r="X135" s="56"/>
      <c r="Y135" s="56"/>
      <c r="Z135" s="57"/>
      <c r="AA135" s="58"/>
      <c r="AB135" s="59"/>
    </row>
    <row r="136" ht="13.5" customHeight="1">
      <c r="A136" s="60" t="str">
        <f>IFERROR(__xludf.DUMMYFUNCTION("""COMPUTED_VALUE"""),"")</f>
        <v/>
      </c>
      <c r="B136" s="64" t="str">
        <f>IFERROR(__xludf.DUMMYFUNCTION("""COMPUTED_VALUE"""),"")</f>
        <v/>
      </c>
      <c r="C136" s="63" t="str">
        <f>IFERROR(__xludf.DUMMYFUNCTION("""COMPUTED_VALUE"""),"")</f>
        <v/>
      </c>
      <c r="D136" s="63" t="str">
        <f>IFERROR(__xludf.DUMMYFUNCTION("""COMPUTED_VALUE"""),"")</f>
        <v/>
      </c>
      <c r="E136" s="51" t="str">
        <f>IFERROR(__xludf.DUMMYFUNCTION("""COMPUTED_VALUE"""),"")</f>
        <v/>
      </c>
      <c r="F136" s="82" t="str">
        <f>IFERROR(__xludf.DUMMYFUNCTION("""COMPUTED_VALUE"""),"")</f>
        <v/>
      </c>
      <c r="G136" s="52" t="str">
        <f>IFERROR(__xludf.DUMMYFUNCTION("""COMPUTED_VALUE"""),"")</f>
        <v/>
      </c>
      <c r="H136" s="53" t="str">
        <f>IFERROR(__xludf.DUMMYFUNCTION("""COMPUTED_VALUE"""),"")</f>
        <v/>
      </c>
      <c r="I136" s="53" t="str">
        <f>IFERROR(__xludf.DUMMYFUNCTION("""COMPUTED_VALUE"""),"")</f>
        <v/>
      </c>
      <c r="J136" s="53" t="str">
        <f>IFERROR(__xludf.DUMMYFUNCTION("""COMPUTED_VALUE"""),"")</f>
        <v/>
      </c>
      <c r="K136" s="54" t="str">
        <f>IFERROR(__xludf.DUMMYFUNCTION("""COMPUTED_VALUE"""),"")</f>
        <v/>
      </c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6"/>
      <c r="W136" s="56"/>
      <c r="X136" s="56"/>
      <c r="Y136" s="56"/>
      <c r="Z136" s="57"/>
      <c r="AA136" s="58"/>
      <c r="AB136" s="59"/>
    </row>
    <row r="137" ht="13.5" customHeight="1">
      <c r="A137" s="60" t="str">
        <f>IFERROR(__xludf.DUMMYFUNCTION("""COMPUTED_VALUE"""),"")</f>
        <v/>
      </c>
      <c r="B137" s="64" t="str">
        <f>IFERROR(__xludf.DUMMYFUNCTION("""COMPUTED_VALUE"""),"")</f>
        <v/>
      </c>
      <c r="C137" s="63" t="str">
        <f>IFERROR(__xludf.DUMMYFUNCTION("""COMPUTED_VALUE"""),"")</f>
        <v/>
      </c>
      <c r="D137" s="63" t="str">
        <f>IFERROR(__xludf.DUMMYFUNCTION("""COMPUTED_VALUE"""),"")</f>
        <v/>
      </c>
      <c r="E137" s="51" t="str">
        <f>IFERROR(__xludf.DUMMYFUNCTION("""COMPUTED_VALUE"""),"")</f>
        <v/>
      </c>
      <c r="F137" s="82" t="str">
        <f>IFERROR(__xludf.DUMMYFUNCTION("""COMPUTED_VALUE"""),"")</f>
        <v/>
      </c>
      <c r="G137" s="52" t="str">
        <f>IFERROR(__xludf.DUMMYFUNCTION("""COMPUTED_VALUE"""),"")</f>
        <v/>
      </c>
      <c r="H137" s="53" t="str">
        <f>IFERROR(__xludf.DUMMYFUNCTION("""COMPUTED_VALUE"""),"")</f>
        <v/>
      </c>
      <c r="I137" s="53" t="str">
        <f>IFERROR(__xludf.DUMMYFUNCTION("""COMPUTED_VALUE"""),"")</f>
        <v/>
      </c>
      <c r="J137" s="53" t="str">
        <f>IFERROR(__xludf.DUMMYFUNCTION("""COMPUTED_VALUE"""),"")</f>
        <v/>
      </c>
      <c r="K137" s="54" t="str">
        <f>IFERROR(__xludf.DUMMYFUNCTION("""COMPUTED_VALUE"""),"")</f>
        <v/>
      </c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6"/>
      <c r="W137" s="56"/>
      <c r="X137" s="56"/>
      <c r="Y137" s="56"/>
      <c r="Z137" s="57"/>
      <c r="AA137" s="58"/>
      <c r="AB137" s="59"/>
    </row>
    <row r="138" ht="13.5" customHeight="1">
      <c r="A138" s="60" t="str">
        <f>IFERROR(__xludf.DUMMYFUNCTION("""COMPUTED_VALUE"""),"")</f>
        <v/>
      </c>
      <c r="B138" s="64" t="str">
        <f>IFERROR(__xludf.DUMMYFUNCTION("""COMPUTED_VALUE"""),"")</f>
        <v/>
      </c>
      <c r="C138" s="63" t="str">
        <f>IFERROR(__xludf.DUMMYFUNCTION("""COMPUTED_VALUE"""),"")</f>
        <v/>
      </c>
      <c r="D138" s="63" t="str">
        <f>IFERROR(__xludf.DUMMYFUNCTION("""COMPUTED_VALUE"""),"")</f>
        <v/>
      </c>
      <c r="E138" s="51" t="str">
        <f>IFERROR(__xludf.DUMMYFUNCTION("""COMPUTED_VALUE"""),"")</f>
        <v/>
      </c>
      <c r="F138" s="82" t="str">
        <f>IFERROR(__xludf.DUMMYFUNCTION("""COMPUTED_VALUE"""),"")</f>
        <v/>
      </c>
      <c r="G138" s="52" t="str">
        <f>IFERROR(__xludf.DUMMYFUNCTION("""COMPUTED_VALUE"""),"")</f>
        <v/>
      </c>
      <c r="H138" s="53" t="str">
        <f>IFERROR(__xludf.DUMMYFUNCTION("""COMPUTED_VALUE"""),"")</f>
        <v/>
      </c>
      <c r="I138" s="53" t="str">
        <f>IFERROR(__xludf.DUMMYFUNCTION("""COMPUTED_VALUE"""),"")</f>
        <v/>
      </c>
      <c r="J138" s="53" t="str">
        <f>IFERROR(__xludf.DUMMYFUNCTION("""COMPUTED_VALUE"""),"")</f>
        <v/>
      </c>
      <c r="K138" s="54" t="str">
        <f>IFERROR(__xludf.DUMMYFUNCTION("""COMPUTED_VALUE"""),"")</f>
        <v/>
      </c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6"/>
      <c r="W138" s="56"/>
      <c r="X138" s="56"/>
      <c r="Y138" s="56"/>
      <c r="Z138" s="57"/>
      <c r="AA138" s="58"/>
      <c r="AB138" s="59"/>
    </row>
    <row r="139" ht="13.5" customHeight="1">
      <c r="A139" s="60" t="str">
        <f>IFERROR(__xludf.DUMMYFUNCTION("""COMPUTED_VALUE"""),"")</f>
        <v/>
      </c>
      <c r="B139" s="64" t="str">
        <f>IFERROR(__xludf.DUMMYFUNCTION("""COMPUTED_VALUE"""),"")</f>
        <v/>
      </c>
      <c r="C139" s="63" t="str">
        <f>IFERROR(__xludf.DUMMYFUNCTION("""COMPUTED_VALUE"""),"")</f>
        <v/>
      </c>
      <c r="D139" s="63" t="str">
        <f>IFERROR(__xludf.DUMMYFUNCTION("""COMPUTED_VALUE"""),"")</f>
        <v/>
      </c>
      <c r="E139" s="51" t="str">
        <f>IFERROR(__xludf.DUMMYFUNCTION("""COMPUTED_VALUE"""),"")</f>
        <v/>
      </c>
      <c r="F139" s="82" t="str">
        <f>IFERROR(__xludf.DUMMYFUNCTION("""COMPUTED_VALUE"""),"")</f>
        <v/>
      </c>
      <c r="G139" s="52" t="str">
        <f>IFERROR(__xludf.DUMMYFUNCTION("""COMPUTED_VALUE"""),"")</f>
        <v/>
      </c>
      <c r="H139" s="53" t="str">
        <f>IFERROR(__xludf.DUMMYFUNCTION("""COMPUTED_VALUE"""),"")</f>
        <v/>
      </c>
      <c r="I139" s="53" t="str">
        <f>IFERROR(__xludf.DUMMYFUNCTION("""COMPUTED_VALUE"""),"")</f>
        <v/>
      </c>
      <c r="J139" s="53" t="str">
        <f>IFERROR(__xludf.DUMMYFUNCTION("""COMPUTED_VALUE"""),"")</f>
        <v/>
      </c>
      <c r="K139" s="54" t="str">
        <f>IFERROR(__xludf.DUMMYFUNCTION("""COMPUTED_VALUE"""),"")</f>
        <v/>
      </c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6"/>
      <c r="W139" s="56"/>
      <c r="X139" s="56"/>
      <c r="Y139" s="56"/>
      <c r="Z139" s="57"/>
      <c r="AA139" s="58"/>
      <c r="AB139" s="59"/>
    </row>
    <row r="140" ht="13.5" customHeight="1">
      <c r="A140" s="60" t="str">
        <f>IFERROR(__xludf.DUMMYFUNCTION("""COMPUTED_VALUE"""),"")</f>
        <v/>
      </c>
      <c r="B140" s="64" t="str">
        <f>IFERROR(__xludf.DUMMYFUNCTION("""COMPUTED_VALUE"""),"")</f>
        <v/>
      </c>
      <c r="C140" s="63" t="str">
        <f>IFERROR(__xludf.DUMMYFUNCTION("""COMPUTED_VALUE"""),"")</f>
        <v/>
      </c>
      <c r="D140" s="63" t="str">
        <f>IFERROR(__xludf.DUMMYFUNCTION("""COMPUTED_VALUE"""),"")</f>
        <v/>
      </c>
      <c r="E140" s="51" t="str">
        <f>IFERROR(__xludf.DUMMYFUNCTION("""COMPUTED_VALUE"""),"")</f>
        <v/>
      </c>
      <c r="F140" s="82" t="str">
        <f>IFERROR(__xludf.DUMMYFUNCTION("""COMPUTED_VALUE"""),"")</f>
        <v/>
      </c>
      <c r="G140" s="52" t="str">
        <f>IFERROR(__xludf.DUMMYFUNCTION("""COMPUTED_VALUE"""),"")</f>
        <v/>
      </c>
      <c r="H140" s="53" t="str">
        <f>IFERROR(__xludf.DUMMYFUNCTION("""COMPUTED_VALUE"""),"")</f>
        <v/>
      </c>
      <c r="I140" s="53" t="str">
        <f>IFERROR(__xludf.DUMMYFUNCTION("""COMPUTED_VALUE"""),"")</f>
        <v/>
      </c>
      <c r="J140" s="53" t="str">
        <f>IFERROR(__xludf.DUMMYFUNCTION("""COMPUTED_VALUE"""),"")</f>
        <v/>
      </c>
      <c r="K140" s="54" t="str">
        <f>IFERROR(__xludf.DUMMYFUNCTION("""COMPUTED_VALUE"""),"")</f>
        <v/>
      </c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6"/>
      <c r="W140" s="56"/>
      <c r="X140" s="56"/>
      <c r="Y140" s="56"/>
      <c r="Z140" s="57"/>
      <c r="AA140" s="58"/>
      <c r="AB140" s="59"/>
    </row>
    <row r="141" ht="13.5" customHeight="1">
      <c r="A141" s="60" t="str">
        <f>IFERROR(__xludf.DUMMYFUNCTION("""COMPUTED_VALUE"""),"")</f>
        <v/>
      </c>
      <c r="B141" s="64" t="str">
        <f>IFERROR(__xludf.DUMMYFUNCTION("""COMPUTED_VALUE"""),"")</f>
        <v/>
      </c>
      <c r="C141" s="63" t="str">
        <f>IFERROR(__xludf.DUMMYFUNCTION("""COMPUTED_VALUE"""),"")</f>
        <v/>
      </c>
      <c r="D141" s="63" t="str">
        <f>IFERROR(__xludf.DUMMYFUNCTION("""COMPUTED_VALUE"""),"")</f>
        <v/>
      </c>
      <c r="E141" s="51" t="str">
        <f>IFERROR(__xludf.DUMMYFUNCTION("""COMPUTED_VALUE"""),"")</f>
        <v/>
      </c>
      <c r="F141" s="82" t="str">
        <f>IFERROR(__xludf.DUMMYFUNCTION("""COMPUTED_VALUE"""),"")</f>
        <v/>
      </c>
      <c r="G141" s="52" t="str">
        <f>IFERROR(__xludf.DUMMYFUNCTION("""COMPUTED_VALUE"""),"")</f>
        <v/>
      </c>
      <c r="H141" s="53" t="str">
        <f>IFERROR(__xludf.DUMMYFUNCTION("""COMPUTED_VALUE"""),"")</f>
        <v/>
      </c>
      <c r="I141" s="53" t="str">
        <f>IFERROR(__xludf.DUMMYFUNCTION("""COMPUTED_VALUE"""),"")</f>
        <v/>
      </c>
      <c r="J141" s="53" t="str">
        <f>IFERROR(__xludf.DUMMYFUNCTION("""COMPUTED_VALUE"""),"")</f>
        <v/>
      </c>
      <c r="K141" s="54" t="str">
        <f>IFERROR(__xludf.DUMMYFUNCTION("""COMPUTED_VALUE"""),"")</f>
        <v/>
      </c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6"/>
      <c r="W141" s="56"/>
      <c r="X141" s="56"/>
      <c r="Y141" s="56"/>
      <c r="Z141" s="57"/>
      <c r="AA141" s="58"/>
      <c r="AB141" s="59"/>
    </row>
    <row r="142" ht="13.5" customHeight="1">
      <c r="A142" s="60" t="str">
        <f>IFERROR(__xludf.DUMMYFUNCTION("""COMPUTED_VALUE"""),"")</f>
        <v/>
      </c>
      <c r="B142" s="64" t="str">
        <f>IFERROR(__xludf.DUMMYFUNCTION("""COMPUTED_VALUE"""),"")</f>
        <v/>
      </c>
      <c r="C142" s="63" t="str">
        <f>IFERROR(__xludf.DUMMYFUNCTION("""COMPUTED_VALUE"""),"")</f>
        <v/>
      </c>
      <c r="D142" s="63" t="str">
        <f>IFERROR(__xludf.DUMMYFUNCTION("""COMPUTED_VALUE"""),"")</f>
        <v/>
      </c>
      <c r="E142" s="51" t="str">
        <f>IFERROR(__xludf.DUMMYFUNCTION("""COMPUTED_VALUE"""),"")</f>
        <v/>
      </c>
      <c r="F142" s="82" t="str">
        <f>IFERROR(__xludf.DUMMYFUNCTION("""COMPUTED_VALUE"""),"")</f>
        <v/>
      </c>
      <c r="G142" s="52" t="str">
        <f>IFERROR(__xludf.DUMMYFUNCTION("""COMPUTED_VALUE"""),"")</f>
        <v/>
      </c>
      <c r="H142" s="53" t="str">
        <f>IFERROR(__xludf.DUMMYFUNCTION("""COMPUTED_VALUE"""),"")</f>
        <v/>
      </c>
      <c r="I142" s="53" t="str">
        <f>IFERROR(__xludf.DUMMYFUNCTION("""COMPUTED_VALUE"""),"")</f>
        <v/>
      </c>
      <c r="J142" s="53" t="str">
        <f>IFERROR(__xludf.DUMMYFUNCTION("""COMPUTED_VALUE"""),"")</f>
        <v/>
      </c>
      <c r="K142" s="54" t="str">
        <f>IFERROR(__xludf.DUMMYFUNCTION("""COMPUTED_VALUE"""),"")</f>
        <v/>
      </c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6"/>
      <c r="W142" s="56"/>
      <c r="X142" s="56"/>
      <c r="Y142" s="56"/>
      <c r="Z142" s="57"/>
      <c r="AA142" s="58"/>
      <c r="AB142" s="59"/>
    </row>
    <row r="143" ht="13.5" customHeight="1">
      <c r="A143" s="60" t="str">
        <f>IFERROR(__xludf.DUMMYFUNCTION("""COMPUTED_VALUE"""),"")</f>
        <v/>
      </c>
      <c r="B143" s="64" t="str">
        <f>IFERROR(__xludf.DUMMYFUNCTION("""COMPUTED_VALUE"""),"")</f>
        <v/>
      </c>
      <c r="C143" s="63" t="str">
        <f>IFERROR(__xludf.DUMMYFUNCTION("""COMPUTED_VALUE"""),"")</f>
        <v/>
      </c>
      <c r="D143" s="63" t="str">
        <f>IFERROR(__xludf.DUMMYFUNCTION("""COMPUTED_VALUE"""),"")</f>
        <v/>
      </c>
      <c r="E143" s="51" t="str">
        <f>IFERROR(__xludf.DUMMYFUNCTION("""COMPUTED_VALUE"""),"")</f>
        <v/>
      </c>
      <c r="F143" s="82" t="str">
        <f>IFERROR(__xludf.DUMMYFUNCTION("""COMPUTED_VALUE"""),"")</f>
        <v/>
      </c>
      <c r="G143" s="52" t="str">
        <f>IFERROR(__xludf.DUMMYFUNCTION("""COMPUTED_VALUE"""),"")</f>
        <v/>
      </c>
      <c r="H143" s="53" t="str">
        <f>IFERROR(__xludf.DUMMYFUNCTION("""COMPUTED_VALUE"""),"")</f>
        <v/>
      </c>
      <c r="I143" s="53" t="str">
        <f>IFERROR(__xludf.DUMMYFUNCTION("""COMPUTED_VALUE"""),"")</f>
        <v/>
      </c>
      <c r="J143" s="53" t="str">
        <f>IFERROR(__xludf.DUMMYFUNCTION("""COMPUTED_VALUE"""),"")</f>
        <v/>
      </c>
      <c r="K143" s="54" t="str">
        <f>IFERROR(__xludf.DUMMYFUNCTION("""COMPUTED_VALUE"""),"")</f>
        <v/>
      </c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6"/>
      <c r="W143" s="56"/>
      <c r="X143" s="56"/>
      <c r="Y143" s="56"/>
      <c r="Z143" s="57"/>
      <c r="AA143" s="58"/>
      <c r="AB143" s="59"/>
    </row>
    <row r="144" ht="13.5" customHeight="1">
      <c r="A144" s="60" t="str">
        <f>IFERROR(__xludf.DUMMYFUNCTION("""COMPUTED_VALUE"""),"")</f>
        <v/>
      </c>
      <c r="B144" s="64" t="str">
        <f>IFERROR(__xludf.DUMMYFUNCTION("""COMPUTED_VALUE"""),"")</f>
        <v/>
      </c>
      <c r="C144" s="63" t="str">
        <f>IFERROR(__xludf.DUMMYFUNCTION("""COMPUTED_VALUE"""),"")</f>
        <v/>
      </c>
      <c r="D144" s="63" t="str">
        <f>IFERROR(__xludf.DUMMYFUNCTION("""COMPUTED_VALUE"""),"")</f>
        <v/>
      </c>
      <c r="E144" s="51" t="str">
        <f>IFERROR(__xludf.DUMMYFUNCTION("""COMPUTED_VALUE"""),"")</f>
        <v/>
      </c>
      <c r="F144" s="82" t="str">
        <f>IFERROR(__xludf.DUMMYFUNCTION("""COMPUTED_VALUE"""),"")</f>
        <v/>
      </c>
      <c r="G144" s="52" t="str">
        <f>IFERROR(__xludf.DUMMYFUNCTION("""COMPUTED_VALUE"""),"")</f>
        <v/>
      </c>
      <c r="H144" s="53" t="str">
        <f>IFERROR(__xludf.DUMMYFUNCTION("""COMPUTED_VALUE"""),"")</f>
        <v/>
      </c>
      <c r="I144" s="53" t="str">
        <f>IFERROR(__xludf.DUMMYFUNCTION("""COMPUTED_VALUE"""),"")</f>
        <v/>
      </c>
      <c r="J144" s="53" t="str">
        <f>IFERROR(__xludf.DUMMYFUNCTION("""COMPUTED_VALUE"""),"")</f>
        <v/>
      </c>
      <c r="K144" s="54" t="str">
        <f>IFERROR(__xludf.DUMMYFUNCTION("""COMPUTED_VALUE"""),"")</f>
        <v/>
      </c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6"/>
      <c r="W144" s="56"/>
      <c r="X144" s="56"/>
      <c r="Y144" s="56"/>
      <c r="Z144" s="57"/>
      <c r="AA144" s="58"/>
      <c r="AB144" s="59"/>
    </row>
    <row r="145" ht="13.5" customHeight="1">
      <c r="A145" s="60" t="str">
        <f>IFERROR(__xludf.DUMMYFUNCTION("""COMPUTED_VALUE"""),"")</f>
        <v/>
      </c>
      <c r="B145" s="64" t="str">
        <f>IFERROR(__xludf.DUMMYFUNCTION("""COMPUTED_VALUE"""),"")</f>
        <v/>
      </c>
      <c r="C145" s="63" t="str">
        <f>IFERROR(__xludf.DUMMYFUNCTION("""COMPUTED_VALUE"""),"")</f>
        <v/>
      </c>
      <c r="D145" s="63" t="str">
        <f>IFERROR(__xludf.DUMMYFUNCTION("""COMPUTED_VALUE"""),"")</f>
        <v/>
      </c>
      <c r="E145" s="51" t="str">
        <f>IFERROR(__xludf.DUMMYFUNCTION("""COMPUTED_VALUE"""),"")</f>
        <v/>
      </c>
      <c r="F145" s="82" t="str">
        <f>IFERROR(__xludf.DUMMYFUNCTION("""COMPUTED_VALUE"""),"")</f>
        <v/>
      </c>
      <c r="G145" s="52" t="str">
        <f>IFERROR(__xludf.DUMMYFUNCTION("""COMPUTED_VALUE"""),"")</f>
        <v/>
      </c>
      <c r="H145" s="53" t="str">
        <f>IFERROR(__xludf.DUMMYFUNCTION("""COMPUTED_VALUE"""),"")</f>
        <v/>
      </c>
      <c r="I145" s="53" t="str">
        <f>IFERROR(__xludf.DUMMYFUNCTION("""COMPUTED_VALUE"""),"")</f>
        <v/>
      </c>
      <c r="J145" s="53" t="str">
        <f>IFERROR(__xludf.DUMMYFUNCTION("""COMPUTED_VALUE"""),"")</f>
        <v/>
      </c>
      <c r="K145" s="54" t="str">
        <f>IFERROR(__xludf.DUMMYFUNCTION("""COMPUTED_VALUE"""),"")</f>
        <v/>
      </c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6"/>
      <c r="W145" s="56"/>
      <c r="X145" s="56"/>
      <c r="Y145" s="56"/>
      <c r="Z145" s="57"/>
      <c r="AA145" s="58"/>
      <c r="AB145" s="59"/>
    </row>
    <row r="146" ht="13.5" customHeight="1">
      <c r="A146" s="60" t="str">
        <f>IFERROR(__xludf.DUMMYFUNCTION("""COMPUTED_VALUE"""),"")</f>
        <v/>
      </c>
      <c r="B146" s="64" t="str">
        <f>IFERROR(__xludf.DUMMYFUNCTION("""COMPUTED_VALUE"""),"")</f>
        <v/>
      </c>
      <c r="C146" s="63" t="str">
        <f>IFERROR(__xludf.DUMMYFUNCTION("""COMPUTED_VALUE"""),"")</f>
        <v/>
      </c>
      <c r="D146" s="63" t="str">
        <f>IFERROR(__xludf.DUMMYFUNCTION("""COMPUTED_VALUE"""),"")</f>
        <v/>
      </c>
      <c r="E146" s="51" t="str">
        <f>IFERROR(__xludf.DUMMYFUNCTION("""COMPUTED_VALUE"""),"")</f>
        <v/>
      </c>
      <c r="F146" s="82" t="str">
        <f>IFERROR(__xludf.DUMMYFUNCTION("""COMPUTED_VALUE"""),"")</f>
        <v/>
      </c>
      <c r="G146" s="52" t="str">
        <f>IFERROR(__xludf.DUMMYFUNCTION("""COMPUTED_VALUE"""),"")</f>
        <v/>
      </c>
      <c r="H146" s="53" t="str">
        <f>IFERROR(__xludf.DUMMYFUNCTION("""COMPUTED_VALUE"""),"")</f>
        <v/>
      </c>
      <c r="I146" s="53" t="str">
        <f>IFERROR(__xludf.DUMMYFUNCTION("""COMPUTED_VALUE"""),"")</f>
        <v/>
      </c>
      <c r="J146" s="53" t="str">
        <f>IFERROR(__xludf.DUMMYFUNCTION("""COMPUTED_VALUE"""),"")</f>
        <v/>
      </c>
      <c r="K146" s="54" t="str">
        <f>IFERROR(__xludf.DUMMYFUNCTION("""COMPUTED_VALUE"""),"")</f>
        <v/>
      </c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6"/>
      <c r="W146" s="56"/>
      <c r="X146" s="56"/>
      <c r="Y146" s="56"/>
      <c r="Z146" s="57"/>
      <c r="AA146" s="58"/>
      <c r="AB146" s="59"/>
    </row>
    <row r="147" ht="13.5" customHeight="1">
      <c r="A147" s="60" t="str">
        <f>IFERROR(__xludf.DUMMYFUNCTION("""COMPUTED_VALUE"""),"")</f>
        <v/>
      </c>
      <c r="B147" s="64" t="str">
        <f>IFERROR(__xludf.DUMMYFUNCTION("""COMPUTED_VALUE"""),"")</f>
        <v/>
      </c>
      <c r="C147" s="63" t="str">
        <f>IFERROR(__xludf.DUMMYFUNCTION("""COMPUTED_VALUE"""),"")</f>
        <v/>
      </c>
      <c r="D147" s="63" t="str">
        <f>IFERROR(__xludf.DUMMYFUNCTION("""COMPUTED_VALUE"""),"")</f>
        <v/>
      </c>
      <c r="E147" s="51" t="str">
        <f>IFERROR(__xludf.DUMMYFUNCTION("""COMPUTED_VALUE"""),"")</f>
        <v/>
      </c>
      <c r="F147" s="82" t="str">
        <f>IFERROR(__xludf.DUMMYFUNCTION("""COMPUTED_VALUE"""),"")</f>
        <v/>
      </c>
      <c r="G147" s="52" t="str">
        <f>IFERROR(__xludf.DUMMYFUNCTION("""COMPUTED_VALUE"""),"")</f>
        <v/>
      </c>
      <c r="H147" s="53" t="str">
        <f>IFERROR(__xludf.DUMMYFUNCTION("""COMPUTED_VALUE"""),"")</f>
        <v/>
      </c>
      <c r="I147" s="53" t="str">
        <f>IFERROR(__xludf.DUMMYFUNCTION("""COMPUTED_VALUE"""),"")</f>
        <v/>
      </c>
      <c r="J147" s="53" t="str">
        <f>IFERROR(__xludf.DUMMYFUNCTION("""COMPUTED_VALUE"""),"")</f>
        <v/>
      </c>
      <c r="K147" s="54" t="str">
        <f>IFERROR(__xludf.DUMMYFUNCTION("""COMPUTED_VALUE"""),"")</f>
        <v/>
      </c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6"/>
      <c r="W147" s="56"/>
      <c r="X147" s="56"/>
      <c r="Y147" s="56"/>
      <c r="Z147" s="57"/>
      <c r="AA147" s="58"/>
      <c r="AB147" s="59"/>
    </row>
    <row r="148" ht="13.5" customHeight="1">
      <c r="A148" s="60" t="str">
        <f>IFERROR(__xludf.DUMMYFUNCTION("""COMPUTED_VALUE"""),"")</f>
        <v/>
      </c>
      <c r="B148" s="64" t="str">
        <f>IFERROR(__xludf.DUMMYFUNCTION("""COMPUTED_VALUE"""),"")</f>
        <v/>
      </c>
      <c r="C148" s="63" t="str">
        <f>IFERROR(__xludf.DUMMYFUNCTION("""COMPUTED_VALUE"""),"")</f>
        <v/>
      </c>
      <c r="D148" s="63" t="str">
        <f>IFERROR(__xludf.DUMMYFUNCTION("""COMPUTED_VALUE"""),"")</f>
        <v/>
      </c>
      <c r="E148" s="51" t="str">
        <f>IFERROR(__xludf.DUMMYFUNCTION("""COMPUTED_VALUE"""),"")</f>
        <v/>
      </c>
      <c r="F148" s="82" t="str">
        <f>IFERROR(__xludf.DUMMYFUNCTION("""COMPUTED_VALUE"""),"")</f>
        <v/>
      </c>
      <c r="G148" s="52" t="str">
        <f>IFERROR(__xludf.DUMMYFUNCTION("""COMPUTED_VALUE"""),"")</f>
        <v/>
      </c>
      <c r="H148" s="53" t="str">
        <f>IFERROR(__xludf.DUMMYFUNCTION("""COMPUTED_VALUE"""),"")</f>
        <v/>
      </c>
      <c r="I148" s="53" t="str">
        <f>IFERROR(__xludf.DUMMYFUNCTION("""COMPUTED_VALUE"""),"")</f>
        <v/>
      </c>
      <c r="J148" s="53" t="str">
        <f>IFERROR(__xludf.DUMMYFUNCTION("""COMPUTED_VALUE"""),"")</f>
        <v/>
      </c>
      <c r="K148" s="54" t="str">
        <f>IFERROR(__xludf.DUMMYFUNCTION("""COMPUTED_VALUE"""),"")</f>
        <v/>
      </c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6"/>
      <c r="W148" s="56"/>
      <c r="X148" s="56"/>
      <c r="Y148" s="56"/>
      <c r="Z148" s="57"/>
      <c r="AA148" s="58"/>
      <c r="AB148" s="59"/>
    </row>
    <row r="149" ht="13.5" customHeight="1">
      <c r="A149" s="60" t="str">
        <f>IFERROR(__xludf.DUMMYFUNCTION("""COMPUTED_VALUE"""),"")</f>
        <v/>
      </c>
      <c r="B149" s="64" t="str">
        <f>IFERROR(__xludf.DUMMYFUNCTION("""COMPUTED_VALUE"""),"")</f>
        <v/>
      </c>
      <c r="C149" s="63" t="str">
        <f>IFERROR(__xludf.DUMMYFUNCTION("""COMPUTED_VALUE"""),"")</f>
        <v/>
      </c>
      <c r="D149" s="63" t="str">
        <f>IFERROR(__xludf.DUMMYFUNCTION("""COMPUTED_VALUE"""),"")</f>
        <v/>
      </c>
      <c r="E149" s="51" t="str">
        <f>IFERROR(__xludf.DUMMYFUNCTION("""COMPUTED_VALUE"""),"")</f>
        <v/>
      </c>
      <c r="F149" s="82" t="str">
        <f>IFERROR(__xludf.DUMMYFUNCTION("""COMPUTED_VALUE"""),"")</f>
        <v/>
      </c>
      <c r="G149" s="52" t="str">
        <f>IFERROR(__xludf.DUMMYFUNCTION("""COMPUTED_VALUE"""),"")</f>
        <v/>
      </c>
      <c r="H149" s="53" t="str">
        <f>IFERROR(__xludf.DUMMYFUNCTION("""COMPUTED_VALUE"""),"")</f>
        <v/>
      </c>
      <c r="I149" s="53" t="str">
        <f>IFERROR(__xludf.DUMMYFUNCTION("""COMPUTED_VALUE"""),"")</f>
        <v/>
      </c>
      <c r="J149" s="53" t="str">
        <f>IFERROR(__xludf.DUMMYFUNCTION("""COMPUTED_VALUE"""),"")</f>
        <v/>
      </c>
      <c r="K149" s="54" t="str">
        <f>IFERROR(__xludf.DUMMYFUNCTION("""COMPUTED_VALUE"""),"")</f>
        <v/>
      </c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6"/>
      <c r="W149" s="56"/>
      <c r="X149" s="56"/>
      <c r="Y149" s="56"/>
      <c r="Z149" s="57"/>
      <c r="AA149" s="58"/>
      <c r="AB149" s="59"/>
    </row>
    <row r="150" ht="13.5" customHeight="1">
      <c r="A150" s="60" t="str">
        <f>IFERROR(__xludf.DUMMYFUNCTION("""COMPUTED_VALUE"""),"")</f>
        <v/>
      </c>
      <c r="B150" s="64" t="str">
        <f>IFERROR(__xludf.DUMMYFUNCTION("""COMPUTED_VALUE"""),"")</f>
        <v/>
      </c>
      <c r="C150" s="63" t="str">
        <f>IFERROR(__xludf.DUMMYFUNCTION("""COMPUTED_VALUE"""),"")</f>
        <v/>
      </c>
      <c r="D150" s="63" t="str">
        <f>IFERROR(__xludf.DUMMYFUNCTION("""COMPUTED_VALUE"""),"")</f>
        <v/>
      </c>
      <c r="E150" s="51" t="str">
        <f>IFERROR(__xludf.DUMMYFUNCTION("""COMPUTED_VALUE"""),"")</f>
        <v/>
      </c>
      <c r="F150" s="82" t="str">
        <f>IFERROR(__xludf.DUMMYFUNCTION("""COMPUTED_VALUE"""),"")</f>
        <v/>
      </c>
      <c r="G150" s="52" t="str">
        <f>IFERROR(__xludf.DUMMYFUNCTION("""COMPUTED_VALUE"""),"")</f>
        <v/>
      </c>
      <c r="H150" s="53" t="str">
        <f>IFERROR(__xludf.DUMMYFUNCTION("""COMPUTED_VALUE"""),"")</f>
        <v/>
      </c>
      <c r="I150" s="53" t="str">
        <f>IFERROR(__xludf.DUMMYFUNCTION("""COMPUTED_VALUE"""),"")</f>
        <v/>
      </c>
      <c r="J150" s="53" t="str">
        <f>IFERROR(__xludf.DUMMYFUNCTION("""COMPUTED_VALUE"""),"")</f>
        <v/>
      </c>
      <c r="K150" s="54" t="str">
        <f>IFERROR(__xludf.DUMMYFUNCTION("""COMPUTED_VALUE"""),"")</f>
        <v/>
      </c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6"/>
      <c r="W150" s="56"/>
      <c r="X150" s="56"/>
      <c r="Y150" s="56"/>
      <c r="Z150" s="57"/>
      <c r="AA150" s="58"/>
      <c r="AB150" s="59"/>
    </row>
    <row r="151" ht="13.5" customHeight="1">
      <c r="A151" s="60" t="str">
        <f>IFERROR(__xludf.DUMMYFUNCTION("""COMPUTED_VALUE"""),"")</f>
        <v/>
      </c>
      <c r="B151" s="64" t="str">
        <f>IFERROR(__xludf.DUMMYFUNCTION("""COMPUTED_VALUE"""),"")</f>
        <v/>
      </c>
      <c r="C151" s="63" t="str">
        <f>IFERROR(__xludf.DUMMYFUNCTION("""COMPUTED_VALUE"""),"")</f>
        <v/>
      </c>
      <c r="D151" s="63" t="str">
        <f>IFERROR(__xludf.DUMMYFUNCTION("""COMPUTED_VALUE"""),"")</f>
        <v/>
      </c>
      <c r="E151" s="51" t="str">
        <f>IFERROR(__xludf.DUMMYFUNCTION("""COMPUTED_VALUE"""),"")</f>
        <v/>
      </c>
      <c r="F151" s="82" t="str">
        <f>IFERROR(__xludf.DUMMYFUNCTION("""COMPUTED_VALUE"""),"")</f>
        <v/>
      </c>
      <c r="G151" s="52" t="str">
        <f>IFERROR(__xludf.DUMMYFUNCTION("""COMPUTED_VALUE"""),"")</f>
        <v/>
      </c>
      <c r="H151" s="53" t="str">
        <f>IFERROR(__xludf.DUMMYFUNCTION("""COMPUTED_VALUE"""),"")</f>
        <v/>
      </c>
      <c r="I151" s="53" t="str">
        <f>IFERROR(__xludf.DUMMYFUNCTION("""COMPUTED_VALUE"""),"")</f>
        <v/>
      </c>
      <c r="J151" s="53" t="str">
        <f>IFERROR(__xludf.DUMMYFUNCTION("""COMPUTED_VALUE"""),"")</f>
        <v/>
      </c>
      <c r="K151" s="54" t="str">
        <f>IFERROR(__xludf.DUMMYFUNCTION("""COMPUTED_VALUE"""),"")</f>
        <v/>
      </c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6"/>
      <c r="W151" s="56"/>
      <c r="X151" s="56"/>
      <c r="Y151" s="56"/>
      <c r="Z151" s="57"/>
      <c r="AA151" s="58"/>
      <c r="AB151" s="59"/>
    </row>
    <row r="152" ht="13.5" customHeight="1">
      <c r="A152" s="60" t="str">
        <f>IFERROR(__xludf.DUMMYFUNCTION("""COMPUTED_VALUE"""),"")</f>
        <v/>
      </c>
      <c r="B152" s="64" t="str">
        <f>IFERROR(__xludf.DUMMYFUNCTION("""COMPUTED_VALUE"""),"")</f>
        <v/>
      </c>
      <c r="C152" s="63" t="str">
        <f>IFERROR(__xludf.DUMMYFUNCTION("""COMPUTED_VALUE"""),"")</f>
        <v/>
      </c>
      <c r="D152" s="63" t="str">
        <f>IFERROR(__xludf.DUMMYFUNCTION("""COMPUTED_VALUE"""),"")</f>
        <v/>
      </c>
      <c r="E152" s="51" t="str">
        <f>IFERROR(__xludf.DUMMYFUNCTION("""COMPUTED_VALUE"""),"")</f>
        <v/>
      </c>
      <c r="F152" s="82" t="str">
        <f>IFERROR(__xludf.DUMMYFUNCTION("""COMPUTED_VALUE"""),"")</f>
        <v/>
      </c>
      <c r="G152" s="52" t="str">
        <f>IFERROR(__xludf.DUMMYFUNCTION("""COMPUTED_VALUE"""),"")</f>
        <v/>
      </c>
      <c r="H152" s="53" t="str">
        <f>IFERROR(__xludf.DUMMYFUNCTION("""COMPUTED_VALUE"""),"")</f>
        <v/>
      </c>
      <c r="I152" s="53" t="str">
        <f>IFERROR(__xludf.DUMMYFUNCTION("""COMPUTED_VALUE"""),"")</f>
        <v/>
      </c>
      <c r="J152" s="53" t="str">
        <f>IFERROR(__xludf.DUMMYFUNCTION("""COMPUTED_VALUE"""),"")</f>
        <v/>
      </c>
      <c r="K152" s="54" t="str">
        <f>IFERROR(__xludf.DUMMYFUNCTION("""COMPUTED_VALUE"""),"")</f>
        <v/>
      </c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6"/>
      <c r="W152" s="56"/>
      <c r="X152" s="56"/>
      <c r="Y152" s="56"/>
      <c r="Z152" s="57"/>
      <c r="AA152" s="58"/>
      <c r="AB152" s="59"/>
    </row>
    <row r="153" ht="13.5" customHeight="1">
      <c r="A153" s="60" t="str">
        <f>IFERROR(__xludf.DUMMYFUNCTION("""COMPUTED_VALUE"""),"")</f>
        <v/>
      </c>
      <c r="B153" s="64" t="str">
        <f>IFERROR(__xludf.DUMMYFUNCTION("""COMPUTED_VALUE"""),"")</f>
        <v/>
      </c>
      <c r="C153" s="63" t="str">
        <f>IFERROR(__xludf.DUMMYFUNCTION("""COMPUTED_VALUE"""),"")</f>
        <v/>
      </c>
      <c r="D153" s="63" t="str">
        <f>IFERROR(__xludf.DUMMYFUNCTION("""COMPUTED_VALUE"""),"")</f>
        <v/>
      </c>
      <c r="E153" s="51" t="str">
        <f>IFERROR(__xludf.DUMMYFUNCTION("""COMPUTED_VALUE"""),"")</f>
        <v/>
      </c>
      <c r="F153" s="82" t="str">
        <f>IFERROR(__xludf.DUMMYFUNCTION("""COMPUTED_VALUE"""),"")</f>
        <v/>
      </c>
      <c r="G153" s="52" t="str">
        <f>IFERROR(__xludf.DUMMYFUNCTION("""COMPUTED_VALUE"""),"")</f>
        <v/>
      </c>
      <c r="H153" s="53" t="str">
        <f>IFERROR(__xludf.DUMMYFUNCTION("""COMPUTED_VALUE"""),"")</f>
        <v/>
      </c>
      <c r="I153" s="53" t="str">
        <f>IFERROR(__xludf.DUMMYFUNCTION("""COMPUTED_VALUE"""),"")</f>
        <v/>
      </c>
      <c r="J153" s="53" t="str">
        <f>IFERROR(__xludf.DUMMYFUNCTION("""COMPUTED_VALUE"""),"")</f>
        <v/>
      </c>
      <c r="K153" s="54" t="str">
        <f>IFERROR(__xludf.DUMMYFUNCTION("""COMPUTED_VALUE"""),"")</f>
        <v/>
      </c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6"/>
      <c r="W153" s="56"/>
      <c r="X153" s="56"/>
      <c r="Y153" s="56"/>
      <c r="Z153" s="57"/>
      <c r="AA153" s="58"/>
      <c r="AB153" s="59"/>
    </row>
    <row r="154" ht="13.5" customHeight="1">
      <c r="A154" s="60" t="str">
        <f>IFERROR(__xludf.DUMMYFUNCTION("""COMPUTED_VALUE"""),"")</f>
        <v/>
      </c>
      <c r="B154" s="64" t="str">
        <f>IFERROR(__xludf.DUMMYFUNCTION("""COMPUTED_VALUE"""),"")</f>
        <v/>
      </c>
      <c r="C154" s="63" t="str">
        <f>IFERROR(__xludf.DUMMYFUNCTION("""COMPUTED_VALUE"""),"")</f>
        <v/>
      </c>
      <c r="D154" s="63" t="str">
        <f>IFERROR(__xludf.DUMMYFUNCTION("""COMPUTED_VALUE"""),"")</f>
        <v/>
      </c>
      <c r="E154" s="51" t="str">
        <f>IFERROR(__xludf.DUMMYFUNCTION("""COMPUTED_VALUE"""),"")</f>
        <v/>
      </c>
      <c r="F154" s="82" t="str">
        <f>IFERROR(__xludf.DUMMYFUNCTION("""COMPUTED_VALUE"""),"")</f>
        <v/>
      </c>
      <c r="G154" s="52" t="str">
        <f>IFERROR(__xludf.DUMMYFUNCTION("""COMPUTED_VALUE"""),"")</f>
        <v/>
      </c>
      <c r="H154" s="53" t="str">
        <f>IFERROR(__xludf.DUMMYFUNCTION("""COMPUTED_VALUE"""),"")</f>
        <v/>
      </c>
      <c r="I154" s="53" t="str">
        <f>IFERROR(__xludf.DUMMYFUNCTION("""COMPUTED_VALUE"""),"")</f>
        <v/>
      </c>
      <c r="J154" s="53" t="str">
        <f>IFERROR(__xludf.DUMMYFUNCTION("""COMPUTED_VALUE"""),"")</f>
        <v/>
      </c>
      <c r="K154" s="54" t="str">
        <f>IFERROR(__xludf.DUMMYFUNCTION("""COMPUTED_VALUE"""),"")</f>
        <v/>
      </c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6"/>
      <c r="W154" s="56"/>
      <c r="X154" s="56"/>
      <c r="Y154" s="56"/>
      <c r="Z154" s="57"/>
      <c r="AA154" s="58"/>
      <c r="AB154" s="59"/>
    </row>
    <row r="155" ht="13.5" customHeight="1">
      <c r="A155" s="60" t="str">
        <f>IFERROR(__xludf.DUMMYFUNCTION("""COMPUTED_VALUE"""),"")</f>
        <v/>
      </c>
      <c r="B155" s="64" t="str">
        <f>IFERROR(__xludf.DUMMYFUNCTION("""COMPUTED_VALUE"""),"")</f>
        <v/>
      </c>
      <c r="C155" s="63" t="str">
        <f>IFERROR(__xludf.DUMMYFUNCTION("""COMPUTED_VALUE"""),"")</f>
        <v/>
      </c>
      <c r="D155" s="63" t="str">
        <f>IFERROR(__xludf.DUMMYFUNCTION("""COMPUTED_VALUE"""),"")</f>
        <v/>
      </c>
      <c r="E155" s="51" t="str">
        <f>IFERROR(__xludf.DUMMYFUNCTION("""COMPUTED_VALUE"""),"")</f>
        <v/>
      </c>
      <c r="F155" s="82" t="str">
        <f>IFERROR(__xludf.DUMMYFUNCTION("""COMPUTED_VALUE"""),"")</f>
        <v/>
      </c>
      <c r="G155" s="52" t="str">
        <f>IFERROR(__xludf.DUMMYFUNCTION("""COMPUTED_VALUE"""),"")</f>
        <v/>
      </c>
      <c r="H155" s="53" t="str">
        <f>IFERROR(__xludf.DUMMYFUNCTION("""COMPUTED_VALUE"""),"")</f>
        <v/>
      </c>
      <c r="I155" s="53" t="str">
        <f>IFERROR(__xludf.DUMMYFUNCTION("""COMPUTED_VALUE"""),"")</f>
        <v/>
      </c>
      <c r="J155" s="53" t="str">
        <f>IFERROR(__xludf.DUMMYFUNCTION("""COMPUTED_VALUE"""),"")</f>
        <v/>
      </c>
      <c r="K155" s="54" t="str">
        <f>IFERROR(__xludf.DUMMYFUNCTION("""COMPUTED_VALUE"""),"")</f>
        <v/>
      </c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6"/>
      <c r="W155" s="56"/>
      <c r="X155" s="56"/>
      <c r="Y155" s="56"/>
      <c r="Z155" s="57"/>
      <c r="AA155" s="58"/>
      <c r="AB155" s="59"/>
    </row>
    <row r="156" ht="13.5" customHeight="1">
      <c r="A156" s="60" t="str">
        <f>IFERROR(__xludf.DUMMYFUNCTION("""COMPUTED_VALUE"""),"")</f>
        <v/>
      </c>
      <c r="B156" s="64" t="str">
        <f>IFERROR(__xludf.DUMMYFUNCTION("""COMPUTED_VALUE"""),"")</f>
        <v/>
      </c>
      <c r="C156" s="63" t="str">
        <f>IFERROR(__xludf.DUMMYFUNCTION("""COMPUTED_VALUE"""),"")</f>
        <v/>
      </c>
      <c r="D156" s="63" t="str">
        <f>IFERROR(__xludf.DUMMYFUNCTION("""COMPUTED_VALUE"""),"")</f>
        <v/>
      </c>
      <c r="E156" s="51" t="str">
        <f>IFERROR(__xludf.DUMMYFUNCTION("""COMPUTED_VALUE"""),"")</f>
        <v/>
      </c>
      <c r="F156" s="82" t="str">
        <f>IFERROR(__xludf.DUMMYFUNCTION("""COMPUTED_VALUE"""),"")</f>
        <v/>
      </c>
      <c r="G156" s="52" t="str">
        <f>IFERROR(__xludf.DUMMYFUNCTION("""COMPUTED_VALUE"""),"")</f>
        <v/>
      </c>
      <c r="H156" s="53" t="str">
        <f>IFERROR(__xludf.DUMMYFUNCTION("""COMPUTED_VALUE"""),"")</f>
        <v/>
      </c>
      <c r="I156" s="53" t="str">
        <f>IFERROR(__xludf.DUMMYFUNCTION("""COMPUTED_VALUE"""),"")</f>
        <v/>
      </c>
      <c r="J156" s="53" t="str">
        <f>IFERROR(__xludf.DUMMYFUNCTION("""COMPUTED_VALUE"""),"")</f>
        <v/>
      </c>
      <c r="K156" s="54" t="str">
        <f>IFERROR(__xludf.DUMMYFUNCTION("""COMPUTED_VALUE"""),"")</f>
        <v/>
      </c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6"/>
      <c r="W156" s="56"/>
      <c r="X156" s="56"/>
      <c r="Y156" s="56"/>
      <c r="Z156" s="57"/>
      <c r="AA156" s="58"/>
      <c r="AB156" s="59"/>
    </row>
    <row r="157" ht="13.5" customHeight="1">
      <c r="A157" s="60" t="str">
        <f>IFERROR(__xludf.DUMMYFUNCTION("""COMPUTED_VALUE"""),"")</f>
        <v/>
      </c>
      <c r="B157" s="64" t="str">
        <f>IFERROR(__xludf.DUMMYFUNCTION("""COMPUTED_VALUE"""),"")</f>
        <v/>
      </c>
      <c r="C157" s="63" t="str">
        <f>IFERROR(__xludf.DUMMYFUNCTION("""COMPUTED_VALUE"""),"")</f>
        <v/>
      </c>
      <c r="D157" s="63" t="str">
        <f>IFERROR(__xludf.DUMMYFUNCTION("""COMPUTED_VALUE"""),"")</f>
        <v/>
      </c>
      <c r="E157" s="51" t="str">
        <f>IFERROR(__xludf.DUMMYFUNCTION("""COMPUTED_VALUE"""),"")</f>
        <v/>
      </c>
      <c r="F157" s="82" t="str">
        <f>IFERROR(__xludf.DUMMYFUNCTION("""COMPUTED_VALUE"""),"")</f>
        <v/>
      </c>
      <c r="G157" s="52" t="str">
        <f>IFERROR(__xludf.DUMMYFUNCTION("""COMPUTED_VALUE"""),"")</f>
        <v/>
      </c>
      <c r="H157" s="53" t="str">
        <f>IFERROR(__xludf.DUMMYFUNCTION("""COMPUTED_VALUE"""),"")</f>
        <v/>
      </c>
      <c r="I157" s="53" t="str">
        <f>IFERROR(__xludf.DUMMYFUNCTION("""COMPUTED_VALUE"""),"")</f>
        <v/>
      </c>
      <c r="J157" s="53" t="str">
        <f>IFERROR(__xludf.DUMMYFUNCTION("""COMPUTED_VALUE"""),"")</f>
        <v/>
      </c>
      <c r="K157" s="54" t="str">
        <f>IFERROR(__xludf.DUMMYFUNCTION("""COMPUTED_VALUE"""),"")</f>
        <v/>
      </c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6"/>
      <c r="W157" s="56"/>
      <c r="X157" s="56"/>
      <c r="Y157" s="56"/>
      <c r="Z157" s="57"/>
      <c r="AA157" s="58"/>
      <c r="AB157" s="59"/>
    </row>
    <row r="158" ht="13.5" customHeight="1">
      <c r="A158" s="60" t="str">
        <f>IFERROR(__xludf.DUMMYFUNCTION("""COMPUTED_VALUE"""),"")</f>
        <v/>
      </c>
      <c r="B158" s="64" t="str">
        <f>IFERROR(__xludf.DUMMYFUNCTION("""COMPUTED_VALUE"""),"")</f>
        <v/>
      </c>
      <c r="C158" s="63" t="str">
        <f>IFERROR(__xludf.DUMMYFUNCTION("""COMPUTED_VALUE"""),"")</f>
        <v/>
      </c>
      <c r="D158" s="63" t="str">
        <f>IFERROR(__xludf.DUMMYFUNCTION("""COMPUTED_VALUE"""),"")</f>
        <v/>
      </c>
      <c r="E158" s="51" t="str">
        <f>IFERROR(__xludf.DUMMYFUNCTION("""COMPUTED_VALUE"""),"")</f>
        <v/>
      </c>
      <c r="F158" s="82" t="str">
        <f>IFERROR(__xludf.DUMMYFUNCTION("""COMPUTED_VALUE"""),"")</f>
        <v/>
      </c>
      <c r="G158" s="52" t="str">
        <f>IFERROR(__xludf.DUMMYFUNCTION("""COMPUTED_VALUE"""),"")</f>
        <v/>
      </c>
      <c r="H158" s="53" t="str">
        <f>IFERROR(__xludf.DUMMYFUNCTION("""COMPUTED_VALUE"""),"")</f>
        <v/>
      </c>
      <c r="I158" s="53" t="str">
        <f>IFERROR(__xludf.DUMMYFUNCTION("""COMPUTED_VALUE"""),"")</f>
        <v/>
      </c>
      <c r="J158" s="53" t="str">
        <f>IFERROR(__xludf.DUMMYFUNCTION("""COMPUTED_VALUE"""),"")</f>
        <v/>
      </c>
      <c r="K158" s="54" t="str">
        <f>IFERROR(__xludf.DUMMYFUNCTION("""COMPUTED_VALUE"""),"")</f>
        <v/>
      </c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6"/>
      <c r="W158" s="56"/>
      <c r="X158" s="56"/>
      <c r="Y158" s="56"/>
      <c r="Z158" s="57"/>
      <c r="AA158" s="58"/>
      <c r="AB158" s="59"/>
    </row>
    <row r="159" ht="13.5" customHeight="1">
      <c r="A159" s="60" t="str">
        <f>IFERROR(__xludf.DUMMYFUNCTION("""COMPUTED_VALUE"""),"")</f>
        <v/>
      </c>
      <c r="B159" s="64" t="str">
        <f>IFERROR(__xludf.DUMMYFUNCTION("""COMPUTED_VALUE"""),"")</f>
        <v/>
      </c>
      <c r="C159" s="63" t="str">
        <f>IFERROR(__xludf.DUMMYFUNCTION("""COMPUTED_VALUE"""),"")</f>
        <v/>
      </c>
      <c r="D159" s="63" t="str">
        <f>IFERROR(__xludf.DUMMYFUNCTION("""COMPUTED_VALUE"""),"")</f>
        <v/>
      </c>
      <c r="E159" s="51" t="str">
        <f>IFERROR(__xludf.DUMMYFUNCTION("""COMPUTED_VALUE"""),"")</f>
        <v/>
      </c>
      <c r="F159" s="82" t="str">
        <f>IFERROR(__xludf.DUMMYFUNCTION("""COMPUTED_VALUE"""),"")</f>
        <v/>
      </c>
      <c r="G159" s="52" t="str">
        <f>IFERROR(__xludf.DUMMYFUNCTION("""COMPUTED_VALUE"""),"")</f>
        <v/>
      </c>
      <c r="H159" s="53" t="str">
        <f>IFERROR(__xludf.DUMMYFUNCTION("""COMPUTED_VALUE"""),"")</f>
        <v/>
      </c>
      <c r="I159" s="53" t="str">
        <f>IFERROR(__xludf.DUMMYFUNCTION("""COMPUTED_VALUE"""),"")</f>
        <v/>
      </c>
      <c r="J159" s="53" t="str">
        <f>IFERROR(__xludf.DUMMYFUNCTION("""COMPUTED_VALUE"""),"")</f>
        <v/>
      </c>
      <c r="K159" s="54" t="str">
        <f>IFERROR(__xludf.DUMMYFUNCTION("""COMPUTED_VALUE"""),"")</f>
        <v/>
      </c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6"/>
      <c r="W159" s="56"/>
      <c r="X159" s="56"/>
      <c r="Y159" s="56"/>
      <c r="Z159" s="57"/>
      <c r="AA159" s="58"/>
      <c r="AB159" s="59"/>
    </row>
    <row r="160" ht="13.5" customHeight="1">
      <c r="A160" s="60" t="str">
        <f>IFERROR(__xludf.DUMMYFUNCTION("""COMPUTED_VALUE"""),"")</f>
        <v/>
      </c>
      <c r="B160" s="64" t="str">
        <f>IFERROR(__xludf.DUMMYFUNCTION("""COMPUTED_VALUE"""),"")</f>
        <v/>
      </c>
      <c r="C160" s="63" t="str">
        <f>IFERROR(__xludf.DUMMYFUNCTION("""COMPUTED_VALUE"""),"")</f>
        <v/>
      </c>
      <c r="D160" s="63" t="str">
        <f>IFERROR(__xludf.DUMMYFUNCTION("""COMPUTED_VALUE"""),"")</f>
        <v/>
      </c>
      <c r="E160" s="51" t="str">
        <f>IFERROR(__xludf.DUMMYFUNCTION("""COMPUTED_VALUE"""),"")</f>
        <v/>
      </c>
      <c r="F160" s="82" t="str">
        <f>IFERROR(__xludf.DUMMYFUNCTION("""COMPUTED_VALUE"""),"")</f>
        <v/>
      </c>
      <c r="G160" s="52" t="str">
        <f>IFERROR(__xludf.DUMMYFUNCTION("""COMPUTED_VALUE"""),"")</f>
        <v/>
      </c>
      <c r="H160" s="53" t="str">
        <f>IFERROR(__xludf.DUMMYFUNCTION("""COMPUTED_VALUE"""),"")</f>
        <v/>
      </c>
      <c r="I160" s="53" t="str">
        <f>IFERROR(__xludf.DUMMYFUNCTION("""COMPUTED_VALUE"""),"")</f>
        <v/>
      </c>
      <c r="J160" s="53" t="str">
        <f>IFERROR(__xludf.DUMMYFUNCTION("""COMPUTED_VALUE"""),"")</f>
        <v/>
      </c>
      <c r="K160" s="54" t="str">
        <f>IFERROR(__xludf.DUMMYFUNCTION("""COMPUTED_VALUE"""),"")</f>
        <v/>
      </c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6"/>
      <c r="W160" s="56"/>
      <c r="X160" s="56"/>
      <c r="Y160" s="56"/>
      <c r="Z160" s="57"/>
      <c r="AA160" s="58"/>
      <c r="AB160" s="59"/>
    </row>
    <row r="161" ht="13.5" customHeight="1">
      <c r="A161" s="60" t="str">
        <f>IFERROR(__xludf.DUMMYFUNCTION("""COMPUTED_VALUE"""),"")</f>
        <v/>
      </c>
      <c r="B161" s="64" t="str">
        <f>IFERROR(__xludf.DUMMYFUNCTION("""COMPUTED_VALUE"""),"")</f>
        <v/>
      </c>
      <c r="C161" s="63" t="str">
        <f>IFERROR(__xludf.DUMMYFUNCTION("""COMPUTED_VALUE"""),"")</f>
        <v/>
      </c>
      <c r="D161" s="63" t="str">
        <f>IFERROR(__xludf.DUMMYFUNCTION("""COMPUTED_VALUE"""),"")</f>
        <v/>
      </c>
      <c r="E161" s="51" t="str">
        <f>IFERROR(__xludf.DUMMYFUNCTION("""COMPUTED_VALUE"""),"")</f>
        <v/>
      </c>
      <c r="F161" s="82" t="str">
        <f>IFERROR(__xludf.DUMMYFUNCTION("""COMPUTED_VALUE"""),"")</f>
        <v/>
      </c>
      <c r="G161" s="52" t="str">
        <f>IFERROR(__xludf.DUMMYFUNCTION("""COMPUTED_VALUE"""),"")</f>
        <v/>
      </c>
      <c r="H161" s="53" t="str">
        <f>IFERROR(__xludf.DUMMYFUNCTION("""COMPUTED_VALUE"""),"")</f>
        <v/>
      </c>
      <c r="I161" s="53" t="str">
        <f>IFERROR(__xludf.DUMMYFUNCTION("""COMPUTED_VALUE"""),"")</f>
        <v/>
      </c>
      <c r="J161" s="53" t="str">
        <f>IFERROR(__xludf.DUMMYFUNCTION("""COMPUTED_VALUE"""),"")</f>
        <v/>
      </c>
      <c r="K161" s="54" t="str">
        <f>IFERROR(__xludf.DUMMYFUNCTION("""COMPUTED_VALUE"""),"")</f>
        <v/>
      </c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6"/>
      <c r="W161" s="56"/>
      <c r="X161" s="56"/>
      <c r="Y161" s="56"/>
      <c r="Z161" s="57"/>
      <c r="AA161" s="58"/>
      <c r="AB161" s="59"/>
    </row>
    <row r="162" ht="13.5" customHeight="1">
      <c r="A162" s="60" t="str">
        <f>IFERROR(__xludf.DUMMYFUNCTION("""COMPUTED_VALUE"""),"")</f>
        <v/>
      </c>
      <c r="B162" s="64" t="str">
        <f>IFERROR(__xludf.DUMMYFUNCTION("""COMPUTED_VALUE"""),"")</f>
        <v/>
      </c>
      <c r="C162" s="63" t="str">
        <f>IFERROR(__xludf.DUMMYFUNCTION("""COMPUTED_VALUE"""),"")</f>
        <v/>
      </c>
      <c r="D162" s="63" t="str">
        <f>IFERROR(__xludf.DUMMYFUNCTION("""COMPUTED_VALUE"""),"")</f>
        <v/>
      </c>
      <c r="E162" s="51" t="str">
        <f>IFERROR(__xludf.DUMMYFUNCTION("""COMPUTED_VALUE"""),"")</f>
        <v/>
      </c>
      <c r="F162" s="82" t="str">
        <f>IFERROR(__xludf.DUMMYFUNCTION("""COMPUTED_VALUE"""),"")</f>
        <v/>
      </c>
      <c r="G162" s="52" t="str">
        <f>IFERROR(__xludf.DUMMYFUNCTION("""COMPUTED_VALUE"""),"")</f>
        <v/>
      </c>
      <c r="H162" s="53" t="str">
        <f>IFERROR(__xludf.DUMMYFUNCTION("""COMPUTED_VALUE"""),"")</f>
        <v/>
      </c>
      <c r="I162" s="53" t="str">
        <f>IFERROR(__xludf.DUMMYFUNCTION("""COMPUTED_VALUE"""),"")</f>
        <v/>
      </c>
      <c r="J162" s="53" t="str">
        <f>IFERROR(__xludf.DUMMYFUNCTION("""COMPUTED_VALUE"""),"")</f>
        <v/>
      </c>
      <c r="K162" s="54" t="str">
        <f>IFERROR(__xludf.DUMMYFUNCTION("""COMPUTED_VALUE"""),"")</f>
        <v/>
      </c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6"/>
      <c r="W162" s="56"/>
      <c r="X162" s="56"/>
      <c r="Y162" s="56"/>
      <c r="Z162" s="57"/>
      <c r="AA162" s="58"/>
      <c r="AB162" s="59"/>
    </row>
    <row r="163" ht="13.5" customHeight="1">
      <c r="A163" s="60" t="str">
        <f>IFERROR(__xludf.DUMMYFUNCTION("""COMPUTED_VALUE"""),"")</f>
        <v/>
      </c>
      <c r="B163" s="64" t="str">
        <f>IFERROR(__xludf.DUMMYFUNCTION("""COMPUTED_VALUE"""),"")</f>
        <v/>
      </c>
      <c r="C163" s="63" t="str">
        <f>IFERROR(__xludf.DUMMYFUNCTION("""COMPUTED_VALUE"""),"")</f>
        <v/>
      </c>
      <c r="D163" s="63" t="str">
        <f>IFERROR(__xludf.DUMMYFUNCTION("""COMPUTED_VALUE"""),"")</f>
        <v/>
      </c>
      <c r="E163" s="51" t="str">
        <f>IFERROR(__xludf.DUMMYFUNCTION("""COMPUTED_VALUE"""),"")</f>
        <v/>
      </c>
      <c r="F163" s="82" t="str">
        <f>IFERROR(__xludf.DUMMYFUNCTION("""COMPUTED_VALUE"""),"")</f>
        <v/>
      </c>
      <c r="G163" s="52" t="str">
        <f>IFERROR(__xludf.DUMMYFUNCTION("""COMPUTED_VALUE"""),"")</f>
        <v/>
      </c>
      <c r="H163" s="53" t="str">
        <f>IFERROR(__xludf.DUMMYFUNCTION("""COMPUTED_VALUE"""),"")</f>
        <v/>
      </c>
      <c r="I163" s="53" t="str">
        <f>IFERROR(__xludf.DUMMYFUNCTION("""COMPUTED_VALUE"""),"")</f>
        <v/>
      </c>
      <c r="J163" s="53" t="str">
        <f>IFERROR(__xludf.DUMMYFUNCTION("""COMPUTED_VALUE"""),"")</f>
        <v/>
      </c>
      <c r="K163" s="54" t="str">
        <f>IFERROR(__xludf.DUMMYFUNCTION("""COMPUTED_VALUE"""),"")</f>
        <v/>
      </c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6"/>
      <c r="W163" s="56"/>
      <c r="X163" s="56"/>
      <c r="Y163" s="56"/>
      <c r="Z163" s="57"/>
      <c r="AA163" s="58"/>
      <c r="AB163" s="59"/>
    </row>
    <row r="164" ht="13.5" customHeight="1">
      <c r="A164" s="60" t="str">
        <f>IFERROR(__xludf.DUMMYFUNCTION("""COMPUTED_VALUE"""),"")</f>
        <v/>
      </c>
      <c r="B164" s="64" t="str">
        <f>IFERROR(__xludf.DUMMYFUNCTION("""COMPUTED_VALUE"""),"")</f>
        <v/>
      </c>
      <c r="C164" s="63" t="str">
        <f>IFERROR(__xludf.DUMMYFUNCTION("""COMPUTED_VALUE"""),"")</f>
        <v/>
      </c>
      <c r="D164" s="63" t="str">
        <f>IFERROR(__xludf.DUMMYFUNCTION("""COMPUTED_VALUE"""),"")</f>
        <v/>
      </c>
      <c r="E164" s="51" t="str">
        <f>IFERROR(__xludf.DUMMYFUNCTION("""COMPUTED_VALUE"""),"")</f>
        <v/>
      </c>
      <c r="F164" s="82" t="str">
        <f>IFERROR(__xludf.DUMMYFUNCTION("""COMPUTED_VALUE"""),"")</f>
        <v/>
      </c>
      <c r="G164" s="52" t="str">
        <f>IFERROR(__xludf.DUMMYFUNCTION("""COMPUTED_VALUE"""),"")</f>
        <v/>
      </c>
      <c r="H164" s="53" t="str">
        <f>IFERROR(__xludf.DUMMYFUNCTION("""COMPUTED_VALUE"""),"")</f>
        <v/>
      </c>
      <c r="I164" s="53" t="str">
        <f>IFERROR(__xludf.DUMMYFUNCTION("""COMPUTED_VALUE"""),"")</f>
        <v/>
      </c>
      <c r="J164" s="53" t="str">
        <f>IFERROR(__xludf.DUMMYFUNCTION("""COMPUTED_VALUE"""),"")</f>
        <v/>
      </c>
      <c r="K164" s="54" t="str">
        <f>IFERROR(__xludf.DUMMYFUNCTION("""COMPUTED_VALUE"""),"")</f>
        <v/>
      </c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6"/>
      <c r="W164" s="56"/>
      <c r="X164" s="56"/>
      <c r="Y164" s="56"/>
      <c r="Z164" s="57"/>
      <c r="AA164" s="58"/>
      <c r="AB164" s="59"/>
    </row>
    <row r="165" ht="13.5" customHeight="1">
      <c r="A165" s="60" t="str">
        <f>IFERROR(__xludf.DUMMYFUNCTION("""COMPUTED_VALUE"""),"")</f>
        <v/>
      </c>
      <c r="B165" s="64" t="str">
        <f>IFERROR(__xludf.DUMMYFUNCTION("""COMPUTED_VALUE"""),"")</f>
        <v/>
      </c>
      <c r="C165" s="63" t="str">
        <f>IFERROR(__xludf.DUMMYFUNCTION("""COMPUTED_VALUE"""),"")</f>
        <v/>
      </c>
      <c r="D165" s="63" t="str">
        <f>IFERROR(__xludf.DUMMYFUNCTION("""COMPUTED_VALUE"""),"")</f>
        <v/>
      </c>
      <c r="E165" s="51" t="str">
        <f>IFERROR(__xludf.DUMMYFUNCTION("""COMPUTED_VALUE"""),"")</f>
        <v/>
      </c>
      <c r="F165" s="82" t="str">
        <f>IFERROR(__xludf.DUMMYFUNCTION("""COMPUTED_VALUE"""),"")</f>
        <v/>
      </c>
      <c r="G165" s="52" t="str">
        <f>IFERROR(__xludf.DUMMYFUNCTION("""COMPUTED_VALUE"""),"")</f>
        <v/>
      </c>
      <c r="H165" s="53" t="str">
        <f>IFERROR(__xludf.DUMMYFUNCTION("""COMPUTED_VALUE"""),"")</f>
        <v/>
      </c>
      <c r="I165" s="53" t="str">
        <f>IFERROR(__xludf.DUMMYFUNCTION("""COMPUTED_VALUE"""),"")</f>
        <v/>
      </c>
      <c r="J165" s="53" t="str">
        <f>IFERROR(__xludf.DUMMYFUNCTION("""COMPUTED_VALUE"""),"")</f>
        <v/>
      </c>
      <c r="K165" s="54" t="str">
        <f>IFERROR(__xludf.DUMMYFUNCTION("""COMPUTED_VALUE"""),"")</f>
        <v/>
      </c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6"/>
      <c r="W165" s="56"/>
      <c r="X165" s="56"/>
      <c r="Y165" s="56"/>
      <c r="Z165" s="57"/>
      <c r="AA165" s="58"/>
      <c r="AB165" s="59"/>
    </row>
    <row r="166" ht="13.5" customHeight="1">
      <c r="A166" s="60" t="str">
        <f>IFERROR(__xludf.DUMMYFUNCTION("""COMPUTED_VALUE"""),"")</f>
        <v/>
      </c>
      <c r="B166" s="64" t="str">
        <f>IFERROR(__xludf.DUMMYFUNCTION("""COMPUTED_VALUE"""),"")</f>
        <v/>
      </c>
      <c r="C166" s="63" t="str">
        <f>IFERROR(__xludf.DUMMYFUNCTION("""COMPUTED_VALUE"""),"")</f>
        <v/>
      </c>
      <c r="D166" s="63" t="str">
        <f>IFERROR(__xludf.DUMMYFUNCTION("""COMPUTED_VALUE"""),"")</f>
        <v/>
      </c>
      <c r="E166" s="51" t="str">
        <f>IFERROR(__xludf.DUMMYFUNCTION("""COMPUTED_VALUE"""),"")</f>
        <v/>
      </c>
      <c r="F166" s="82" t="str">
        <f>IFERROR(__xludf.DUMMYFUNCTION("""COMPUTED_VALUE"""),"")</f>
        <v/>
      </c>
      <c r="G166" s="52" t="str">
        <f>IFERROR(__xludf.DUMMYFUNCTION("""COMPUTED_VALUE"""),"")</f>
        <v/>
      </c>
      <c r="H166" s="53" t="str">
        <f>IFERROR(__xludf.DUMMYFUNCTION("""COMPUTED_VALUE"""),"")</f>
        <v/>
      </c>
      <c r="I166" s="53" t="str">
        <f>IFERROR(__xludf.DUMMYFUNCTION("""COMPUTED_VALUE"""),"")</f>
        <v/>
      </c>
      <c r="J166" s="53" t="str">
        <f>IFERROR(__xludf.DUMMYFUNCTION("""COMPUTED_VALUE"""),"")</f>
        <v/>
      </c>
      <c r="K166" s="54" t="str">
        <f>IFERROR(__xludf.DUMMYFUNCTION("""COMPUTED_VALUE"""),"")</f>
        <v/>
      </c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6"/>
      <c r="W166" s="56"/>
      <c r="X166" s="56"/>
      <c r="Y166" s="56"/>
      <c r="Z166" s="57"/>
      <c r="AA166" s="58"/>
      <c r="AB166" s="59"/>
    </row>
    <row r="167" ht="13.5" customHeight="1">
      <c r="A167" s="60" t="str">
        <f>IFERROR(__xludf.DUMMYFUNCTION("""COMPUTED_VALUE"""),"")</f>
        <v/>
      </c>
      <c r="B167" s="64" t="str">
        <f>IFERROR(__xludf.DUMMYFUNCTION("""COMPUTED_VALUE"""),"")</f>
        <v/>
      </c>
      <c r="C167" s="63" t="str">
        <f>IFERROR(__xludf.DUMMYFUNCTION("""COMPUTED_VALUE"""),"")</f>
        <v/>
      </c>
      <c r="D167" s="63" t="str">
        <f>IFERROR(__xludf.DUMMYFUNCTION("""COMPUTED_VALUE"""),"")</f>
        <v/>
      </c>
      <c r="E167" s="51" t="str">
        <f>IFERROR(__xludf.DUMMYFUNCTION("""COMPUTED_VALUE"""),"")</f>
        <v/>
      </c>
      <c r="F167" s="82" t="str">
        <f>IFERROR(__xludf.DUMMYFUNCTION("""COMPUTED_VALUE"""),"")</f>
        <v/>
      </c>
      <c r="G167" s="52" t="str">
        <f>IFERROR(__xludf.DUMMYFUNCTION("""COMPUTED_VALUE"""),"")</f>
        <v/>
      </c>
      <c r="H167" s="53" t="str">
        <f>IFERROR(__xludf.DUMMYFUNCTION("""COMPUTED_VALUE"""),"")</f>
        <v/>
      </c>
      <c r="I167" s="53" t="str">
        <f>IFERROR(__xludf.DUMMYFUNCTION("""COMPUTED_VALUE"""),"")</f>
        <v/>
      </c>
      <c r="J167" s="53" t="str">
        <f>IFERROR(__xludf.DUMMYFUNCTION("""COMPUTED_VALUE"""),"")</f>
        <v/>
      </c>
      <c r="K167" s="54" t="str">
        <f>IFERROR(__xludf.DUMMYFUNCTION("""COMPUTED_VALUE"""),"")</f>
        <v/>
      </c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6"/>
      <c r="W167" s="56"/>
      <c r="X167" s="56"/>
      <c r="Y167" s="56"/>
      <c r="Z167" s="57"/>
      <c r="AA167" s="58"/>
      <c r="AB167" s="59"/>
    </row>
    <row r="168" ht="13.5" customHeight="1">
      <c r="A168" s="60" t="str">
        <f>IFERROR(__xludf.DUMMYFUNCTION("""COMPUTED_VALUE"""),"")</f>
        <v/>
      </c>
      <c r="B168" s="64" t="str">
        <f>IFERROR(__xludf.DUMMYFUNCTION("""COMPUTED_VALUE"""),"")</f>
        <v/>
      </c>
      <c r="C168" s="63" t="str">
        <f>IFERROR(__xludf.DUMMYFUNCTION("""COMPUTED_VALUE"""),"")</f>
        <v/>
      </c>
      <c r="D168" s="63" t="str">
        <f>IFERROR(__xludf.DUMMYFUNCTION("""COMPUTED_VALUE"""),"")</f>
        <v/>
      </c>
      <c r="E168" s="51" t="str">
        <f>IFERROR(__xludf.DUMMYFUNCTION("""COMPUTED_VALUE"""),"")</f>
        <v/>
      </c>
      <c r="F168" s="82" t="str">
        <f>IFERROR(__xludf.DUMMYFUNCTION("""COMPUTED_VALUE"""),"")</f>
        <v/>
      </c>
      <c r="G168" s="52" t="str">
        <f>IFERROR(__xludf.DUMMYFUNCTION("""COMPUTED_VALUE"""),"")</f>
        <v/>
      </c>
      <c r="H168" s="53" t="str">
        <f>IFERROR(__xludf.DUMMYFUNCTION("""COMPUTED_VALUE"""),"")</f>
        <v/>
      </c>
      <c r="I168" s="53" t="str">
        <f>IFERROR(__xludf.DUMMYFUNCTION("""COMPUTED_VALUE"""),"")</f>
        <v/>
      </c>
      <c r="J168" s="53" t="str">
        <f>IFERROR(__xludf.DUMMYFUNCTION("""COMPUTED_VALUE"""),"")</f>
        <v/>
      </c>
      <c r="K168" s="54" t="str">
        <f>IFERROR(__xludf.DUMMYFUNCTION("""COMPUTED_VALUE"""),"")</f>
        <v/>
      </c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6"/>
      <c r="W168" s="56"/>
      <c r="X168" s="56"/>
      <c r="Y168" s="56"/>
      <c r="Z168" s="57"/>
      <c r="AA168" s="58"/>
      <c r="AB168" s="59"/>
    </row>
    <row r="169" ht="13.5" customHeight="1">
      <c r="A169" s="60" t="str">
        <f>IFERROR(__xludf.DUMMYFUNCTION("""COMPUTED_VALUE"""),"")</f>
        <v/>
      </c>
      <c r="B169" s="64" t="str">
        <f>IFERROR(__xludf.DUMMYFUNCTION("""COMPUTED_VALUE"""),"")</f>
        <v/>
      </c>
      <c r="C169" s="63" t="str">
        <f>IFERROR(__xludf.DUMMYFUNCTION("""COMPUTED_VALUE"""),"")</f>
        <v/>
      </c>
      <c r="D169" s="63" t="str">
        <f>IFERROR(__xludf.DUMMYFUNCTION("""COMPUTED_VALUE"""),"")</f>
        <v/>
      </c>
      <c r="E169" s="51" t="str">
        <f>IFERROR(__xludf.DUMMYFUNCTION("""COMPUTED_VALUE"""),"")</f>
        <v/>
      </c>
      <c r="F169" s="82" t="str">
        <f>IFERROR(__xludf.DUMMYFUNCTION("""COMPUTED_VALUE"""),"")</f>
        <v/>
      </c>
      <c r="G169" s="52" t="str">
        <f>IFERROR(__xludf.DUMMYFUNCTION("""COMPUTED_VALUE"""),"")</f>
        <v/>
      </c>
      <c r="H169" s="53" t="str">
        <f>IFERROR(__xludf.DUMMYFUNCTION("""COMPUTED_VALUE"""),"")</f>
        <v/>
      </c>
      <c r="I169" s="53" t="str">
        <f>IFERROR(__xludf.DUMMYFUNCTION("""COMPUTED_VALUE"""),"")</f>
        <v/>
      </c>
      <c r="J169" s="53" t="str">
        <f>IFERROR(__xludf.DUMMYFUNCTION("""COMPUTED_VALUE"""),"")</f>
        <v/>
      </c>
      <c r="K169" s="54" t="str">
        <f>IFERROR(__xludf.DUMMYFUNCTION("""COMPUTED_VALUE"""),"")</f>
        <v/>
      </c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6"/>
      <c r="W169" s="56"/>
      <c r="X169" s="56"/>
      <c r="Y169" s="56"/>
      <c r="Z169" s="57"/>
      <c r="AA169" s="58"/>
      <c r="AB169" s="59"/>
    </row>
    <row r="170" ht="13.5" customHeight="1">
      <c r="A170" s="60" t="str">
        <f>IFERROR(__xludf.DUMMYFUNCTION("""COMPUTED_VALUE"""),"")</f>
        <v/>
      </c>
      <c r="B170" s="64" t="str">
        <f>IFERROR(__xludf.DUMMYFUNCTION("""COMPUTED_VALUE"""),"")</f>
        <v/>
      </c>
      <c r="C170" s="63" t="str">
        <f>IFERROR(__xludf.DUMMYFUNCTION("""COMPUTED_VALUE"""),"")</f>
        <v/>
      </c>
      <c r="D170" s="63" t="str">
        <f>IFERROR(__xludf.DUMMYFUNCTION("""COMPUTED_VALUE"""),"")</f>
        <v/>
      </c>
      <c r="E170" s="51" t="str">
        <f>IFERROR(__xludf.DUMMYFUNCTION("""COMPUTED_VALUE"""),"")</f>
        <v/>
      </c>
      <c r="F170" s="82" t="str">
        <f>IFERROR(__xludf.DUMMYFUNCTION("""COMPUTED_VALUE"""),"")</f>
        <v/>
      </c>
      <c r="G170" s="52" t="str">
        <f>IFERROR(__xludf.DUMMYFUNCTION("""COMPUTED_VALUE"""),"")</f>
        <v/>
      </c>
      <c r="H170" s="53" t="str">
        <f>IFERROR(__xludf.DUMMYFUNCTION("""COMPUTED_VALUE"""),"")</f>
        <v/>
      </c>
      <c r="I170" s="53" t="str">
        <f>IFERROR(__xludf.DUMMYFUNCTION("""COMPUTED_VALUE"""),"")</f>
        <v/>
      </c>
      <c r="J170" s="53" t="str">
        <f>IFERROR(__xludf.DUMMYFUNCTION("""COMPUTED_VALUE"""),"")</f>
        <v/>
      </c>
      <c r="K170" s="54" t="str">
        <f>IFERROR(__xludf.DUMMYFUNCTION("""COMPUTED_VALUE"""),"")</f>
        <v/>
      </c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6"/>
      <c r="W170" s="56"/>
      <c r="X170" s="56"/>
      <c r="Y170" s="56"/>
      <c r="Z170" s="57"/>
      <c r="AA170" s="58"/>
      <c r="AB170" s="58"/>
    </row>
    <row r="171" ht="13.5" customHeight="1">
      <c r="A171" s="60" t="str">
        <f>IFERROR(__xludf.DUMMYFUNCTION("""COMPUTED_VALUE"""),"")</f>
        <v/>
      </c>
      <c r="B171" s="64" t="str">
        <f>IFERROR(__xludf.DUMMYFUNCTION("""COMPUTED_VALUE"""),"")</f>
        <v/>
      </c>
      <c r="C171" s="63" t="str">
        <f>IFERROR(__xludf.DUMMYFUNCTION("""COMPUTED_VALUE"""),"")</f>
        <v/>
      </c>
      <c r="D171" s="63" t="str">
        <f>IFERROR(__xludf.DUMMYFUNCTION("""COMPUTED_VALUE"""),"")</f>
        <v/>
      </c>
      <c r="E171" s="51" t="str">
        <f>IFERROR(__xludf.DUMMYFUNCTION("""COMPUTED_VALUE"""),"")</f>
        <v/>
      </c>
      <c r="F171" s="82" t="str">
        <f>IFERROR(__xludf.DUMMYFUNCTION("""COMPUTED_VALUE"""),"")</f>
        <v/>
      </c>
      <c r="G171" s="52" t="str">
        <f>IFERROR(__xludf.DUMMYFUNCTION("""COMPUTED_VALUE"""),"")</f>
        <v/>
      </c>
      <c r="H171" s="53" t="str">
        <f>IFERROR(__xludf.DUMMYFUNCTION("""COMPUTED_VALUE"""),"")</f>
        <v/>
      </c>
      <c r="I171" s="53" t="str">
        <f>IFERROR(__xludf.DUMMYFUNCTION("""COMPUTED_VALUE"""),"")</f>
        <v/>
      </c>
      <c r="J171" s="53" t="str">
        <f>IFERROR(__xludf.DUMMYFUNCTION("""COMPUTED_VALUE"""),"")</f>
        <v/>
      </c>
      <c r="K171" s="54" t="str">
        <f>IFERROR(__xludf.DUMMYFUNCTION("""COMPUTED_VALUE"""),"")</f>
        <v/>
      </c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6"/>
      <c r="W171" s="56"/>
      <c r="X171" s="56"/>
      <c r="Y171" s="56"/>
      <c r="Z171" s="57"/>
      <c r="AA171" s="58"/>
      <c r="AB171" s="58"/>
    </row>
    <row r="172" ht="13.5" customHeight="1">
      <c r="A172" s="60" t="str">
        <f>IFERROR(__xludf.DUMMYFUNCTION("""COMPUTED_VALUE"""),"")</f>
        <v/>
      </c>
      <c r="B172" s="64" t="str">
        <f>IFERROR(__xludf.DUMMYFUNCTION("""COMPUTED_VALUE"""),"")</f>
        <v/>
      </c>
      <c r="C172" s="63" t="str">
        <f>IFERROR(__xludf.DUMMYFUNCTION("""COMPUTED_VALUE"""),"")</f>
        <v/>
      </c>
      <c r="D172" s="63" t="str">
        <f>IFERROR(__xludf.DUMMYFUNCTION("""COMPUTED_VALUE"""),"")</f>
        <v/>
      </c>
      <c r="E172" s="51" t="str">
        <f>IFERROR(__xludf.DUMMYFUNCTION("""COMPUTED_VALUE"""),"")</f>
        <v/>
      </c>
      <c r="F172" s="82" t="str">
        <f>IFERROR(__xludf.DUMMYFUNCTION("""COMPUTED_VALUE"""),"")</f>
        <v/>
      </c>
      <c r="G172" s="52" t="str">
        <f>IFERROR(__xludf.DUMMYFUNCTION("""COMPUTED_VALUE"""),"")</f>
        <v/>
      </c>
      <c r="H172" s="53" t="str">
        <f>IFERROR(__xludf.DUMMYFUNCTION("""COMPUTED_VALUE"""),"")</f>
        <v/>
      </c>
      <c r="I172" s="53" t="str">
        <f>IFERROR(__xludf.DUMMYFUNCTION("""COMPUTED_VALUE"""),"")</f>
        <v/>
      </c>
      <c r="J172" s="53" t="str">
        <f>IFERROR(__xludf.DUMMYFUNCTION("""COMPUTED_VALUE"""),"")</f>
        <v/>
      </c>
      <c r="K172" s="54" t="str">
        <f>IFERROR(__xludf.DUMMYFUNCTION("""COMPUTED_VALUE"""),"")</f>
        <v/>
      </c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6"/>
      <c r="W172" s="56"/>
      <c r="X172" s="56"/>
      <c r="Y172" s="56"/>
      <c r="Z172" s="57"/>
      <c r="AA172" s="58"/>
      <c r="AB172" s="58"/>
    </row>
    <row r="173" ht="13.5" customHeight="1">
      <c r="A173" s="60" t="str">
        <f>IFERROR(__xludf.DUMMYFUNCTION("""COMPUTED_VALUE"""),"")</f>
        <v/>
      </c>
      <c r="B173" s="64" t="str">
        <f>IFERROR(__xludf.DUMMYFUNCTION("""COMPUTED_VALUE"""),"")</f>
        <v/>
      </c>
      <c r="C173" s="63" t="str">
        <f>IFERROR(__xludf.DUMMYFUNCTION("""COMPUTED_VALUE"""),"")</f>
        <v/>
      </c>
      <c r="D173" s="63" t="str">
        <f>IFERROR(__xludf.DUMMYFUNCTION("""COMPUTED_VALUE"""),"")</f>
        <v/>
      </c>
      <c r="E173" s="51" t="str">
        <f>IFERROR(__xludf.DUMMYFUNCTION("""COMPUTED_VALUE"""),"")</f>
        <v/>
      </c>
      <c r="F173" s="82" t="str">
        <f>IFERROR(__xludf.DUMMYFUNCTION("""COMPUTED_VALUE"""),"")</f>
        <v/>
      </c>
      <c r="G173" s="52" t="str">
        <f>IFERROR(__xludf.DUMMYFUNCTION("""COMPUTED_VALUE"""),"")</f>
        <v/>
      </c>
      <c r="H173" s="53" t="str">
        <f>IFERROR(__xludf.DUMMYFUNCTION("""COMPUTED_VALUE"""),"")</f>
        <v/>
      </c>
      <c r="I173" s="53" t="str">
        <f>IFERROR(__xludf.DUMMYFUNCTION("""COMPUTED_VALUE"""),"")</f>
        <v/>
      </c>
      <c r="J173" s="53" t="str">
        <f>IFERROR(__xludf.DUMMYFUNCTION("""COMPUTED_VALUE"""),"")</f>
        <v/>
      </c>
      <c r="K173" s="54" t="str">
        <f>IFERROR(__xludf.DUMMYFUNCTION("""COMPUTED_VALUE"""),"")</f>
        <v/>
      </c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6"/>
      <c r="W173" s="56"/>
      <c r="X173" s="56"/>
      <c r="Y173" s="56"/>
      <c r="Z173" s="57"/>
      <c r="AA173" s="58"/>
      <c r="AB173" s="58"/>
    </row>
    <row r="174" ht="13.5" customHeight="1">
      <c r="A174" s="60" t="str">
        <f>IFERROR(__xludf.DUMMYFUNCTION("""COMPUTED_VALUE"""),"")</f>
        <v/>
      </c>
      <c r="B174" s="64" t="str">
        <f>IFERROR(__xludf.DUMMYFUNCTION("""COMPUTED_VALUE"""),"")</f>
        <v/>
      </c>
      <c r="C174" s="63" t="str">
        <f>IFERROR(__xludf.DUMMYFUNCTION("""COMPUTED_VALUE"""),"")</f>
        <v/>
      </c>
      <c r="D174" s="63" t="str">
        <f>IFERROR(__xludf.DUMMYFUNCTION("""COMPUTED_VALUE"""),"")</f>
        <v/>
      </c>
      <c r="E174" s="51" t="str">
        <f>IFERROR(__xludf.DUMMYFUNCTION("""COMPUTED_VALUE"""),"")</f>
        <v/>
      </c>
      <c r="F174" s="82" t="str">
        <f>IFERROR(__xludf.DUMMYFUNCTION("""COMPUTED_VALUE"""),"")</f>
        <v/>
      </c>
      <c r="G174" s="52" t="str">
        <f>IFERROR(__xludf.DUMMYFUNCTION("""COMPUTED_VALUE"""),"")</f>
        <v/>
      </c>
      <c r="H174" s="53" t="str">
        <f>IFERROR(__xludf.DUMMYFUNCTION("""COMPUTED_VALUE"""),"")</f>
        <v/>
      </c>
      <c r="I174" s="53" t="str">
        <f>IFERROR(__xludf.DUMMYFUNCTION("""COMPUTED_VALUE"""),"")</f>
        <v/>
      </c>
      <c r="J174" s="53" t="str">
        <f>IFERROR(__xludf.DUMMYFUNCTION("""COMPUTED_VALUE"""),"")</f>
        <v/>
      </c>
      <c r="K174" s="54" t="str">
        <f>IFERROR(__xludf.DUMMYFUNCTION("""COMPUTED_VALUE"""),"")</f>
        <v/>
      </c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6"/>
      <c r="W174" s="56"/>
      <c r="X174" s="56"/>
      <c r="Y174" s="56"/>
      <c r="Z174" s="57"/>
      <c r="AA174" s="58"/>
      <c r="AB174" s="58"/>
    </row>
    <row r="175" ht="13.5" customHeight="1">
      <c r="A175" s="60" t="str">
        <f>IFERROR(__xludf.DUMMYFUNCTION("""COMPUTED_VALUE"""),"")</f>
        <v/>
      </c>
      <c r="B175" s="64" t="str">
        <f>IFERROR(__xludf.DUMMYFUNCTION("""COMPUTED_VALUE"""),"")</f>
        <v/>
      </c>
      <c r="C175" s="63" t="str">
        <f>IFERROR(__xludf.DUMMYFUNCTION("""COMPUTED_VALUE"""),"")</f>
        <v/>
      </c>
      <c r="D175" s="63" t="str">
        <f>IFERROR(__xludf.DUMMYFUNCTION("""COMPUTED_VALUE"""),"")</f>
        <v/>
      </c>
      <c r="E175" s="51" t="str">
        <f>IFERROR(__xludf.DUMMYFUNCTION("""COMPUTED_VALUE"""),"")</f>
        <v/>
      </c>
      <c r="F175" s="82" t="str">
        <f>IFERROR(__xludf.DUMMYFUNCTION("""COMPUTED_VALUE"""),"")</f>
        <v/>
      </c>
      <c r="G175" s="52" t="str">
        <f>IFERROR(__xludf.DUMMYFUNCTION("""COMPUTED_VALUE"""),"")</f>
        <v/>
      </c>
      <c r="H175" s="53" t="str">
        <f>IFERROR(__xludf.DUMMYFUNCTION("""COMPUTED_VALUE"""),"")</f>
        <v/>
      </c>
      <c r="I175" s="53" t="str">
        <f>IFERROR(__xludf.DUMMYFUNCTION("""COMPUTED_VALUE"""),"")</f>
        <v/>
      </c>
      <c r="J175" s="53" t="str">
        <f>IFERROR(__xludf.DUMMYFUNCTION("""COMPUTED_VALUE"""),"")</f>
        <v/>
      </c>
      <c r="K175" s="54" t="str">
        <f>IFERROR(__xludf.DUMMYFUNCTION("""COMPUTED_VALUE"""),"")</f>
        <v/>
      </c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6"/>
      <c r="W175" s="56"/>
      <c r="X175" s="56"/>
      <c r="Y175" s="56"/>
      <c r="Z175" s="57"/>
      <c r="AA175" s="58"/>
      <c r="AB175" s="58"/>
    </row>
    <row r="176" ht="13.5" customHeight="1">
      <c r="A176" s="60" t="str">
        <f>IFERROR(__xludf.DUMMYFUNCTION("""COMPUTED_VALUE"""),"")</f>
        <v/>
      </c>
      <c r="B176" s="64" t="str">
        <f>IFERROR(__xludf.DUMMYFUNCTION("""COMPUTED_VALUE"""),"")</f>
        <v/>
      </c>
      <c r="C176" s="63" t="str">
        <f>IFERROR(__xludf.DUMMYFUNCTION("""COMPUTED_VALUE"""),"")</f>
        <v/>
      </c>
      <c r="D176" s="63" t="str">
        <f>IFERROR(__xludf.DUMMYFUNCTION("""COMPUTED_VALUE"""),"")</f>
        <v/>
      </c>
      <c r="E176" s="51" t="str">
        <f>IFERROR(__xludf.DUMMYFUNCTION("""COMPUTED_VALUE"""),"")</f>
        <v/>
      </c>
      <c r="F176" s="82" t="str">
        <f>IFERROR(__xludf.DUMMYFUNCTION("""COMPUTED_VALUE"""),"")</f>
        <v/>
      </c>
      <c r="G176" s="52" t="str">
        <f>IFERROR(__xludf.DUMMYFUNCTION("""COMPUTED_VALUE"""),"")</f>
        <v/>
      </c>
      <c r="H176" s="53" t="str">
        <f>IFERROR(__xludf.DUMMYFUNCTION("""COMPUTED_VALUE"""),"")</f>
        <v/>
      </c>
      <c r="I176" s="53" t="str">
        <f>IFERROR(__xludf.DUMMYFUNCTION("""COMPUTED_VALUE"""),"")</f>
        <v/>
      </c>
      <c r="J176" s="53" t="str">
        <f>IFERROR(__xludf.DUMMYFUNCTION("""COMPUTED_VALUE"""),"")</f>
        <v/>
      </c>
      <c r="K176" s="54" t="str">
        <f>IFERROR(__xludf.DUMMYFUNCTION("""COMPUTED_VALUE"""),"")</f>
        <v/>
      </c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6"/>
      <c r="W176" s="56"/>
      <c r="X176" s="56"/>
      <c r="Y176" s="56"/>
      <c r="Z176" s="57"/>
      <c r="AA176" s="58"/>
      <c r="AB176" s="58"/>
    </row>
    <row r="177" ht="13.5" customHeight="1">
      <c r="A177" s="60" t="str">
        <f>IFERROR(__xludf.DUMMYFUNCTION("""COMPUTED_VALUE"""),"")</f>
        <v/>
      </c>
      <c r="B177" s="64" t="str">
        <f>IFERROR(__xludf.DUMMYFUNCTION("""COMPUTED_VALUE"""),"")</f>
        <v/>
      </c>
      <c r="C177" s="63" t="str">
        <f>IFERROR(__xludf.DUMMYFUNCTION("""COMPUTED_VALUE"""),"")</f>
        <v/>
      </c>
      <c r="D177" s="63" t="str">
        <f>IFERROR(__xludf.DUMMYFUNCTION("""COMPUTED_VALUE"""),"")</f>
        <v/>
      </c>
      <c r="E177" s="51" t="str">
        <f>IFERROR(__xludf.DUMMYFUNCTION("""COMPUTED_VALUE"""),"")</f>
        <v/>
      </c>
      <c r="F177" s="82" t="str">
        <f>IFERROR(__xludf.DUMMYFUNCTION("""COMPUTED_VALUE"""),"")</f>
        <v/>
      </c>
      <c r="G177" s="52" t="str">
        <f>IFERROR(__xludf.DUMMYFUNCTION("""COMPUTED_VALUE"""),"")</f>
        <v/>
      </c>
      <c r="H177" s="53" t="str">
        <f>IFERROR(__xludf.DUMMYFUNCTION("""COMPUTED_VALUE"""),"")</f>
        <v/>
      </c>
      <c r="I177" s="53" t="str">
        <f>IFERROR(__xludf.DUMMYFUNCTION("""COMPUTED_VALUE"""),"")</f>
        <v/>
      </c>
      <c r="J177" s="53" t="str">
        <f>IFERROR(__xludf.DUMMYFUNCTION("""COMPUTED_VALUE"""),"")</f>
        <v/>
      </c>
      <c r="K177" s="54" t="str">
        <f>IFERROR(__xludf.DUMMYFUNCTION("""COMPUTED_VALUE"""),"")</f>
        <v/>
      </c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6"/>
      <c r="W177" s="56"/>
      <c r="X177" s="56"/>
      <c r="Y177" s="56"/>
      <c r="Z177" s="57"/>
      <c r="AA177" s="58"/>
      <c r="AB177" s="58"/>
    </row>
    <row r="178" ht="13.5" customHeight="1">
      <c r="A178" s="60" t="str">
        <f>IFERROR(__xludf.DUMMYFUNCTION("""COMPUTED_VALUE"""),"")</f>
        <v/>
      </c>
      <c r="B178" s="64" t="str">
        <f>IFERROR(__xludf.DUMMYFUNCTION("""COMPUTED_VALUE"""),"")</f>
        <v/>
      </c>
      <c r="C178" s="63" t="str">
        <f>IFERROR(__xludf.DUMMYFUNCTION("""COMPUTED_VALUE"""),"")</f>
        <v/>
      </c>
      <c r="D178" s="63" t="str">
        <f>IFERROR(__xludf.DUMMYFUNCTION("""COMPUTED_VALUE"""),"")</f>
        <v/>
      </c>
      <c r="E178" s="51" t="str">
        <f>IFERROR(__xludf.DUMMYFUNCTION("""COMPUTED_VALUE"""),"")</f>
        <v/>
      </c>
      <c r="F178" s="82" t="str">
        <f>IFERROR(__xludf.DUMMYFUNCTION("""COMPUTED_VALUE"""),"")</f>
        <v/>
      </c>
      <c r="G178" s="52" t="str">
        <f>IFERROR(__xludf.DUMMYFUNCTION("""COMPUTED_VALUE"""),"")</f>
        <v/>
      </c>
      <c r="H178" s="53" t="str">
        <f>IFERROR(__xludf.DUMMYFUNCTION("""COMPUTED_VALUE"""),"")</f>
        <v/>
      </c>
      <c r="I178" s="53" t="str">
        <f>IFERROR(__xludf.DUMMYFUNCTION("""COMPUTED_VALUE"""),"")</f>
        <v/>
      </c>
      <c r="J178" s="53" t="str">
        <f>IFERROR(__xludf.DUMMYFUNCTION("""COMPUTED_VALUE"""),"")</f>
        <v/>
      </c>
      <c r="K178" s="54" t="str">
        <f>IFERROR(__xludf.DUMMYFUNCTION("""COMPUTED_VALUE"""),"")</f>
        <v/>
      </c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6"/>
      <c r="W178" s="56"/>
      <c r="X178" s="56"/>
      <c r="Y178" s="56"/>
      <c r="Z178" s="57"/>
      <c r="AA178" s="58"/>
      <c r="AB178" s="58"/>
    </row>
    <row r="179" ht="13.5" customHeight="1">
      <c r="A179" s="60" t="str">
        <f>IFERROR(__xludf.DUMMYFUNCTION("""COMPUTED_VALUE"""),"")</f>
        <v/>
      </c>
      <c r="B179" s="64" t="str">
        <f>IFERROR(__xludf.DUMMYFUNCTION("""COMPUTED_VALUE"""),"")</f>
        <v/>
      </c>
      <c r="C179" s="63" t="str">
        <f>IFERROR(__xludf.DUMMYFUNCTION("""COMPUTED_VALUE"""),"")</f>
        <v/>
      </c>
      <c r="D179" s="63" t="str">
        <f>IFERROR(__xludf.DUMMYFUNCTION("""COMPUTED_VALUE"""),"")</f>
        <v/>
      </c>
      <c r="E179" s="51" t="str">
        <f>IFERROR(__xludf.DUMMYFUNCTION("""COMPUTED_VALUE"""),"")</f>
        <v/>
      </c>
      <c r="F179" s="82" t="str">
        <f>IFERROR(__xludf.DUMMYFUNCTION("""COMPUTED_VALUE"""),"")</f>
        <v/>
      </c>
      <c r="G179" s="52" t="str">
        <f>IFERROR(__xludf.DUMMYFUNCTION("""COMPUTED_VALUE"""),"")</f>
        <v/>
      </c>
      <c r="H179" s="53" t="str">
        <f>IFERROR(__xludf.DUMMYFUNCTION("""COMPUTED_VALUE"""),"")</f>
        <v/>
      </c>
      <c r="I179" s="53" t="str">
        <f>IFERROR(__xludf.DUMMYFUNCTION("""COMPUTED_VALUE"""),"")</f>
        <v/>
      </c>
      <c r="J179" s="53" t="str">
        <f>IFERROR(__xludf.DUMMYFUNCTION("""COMPUTED_VALUE"""),"")</f>
        <v/>
      </c>
      <c r="K179" s="54" t="str">
        <f>IFERROR(__xludf.DUMMYFUNCTION("""COMPUTED_VALUE"""),"")</f>
        <v/>
      </c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6"/>
      <c r="W179" s="56"/>
      <c r="X179" s="56"/>
      <c r="Y179" s="56"/>
      <c r="Z179" s="57"/>
      <c r="AA179" s="58"/>
      <c r="AB179" s="58"/>
    </row>
    <row r="180" ht="13.5" customHeight="1">
      <c r="A180" s="60" t="str">
        <f>IFERROR(__xludf.DUMMYFUNCTION("""COMPUTED_VALUE"""),"")</f>
        <v/>
      </c>
      <c r="B180" s="64" t="str">
        <f>IFERROR(__xludf.DUMMYFUNCTION("""COMPUTED_VALUE"""),"")</f>
        <v/>
      </c>
      <c r="C180" s="63" t="str">
        <f>IFERROR(__xludf.DUMMYFUNCTION("""COMPUTED_VALUE"""),"")</f>
        <v/>
      </c>
      <c r="D180" s="63" t="str">
        <f>IFERROR(__xludf.DUMMYFUNCTION("""COMPUTED_VALUE"""),"")</f>
        <v/>
      </c>
      <c r="E180" s="51" t="str">
        <f>IFERROR(__xludf.DUMMYFUNCTION("""COMPUTED_VALUE"""),"")</f>
        <v/>
      </c>
      <c r="F180" s="82" t="str">
        <f>IFERROR(__xludf.DUMMYFUNCTION("""COMPUTED_VALUE"""),"")</f>
        <v/>
      </c>
      <c r="G180" s="52" t="str">
        <f>IFERROR(__xludf.DUMMYFUNCTION("""COMPUTED_VALUE"""),"")</f>
        <v/>
      </c>
      <c r="H180" s="53" t="str">
        <f>IFERROR(__xludf.DUMMYFUNCTION("""COMPUTED_VALUE"""),"")</f>
        <v/>
      </c>
      <c r="I180" s="53" t="str">
        <f>IFERROR(__xludf.DUMMYFUNCTION("""COMPUTED_VALUE"""),"")</f>
        <v/>
      </c>
      <c r="J180" s="53" t="str">
        <f>IFERROR(__xludf.DUMMYFUNCTION("""COMPUTED_VALUE"""),"")</f>
        <v/>
      </c>
      <c r="K180" s="54" t="str">
        <f>IFERROR(__xludf.DUMMYFUNCTION("""COMPUTED_VALUE"""),"")</f>
        <v/>
      </c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6"/>
      <c r="W180" s="56"/>
      <c r="X180" s="56"/>
      <c r="Y180" s="56"/>
      <c r="Z180" s="57"/>
      <c r="AA180" s="58"/>
      <c r="AB180" s="58"/>
    </row>
    <row r="181" ht="13.5" customHeight="1">
      <c r="A181" s="65"/>
      <c r="B181" s="66"/>
      <c r="C181" s="67"/>
      <c r="D181" s="67"/>
      <c r="E181" s="66"/>
      <c r="F181" s="66"/>
      <c r="G181" s="66"/>
      <c r="H181" s="66"/>
      <c r="I181" s="66"/>
      <c r="J181" s="66"/>
      <c r="K181" s="69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6"/>
      <c r="W181" s="56"/>
      <c r="X181" s="56"/>
      <c r="Y181" s="56"/>
      <c r="Z181" s="57"/>
      <c r="AA181" s="58"/>
      <c r="AB181" s="58"/>
    </row>
    <row r="182" ht="13.5" customHeight="1">
      <c r="A182" s="65"/>
      <c r="B182" s="66"/>
      <c r="C182" s="67"/>
      <c r="D182" s="67"/>
      <c r="E182" s="66"/>
      <c r="F182" s="66"/>
      <c r="G182" s="66"/>
      <c r="H182" s="66"/>
      <c r="I182" s="66"/>
      <c r="J182" s="66"/>
      <c r="K182" s="69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6"/>
      <c r="W182" s="56"/>
      <c r="X182" s="56"/>
      <c r="Y182" s="56"/>
      <c r="Z182" s="57"/>
      <c r="AA182" s="58"/>
      <c r="AB182" s="58"/>
    </row>
    <row r="183" ht="15.75" customHeight="1">
      <c r="A183" s="65"/>
      <c r="B183" s="66"/>
      <c r="C183" s="67"/>
      <c r="D183" s="67"/>
      <c r="E183" s="66"/>
      <c r="F183" s="66"/>
      <c r="G183" s="66"/>
      <c r="H183" s="66"/>
      <c r="I183" s="66"/>
      <c r="J183" s="66"/>
      <c r="K183" s="69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7"/>
      <c r="AA183" s="58"/>
      <c r="AB183" s="58"/>
    </row>
    <row r="184" ht="15.75" customHeight="1">
      <c r="A184" s="65"/>
      <c r="B184" s="66"/>
      <c r="C184" s="67"/>
      <c r="D184" s="67"/>
      <c r="E184" s="66"/>
      <c r="F184" s="66"/>
      <c r="G184" s="66"/>
      <c r="H184" s="66"/>
      <c r="I184" s="66"/>
      <c r="J184" s="66"/>
      <c r="K184" s="69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7"/>
      <c r="AA184" s="58"/>
      <c r="AB184" s="58"/>
    </row>
    <row r="185" ht="15.75" customHeight="1">
      <c r="A185" s="65"/>
      <c r="B185" s="66"/>
      <c r="C185" s="67"/>
      <c r="D185" s="67"/>
      <c r="E185" s="66"/>
      <c r="F185" s="66"/>
      <c r="G185" s="66"/>
      <c r="H185" s="66"/>
      <c r="I185" s="66"/>
      <c r="J185" s="66"/>
      <c r="K185" s="69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7"/>
      <c r="AA185" s="58"/>
      <c r="AB185" s="58"/>
    </row>
    <row r="186" ht="15.75" customHeight="1">
      <c r="A186" s="65"/>
      <c r="B186" s="66"/>
      <c r="C186" s="67"/>
      <c r="D186" s="67"/>
      <c r="E186" s="66"/>
      <c r="F186" s="66"/>
      <c r="G186" s="66"/>
      <c r="H186" s="66"/>
      <c r="I186" s="66"/>
      <c r="J186" s="66"/>
      <c r="K186" s="69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7"/>
      <c r="AA186" s="58"/>
      <c r="AB186" s="58"/>
    </row>
    <row r="187" ht="15.75" customHeight="1">
      <c r="A187" s="65"/>
      <c r="B187" s="66"/>
      <c r="C187" s="67"/>
      <c r="D187" s="67"/>
      <c r="E187" s="66"/>
      <c r="F187" s="66"/>
      <c r="G187" s="66"/>
      <c r="H187" s="66"/>
      <c r="I187" s="66"/>
      <c r="J187" s="66"/>
      <c r="K187" s="69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7"/>
      <c r="AA187" s="58"/>
      <c r="AB187" s="58"/>
    </row>
    <row r="188" ht="15.75" customHeight="1">
      <c r="A188" s="65"/>
      <c r="B188" s="66"/>
      <c r="C188" s="67"/>
      <c r="D188" s="67"/>
      <c r="E188" s="66"/>
      <c r="F188" s="66"/>
      <c r="G188" s="66"/>
      <c r="H188" s="66"/>
      <c r="I188" s="66"/>
      <c r="J188" s="66"/>
      <c r="K188" s="69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7"/>
      <c r="AA188" s="58"/>
      <c r="AB188" s="58"/>
    </row>
    <row r="189" ht="15.75" customHeight="1">
      <c r="A189" s="65"/>
      <c r="B189" s="66"/>
      <c r="C189" s="67"/>
      <c r="D189" s="67"/>
      <c r="E189" s="66"/>
      <c r="F189" s="66"/>
      <c r="G189" s="66"/>
      <c r="H189" s="66"/>
      <c r="I189" s="66"/>
      <c r="J189" s="66"/>
      <c r="K189" s="69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7"/>
      <c r="AA189" s="58"/>
      <c r="AB189" s="58"/>
    </row>
    <row r="190" ht="15.75" customHeight="1">
      <c r="A190" s="65"/>
      <c r="B190" s="66"/>
      <c r="C190" s="67"/>
      <c r="D190" s="67"/>
      <c r="E190" s="66"/>
      <c r="F190" s="66"/>
      <c r="G190" s="66"/>
      <c r="H190" s="66"/>
      <c r="I190" s="66"/>
      <c r="J190" s="66"/>
      <c r="K190" s="69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7"/>
      <c r="AA190" s="58"/>
      <c r="AB190" s="58"/>
    </row>
    <row r="191" ht="15.75" customHeight="1">
      <c r="A191" s="65"/>
      <c r="B191" s="66"/>
      <c r="C191" s="67"/>
      <c r="D191" s="67"/>
      <c r="E191" s="66"/>
      <c r="F191" s="66"/>
      <c r="G191" s="66"/>
      <c r="H191" s="66"/>
      <c r="I191" s="66"/>
      <c r="J191" s="66"/>
      <c r="K191" s="69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7"/>
      <c r="AA191" s="58"/>
      <c r="AB191" s="58"/>
    </row>
    <row r="192" ht="15.75" customHeight="1">
      <c r="A192" s="65"/>
      <c r="B192" s="66"/>
      <c r="C192" s="67"/>
      <c r="D192" s="67"/>
      <c r="E192" s="66"/>
      <c r="F192" s="66"/>
      <c r="G192" s="66"/>
      <c r="H192" s="66"/>
      <c r="I192" s="66"/>
      <c r="J192" s="66"/>
      <c r="K192" s="69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7"/>
      <c r="AA192" s="58"/>
      <c r="AB192" s="58"/>
    </row>
    <row r="193" ht="15.75" customHeight="1">
      <c r="A193" s="65"/>
      <c r="B193" s="66"/>
      <c r="C193" s="67"/>
      <c r="D193" s="67"/>
      <c r="E193" s="66"/>
      <c r="F193" s="66"/>
      <c r="G193" s="66"/>
      <c r="H193" s="66"/>
      <c r="I193" s="66"/>
      <c r="J193" s="66"/>
      <c r="K193" s="69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7"/>
      <c r="AA193" s="58"/>
      <c r="AB193" s="58"/>
    </row>
    <row r="194" ht="15.75" customHeight="1">
      <c r="A194" s="65"/>
      <c r="B194" s="66"/>
      <c r="C194" s="67"/>
      <c r="D194" s="67"/>
      <c r="E194" s="66"/>
      <c r="F194" s="66"/>
      <c r="G194" s="66"/>
      <c r="H194" s="66"/>
      <c r="I194" s="66"/>
      <c r="J194" s="66"/>
      <c r="K194" s="69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7"/>
      <c r="AA194" s="58"/>
      <c r="AB194" s="58"/>
    </row>
    <row r="195" ht="15.75" customHeight="1">
      <c r="A195" s="65"/>
      <c r="B195" s="66"/>
      <c r="C195" s="67"/>
      <c r="D195" s="67"/>
      <c r="E195" s="66"/>
      <c r="F195" s="66"/>
      <c r="G195" s="66"/>
      <c r="H195" s="66"/>
      <c r="I195" s="66"/>
      <c r="J195" s="66"/>
      <c r="K195" s="69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7"/>
      <c r="AA195" s="58"/>
      <c r="AB195" s="58"/>
    </row>
    <row r="196" ht="15.75" customHeight="1">
      <c r="A196" s="65"/>
      <c r="B196" s="66"/>
      <c r="C196" s="67"/>
      <c r="D196" s="67"/>
      <c r="E196" s="66"/>
      <c r="F196" s="66"/>
      <c r="G196" s="66"/>
      <c r="H196" s="66"/>
      <c r="I196" s="66"/>
      <c r="J196" s="66"/>
      <c r="K196" s="69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7"/>
      <c r="AA196" s="58"/>
      <c r="AB196" s="58"/>
    </row>
    <row r="197" ht="15.75" customHeight="1">
      <c r="A197" s="65"/>
      <c r="B197" s="66"/>
      <c r="C197" s="67"/>
      <c r="D197" s="67"/>
      <c r="E197" s="66"/>
      <c r="F197" s="66"/>
      <c r="G197" s="66"/>
      <c r="H197" s="66"/>
      <c r="I197" s="66"/>
      <c r="J197" s="66"/>
      <c r="K197" s="69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7"/>
      <c r="AA197" s="58"/>
      <c r="AB197" s="58"/>
    </row>
    <row r="198" ht="15.75" customHeight="1">
      <c r="A198" s="65"/>
      <c r="B198" s="66"/>
      <c r="C198" s="67"/>
      <c r="D198" s="67"/>
      <c r="E198" s="66"/>
      <c r="F198" s="66"/>
      <c r="G198" s="66"/>
      <c r="H198" s="66"/>
      <c r="I198" s="66"/>
      <c r="J198" s="66"/>
      <c r="K198" s="69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7"/>
      <c r="AA198" s="58"/>
      <c r="AB198" s="58"/>
    </row>
    <row r="199" ht="15.75" customHeight="1">
      <c r="A199" s="65"/>
      <c r="B199" s="66"/>
      <c r="C199" s="67"/>
      <c r="D199" s="67"/>
      <c r="E199" s="66"/>
      <c r="F199" s="66"/>
      <c r="G199" s="66"/>
      <c r="H199" s="66"/>
      <c r="I199" s="66"/>
      <c r="J199" s="66"/>
      <c r="K199" s="69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7"/>
      <c r="AA199" s="58"/>
      <c r="AB199" s="58"/>
    </row>
    <row r="200" ht="15.75" customHeight="1">
      <c r="A200" s="65"/>
      <c r="B200" s="66"/>
      <c r="C200" s="67"/>
      <c r="D200" s="67"/>
      <c r="E200" s="66"/>
      <c r="F200" s="66"/>
      <c r="G200" s="66"/>
      <c r="H200" s="66"/>
      <c r="I200" s="66"/>
      <c r="J200" s="66"/>
      <c r="K200" s="69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7"/>
      <c r="AA200" s="58"/>
      <c r="AB200" s="58"/>
    </row>
    <row r="201" ht="15.75" customHeight="1">
      <c r="A201" s="65"/>
      <c r="B201" s="66"/>
      <c r="C201" s="67"/>
      <c r="D201" s="67"/>
      <c r="E201" s="66"/>
      <c r="F201" s="66"/>
      <c r="G201" s="66"/>
      <c r="H201" s="66"/>
      <c r="I201" s="66"/>
      <c r="J201" s="66"/>
      <c r="K201" s="69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7"/>
      <c r="AA201" s="58"/>
      <c r="AB201" s="58"/>
    </row>
    <row r="202" ht="15.75" customHeight="1">
      <c r="A202" s="65"/>
      <c r="B202" s="66"/>
      <c r="C202" s="67"/>
      <c r="D202" s="67"/>
      <c r="E202" s="66"/>
      <c r="F202" s="66"/>
      <c r="G202" s="66"/>
      <c r="H202" s="66"/>
      <c r="I202" s="66"/>
      <c r="J202" s="66"/>
      <c r="K202" s="69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7"/>
      <c r="AA202" s="58"/>
      <c r="AB202" s="58"/>
    </row>
    <row r="203" ht="15.75" customHeight="1">
      <c r="A203" s="65"/>
      <c r="B203" s="66"/>
      <c r="C203" s="67"/>
      <c r="D203" s="67"/>
      <c r="E203" s="66"/>
      <c r="F203" s="66"/>
      <c r="G203" s="66"/>
      <c r="H203" s="66"/>
      <c r="I203" s="66"/>
      <c r="J203" s="66"/>
      <c r="K203" s="69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7"/>
      <c r="AA203" s="58"/>
      <c r="AB203" s="58"/>
    </row>
    <row r="204" ht="15.75" customHeight="1">
      <c r="A204" s="65"/>
      <c r="B204" s="66"/>
      <c r="C204" s="67"/>
      <c r="D204" s="67"/>
      <c r="E204" s="66"/>
      <c r="F204" s="66"/>
      <c r="G204" s="66"/>
      <c r="H204" s="66"/>
      <c r="I204" s="66"/>
      <c r="J204" s="66"/>
      <c r="K204" s="69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7"/>
      <c r="AA204" s="58"/>
      <c r="AB204" s="58"/>
    </row>
    <row r="205" ht="15.75" customHeight="1">
      <c r="A205" s="65"/>
      <c r="B205" s="66"/>
      <c r="C205" s="67"/>
      <c r="D205" s="67"/>
      <c r="E205" s="66"/>
      <c r="F205" s="66"/>
      <c r="G205" s="66"/>
      <c r="H205" s="66"/>
      <c r="I205" s="66"/>
      <c r="J205" s="66"/>
      <c r="K205" s="69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7"/>
      <c r="AA205" s="58"/>
      <c r="AB205" s="58"/>
    </row>
    <row r="206" ht="15.75" customHeight="1">
      <c r="A206" s="65"/>
      <c r="B206" s="66"/>
      <c r="C206" s="67"/>
      <c r="D206" s="67"/>
      <c r="E206" s="66"/>
      <c r="F206" s="66"/>
      <c r="G206" s="66"/>
      <c r="H206" s="66"/>
      <c r="I206" s="66"/>
      <c r="J206" s="66"/>
      <c r="K206" s="69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7"/>
      <c r="AA206" s="58"/>
      <c r="AB206" s="58"/>
    </row>
    <row r="207" ht="15.75" customHeight="1">
      <c r="A207" s="65"/>
      <c r="B207" s="66"/>
      <c r="C207" s="67"/>
      <c r="D207" s="67"/>
      <c r="E207" s="66"/>
      <c r="F207" s="66"/>
      <c r="G207" s="66"/>
      <c r="H207" s="66"/>
      <c r="I207" s="66"/>
      <c r="J207" s="66"/>
      <c r="K207" s="69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7"/>
      <c r="AA207" s="58"/>
      <c r="AB207" s="58"/>
    </row>
    <row r="208" ht="15.75" customHeight="1">
      <c r="A208" s="65"/>
      <c r="B208" s="66"/>
      <c r="C208" s="67"/>
      <c r="D208" s="67"/>
      <c r="E208" s="66"/>
      <c r="F208" s="66"/>
      <c r="G208" s="66"/>
      <c r="H208" s="66"/>
      <c r="I208" s="66"/>
      <c r="J208" s="66"/>
      <c r="K208" s="69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7"/>
      <c r="AA208" s="58"/>
      <c r="AB208" s="58"/>
    </row>
    <row r="209" ht="15.75" customHeight="1">
      <c r="A209" s="65"/>
      <c r="B209" s="66"/>
      <c r="C209" s="67"/>
      <c r="D209" s="67"/>
      <c r="E209" s="66"/>
      <c r="F209" s="66"/>
      <c r="G209" s="66"/>
      <c r="H209" s="66"/>
      <c r="I209" s="66"/>
      <c r="J209" s="66"/>
      <c r="K209" s="69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7"/>
      <c r="AA209" s="58"/>
      <c r="AB209" s="58"/>
    </row>
    <row r="210" ht="15.75" customHeight="1">
      <c r="A210" s="65"/>
      <c r="B210" s="66"/>
      <c r="C210" s="67"/>
      <c r="D210" s="67"/>
      <c r="E210" s="66"/>
      <c r="F210" s="66"/>
      <c r="G210" s="66"/>
      <c r="H210" s="66"/>
      <c r="I210" s="66"/>
      <c r="J210" s="66"/>
      <c r="K210" s="69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7"/>
      <c r="AA210" s="58"/>
      <c r="AB210" s="58"/>
    </row>
    <row r="211" ht="15.75" customHeight="1">
      <c r="A211" s="65"/>
      <c r="B211" s="66"/>
      <c r="C211" s="67"/>
      <c r="D211" s="67"/>
      <c r="E211" s="66"/>
      <c r="F211" s="66"/>
      <c r="G211" s="66"/>
      <c r="H211" s="66"/>
      <c r="I211" s="66"/>
      <c r="J211" s="66"/>
      <c r="K211" s="69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7"/>
      <c r="AA211" s="58"/>
      <c r="AB211" s="58"/>
    </row>
    <row r="212" ht="15.75" customHeight="1">
      <c r="A212" s="65"/>
      <c r="B212" s="66"/>
      <c r="C212" s="67"/>
      <c r="D212" s="67"/>
      <c r="E212" s="66"/>
      <c r="F212" s="66"/>
      <c r="G212" s="66"/>
      <c r="H212" s="66"/>
      <c r="I212" s="66"/>
      <c r="J212" s="66"/>
      <c r="K212" s="69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7"/>
      <c r="AA212" s="58"/>
      <c r="AB212" s="58"/>
    </row>
    <row r="213" ht="15.75" customHeight="1">
      <c r="A213" s="65"/>
      <c r="B213" s="66"/>
      <c r="C213" s="67"/>
      <c r="D213" s="67"/>
      <c r="E213" s="66"/>
      <c r="F213" s="66"/>
      <c r="G213" s="66"/>
      <c r="H213" s="66"/>
      <c r="I213" s="66"/>
      <c r="J213" s="66"/>
      <c r="K213" s="69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7"/>
      <c r="AA213" s="58"/>
      <c r="AB213" s="58"/>
    </row>
    <row r="214" ht="15.75" customHeight="1">
      <c r="A214" s="65"/>
      <c r="B214" s="66"/>
      <c r="C214" s="67"/>
      <c r="D214" s="67"/>
      <c r="E214" s="66"/>
      <c r="F214" s="66"/>
      <c r="G214" s="66"/>
      <c r="H214" s="66"/>
      <c r="I214" s="66"/>
      <c r="J214" s="66"/>
      <c r="K214" s="69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7"/>
      <c r="AA214" s="58"/>
      <c r="AB214" s="58"/>
    </row>
    <row r="215" ht="15.75" customHeight="1">
      <c r="A215" s="65"/>
      <c r="B215" s="66"/>
      <c r="C215" s="67"/>
      <c r="D215" s="67"/>
      <c r="E215" s="66"/>
      <c r="F215" s="66"/>
      <c r="G215" s="66"/>
      <c r="H215" s="66"/>
      <c r="I215" s="66"/>
      <c r="J215" s="66"/>
      <c r="K215" s="69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7"/>
      <c r="AA215" s="58"/>
      <c r="AB215" s="58"/>
    </row>
    <row r="216" ht="15.75" customHeight="1">
      <c r="A216" s="65"/>
      <c r="B216" s="66"/>
      <c r="C216" s="67"/>
      <c r="D216" s="67"/>
      <c r="E216" s="66"/>
      <c r="F216" s="66"/>
      <c r="G216" s="66"/>
      <c r="H216" s="66"/>
      <c r="I216" s="66"/>
      <c r="J216" s="66"/>
      <c r="K216" s="69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7"/>
      <c r="AA216" s="58"/>
      <c r="AB216" s="58"/>
    </row>
    <row r="217" ht="15.75" customHeight="1">
      <c r="A217" s="65"/>
      <c r="B217" s="66"/>
      <c r="C217" s="67"/>
      <c r="D217" s="67"/>
      <c r="E217" s="66"/>
      <c r="F217" s="66"/>
      <c r="G217" s="66"/>
      <c r="H217" s="66"/>
      <c r="I217" s="66"/>
      <c r="J217" s="66"/>
      <c r="K217" s="69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7"/>
      <c r="AA217" s="58"/>
      <c r="AB217" s="58"/>
    </row>
    <row r="218" ht="15.75" customHeight="1">
      <c r="A218" s="65"/>
      <c r="B218" s="66"/>
      <c r="C218" s="67"/>
      <c r="D218" s="67"/>
      <c r="E218" s="66"/>
      <c r="F218" s="66"/>
      <c r="G218" s="66"/>
      <c r="H218" s="66"/>
      <c r="I218" s="66"/>
      <c r="J218" s="66"/>
      <c r="K218" s="69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7"/>
      <c r="AA218" s="58"/>
      <c r="AB218" s="58"/>
    </row>
    <row r="219" ht="15.75" customHeight="1">
      <c r="A219" s="65"/>
      <c r="B219" s="66"/>
      <c r="C219" s="67"/>
      <c r="D219" s="67"/>
      <c r="E219" s="66"/>
      <c r="F219" s="66"/>
      <c r="G219" s="66"/>
      <c r="H219" s="66"/>
      <c r="I219" s="66"/>
      <c r="J219" s="66"/>
      <c r="K219" s="69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7"/>
      <c r="AA219" s="58"/>
      <c r="AB219" s="58"/>
    </row>
    <row r="220" ht="15.75" customHeight="1">
      <c r="A220" s="65"/>
      <c r="B220" s="66"/>
      <c r="C220" s="67"/>
      <c r="D220" s="67"/>
      <c r="E220" s="66"/>
      <c r="F220" s="66"/>
      <c r="G220" s="66"/>
      <c r="H220" s="66"/>
      <c r="I220" s="66"/>
      <c r="J220" s="66"/>
      <c r="K220" s="69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7"/>
      <c r="AA220" s="58"/>
      <c r="AB220" s="58"/>
    </row>
    <row r="221" ht="15.75" customHeight="1">
      <c r="A221" s="65"/>
      <c r="B221" s="66"/>
      <c r="C221" s="67"/>
      <c r="D221" s="67"/>
      <c r="E221" s="66"/>
      <c r="F221" s="66"/>
      <c r="G221" s="66"/>
      <c r="H221" s="66"/>
      <c r="I221" s="66"/>
      <c r="J221" s="66"/>
      <c r="K221" s="69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7"/>
      <c r="AA221" s="58"/>
      <c r="AB221" s="58"/>
    </row>
    <row r="222" ht="15.75" customHeight="1">
      <c r="A222" s="65"/>
      <c r="B222" s="66"/>
      <c r="C222" s="67"/>
      <c r="D222" s="67"/>
      <c r="E222" s="66"/>
      <c r="F222" s="66"/>
      <c r="G222" s="66"/>
      <c r="H222" s="66"/>
      <c r="I222" s="66"/>
      <c r="J222" s="66"/>
      <c r="K222" s="69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7"/>
      <c r="AA222" s="58"/>
      <c r="AB222" s="58"/>
    </row>
    <row r="223" ht="15.75" customHeight="1">
      <c r="A223" s="65"/>
      <c r="B223" s="66"/>
      <c r="C223" s="67"/>
      <c r="D223" s="67"/>
      <c r="E223" s="66"/>
      <c r="F223" s="66"/>
      <c r="G223" s="66"/>
      <c r="H223" s="66"/>
      <c r="I223" s="66"/>
      <c r="J223" s="66"/>
      <c r="K223" s="69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7"/>
      <c r="AA223" s="58"/>
      <c r="AB223" s="58"/>
    </row>
    <row r="224" ht="15.75" customHeight="1">
      <c r="A224" s="65"/>
      <c r="B224" s="66"/>
      <c r="C224" s="67"/>
      <c r="D224" s="67"/>
      <c r="E224" s="66"/>
      <c r="F224" s="66"/>
      <c r="G224" s="66"/>
      <c r="H224" s="66"/>
      <c r="I224" s="66"/>
      <c r="J224" s="66"/>
      <c r="K224" s="69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7"/>
      <c r="AA224" s="58"/>
      <c r="AB224" s="58"/>
    </row>
    <row r="225" ht="15.75" customHeight="1">
      <c r="A225" s="65"/>
      <c r="B225" s="66"/>
      <c r="C225" s="67"/>
      <c r="D225" s="67"/>
      <c r="E225" s="66"/>
      <c r="F225" s="66"/>
      <c r="G225" s="66"/>
      <c r="H225" s="66"/>
      <c r="I225" s="66"/>
      <c r="J225" s="66"/>
      <c r="K225" s="69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7"/>
      <c r="AA225" s="58"/>
      <c r="AB225" s="58"/>
    </row>
    <row r="226" ht="15.75" customHeight="1">
      <c r="A226" s="65"/>
      <c r="B226" s="66"/>
      <c r="C226" s="67"/>
      <c r="D226" s="67"/>
      <c r="E226" s="66"/>
      <c r="F226" s="66"/>
      <c r="G226" s="66"/>
      <c r="H226" s="66"/>
      <c r="I226" s="66"/>
      <c r="J226" s="66"/>
      <c r="K226" s="69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7"/>
      <c r="AA226" s="58"/>
      <c r="AB226" s="58"/>
    </row>
    <row r="227" ht="15.75" customHeight="1">
      <c r="A227" s="65"/>
      <c r="B227" s="66"/>
      <c r="C227" s="67"/>
      <c r="D227" s="67"/>
      <c r="E227" s="66"/>
      <c r="F227" s="66"/>
      <c r="G227" s="66"/>
      <c r="H227" s="66"/>
      <c r="I227" s="66"/>
      <c r="J227" s="66"/>
      <c r="K227" s="69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7"/>
      <c r="AA227" s="58"/>
      <c r="AB227" s="58"/>
    </row>
    <row r="228" ht="15.75" customHeight="1">
      <c r="A228" s="65"/>
      <c r="B228" s="66"/>
      <c r="C228" s="67"/>
      <c r="D228" s="67"/>
      <c r="E228" s="66"/>
      <c r="F228" s="66"/>
      <c r="G228" s="66"/>
      <c r="H228" s="66"/>
      <c r="I228" s="66"/>
      <c r="J228" s="66"/>
      <c r="K228" s="69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7"/>
      <c r="AA228" s="58"/>
      <c r="AB228" s="58"/>
    </row>
    <row r="229" ht="15.75" customHeight="1">
      <c r="A229" s="65"/>
      <c r="B229" s="66"/>
      <c r="C229" s="67"/>
      <c r="D229" s="67"/>
      <c r="E229" s="66"/>
      <c r="F229" s="66"/>
      <c r="G229" s="66"/>
      <c r="H229" s="66"/>
      <c r="I229" s="66"/>
      <c r="J229" s="66"/>
      <c r="K229" s="69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7"/>
      <c r="AA229" s="58"/>
      <c r="AB229" s="58"/>
    </row>
    <row r="230" ht="15.75" customHeight="1">
      <c r="A230" s="65"/>
      <c r="B230" s="66"/>
      <c r="C230" s="67"/>
      <c r="D230" s="67"/>
      <c r="E230" s="66"/>
      <c r="F230" s="66"/>
      <c r="G230" s="66"/>
      <c r="H230" s="66"/>
      <c r="I230" s="66"/>
      <c r="J230" s="66"/>
      <c r="K230" s="69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7"/>
      <c r="AA230" s="58"/>
      <c r="AB230" s="58"/>
    </row>
    <row r="231" ht="15.75" customHeight="1">
      <c r="A231" s="65"/>
      <c r="B231" s="66"/>
      <c r="C231" s="67"/>
      <c r="D231" s="67"/>
      <c r="E231" s="66"/>
      <c r="F231" s="66"/>
      <c r="G231" s="66"/>
      <c r="H231" s="66"/>
      <c r="I231" s="66"/>
      <c r="J231" s="66"/>
      <c r="K231" s="69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7"/>
      <c r="AA231" s="58"/>
      <c r="AB231" s="58"/>
    </row>
    <row r="232" ht="15.75" customHeight="1">
      <c r="A232" s="65"/>
      <c r="B232" s="66"/>
      <c r="C232" s="67"/>
      <c r="D232" s="67"/>
      <c r="E232" s="66"/>
      <c r="F232" s="66"/>
      <c r="G232" s="66"/>
      <c r="H232" s="66"/>
      <c r="I232" s="66"/>
      <c r="J232" s="66"/>
      <c r="K232" s="69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7"/>
      <c r="AA232" s="58"/>
      <c r="AB232" s="58"/>
    </row>
    <row r="233" ht="15.75" customHeight="1">
      <c r="A233" s="65"/>
      <c r="B233" s="66"/>
      <c r="C233" s="67"/>
      <c r="D233" s="67"/>
      <c r="E233" s="66"/>
      <c r="F233" s="66"/>
      <c r="G233" s="66"/>
      <c r="H233" s="66"/>
      <c r="I233" s="66"/>
      <c r="J233" s="66"/>
      <c r="K233" s="69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7"/>
      <c r="AA233" s="58"/>
      <c r="AB233" s="58"/>
    </row>
    <row r="234" ht="15.75" customHeight="1">
      <c r="A234" s="65"/>
      <c r="B234" s="66"/>
      <c r="C234" s="67"/>
      <c r="D234" s="67"/>
      <c r="E234" s="66"/>
      <c r="F234" s="66"/>
      <c r="G234" s="66"/>
      <c r="H234" s="66"/>
      <c r="I234" s="66"/>
      <c r="J234" s="66"/>
      <c r="K234" s="69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7"/>
      <c r="AA234" s="58"/>
      <c r="AB234" s="58"/>
    </row>
    <row r="235" ht="15.75" customHeight="1">
      <c r="A235" s="65"/>
      <c r="B235" s="66"/>
      <c r="C235" s="67"/>
      <c r="D235" s="67"/>
      <c r="E235" s="66"/>
      <c r="F235" s="66"/>
      <c r="G235" s="66"/>
      <c r="H235" s="66"/>
      <c r="I235" s="66"/>
      <c r="J235" s="66"/>
      <c r="K235" s="69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7"/>
      <c r="AA235" s="58"/>
      <c r="AB235" s="58"/>
    </row>
    <row r="236" ht="15.75" customHeight="1">
      <c r="A236" s="65"/>
      <c r="B236" s="66"/>
      <c r="C236" s="67"/>
      <c r="D236" s="67"/>
      <c r="E236" s="66"/>
      <c r="F236" s="66"/>
      <c r="G236" s="66"/>
      <c r="H236" s="66"/>
      <c r="I236" s="66"/>
      <c r="J236" s="66"/>
      <c r="K236" s="69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7"/>
      <c r="AA236" s="58"/>
      <c r="AB236" s="58"/>
    </row>
    <row r="237" ht="15.75" customHeight="1">
      <c r="A237" s="65"/>
      <c r="B237" s="66"/>
      <c r="C237" s="67"/>
      <c r="D237" s="67"/>
      <c r="E237" s="66"/>
      <c r="F237" s="66"/>
      <c r="G237" s="66"/>
      <c r="H237" s="66"/>
      <c r="I237" s="66"/>
      <c r="J237" s="66"/>
      <c r="K237" s="69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7"/>
      <c r="AA237" s="58"/>
      <c r="AB237" s="58"/>
    </row>
    <row r="238" ht="15.75" customHeight="1">
      <c r="A238" s="65"/>
      <c r="B238" s="66"/>
      <c r="C238" s="67"/>
      <c r="D238" s="67"/>
      <c r="E238" s="66"/>
      <c r="F238" s="66"/>
      <c r="G238" s="66"/>
      <c r="H238" s="66"/>
      <c r="I238" s="66"/>
      <c r="J238" s="66"/>
      <c r="K238" s="69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7"/>
      <c r="AA238" s="58"/>
      <c r="AB238" s="58"/>
    </row>
    <row r="239" ht="15.75" customHeight="1">
      <c r="A239" s="65"/>
      <c r="B239" s="66"/>
      <c r="C239" s="67"/>
      <c r="D239" s="67"/>
      <c r="E239" s="66"/>
      <c r="F239" s="66"/>
      <c r="G239" s="66"/>
      <c r="H239" s="66"/>
      <c r="I239" s="66"/>
      <c r="J239" s="66"/>
      <c r="K239" s="69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7"/>
      <c r="AA239" s="58"/>
      <c r="AB239" s="58"/>
    </row>
    <row r="240" ht="15.75" customHeight="1">
      <c r="A240" s="65"/>
      <c r="B240" s="66"/>
      <c r="C240" s="67"/>
      <c r="D240" s="67"/>
      <c r="E240" s="66"/>
      <c r="F240" s="66"/>
      <c r="G240" s="66"/>
      <c r="H240" s="66"/>
      <c r="I240" s="66"/>
      <c r="J240" s="66"/>
      <c r="K240" s="69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7"/>
      <c r="AA240" s="58"/>
      <c r="AB240" s="58"/>
    </row>
    <row r="241" ht="15.75" customHeight="1">
      <c r="A241" s="65"/>
      <c r="B241" s="66"/>
      <c r="C241" s="67"/>
      <c r="D241" s="67"/>
      <c r="E241" s="66"/>
      <c r="F241" s="66"/>
      <c r="G241" s="66"/>
      <c r="H241" s="66"/>
      <c r="I241" s="66"/>
      <c r="J241" s="66"/>
      <c r="K241" s="69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7"/>
      <c r="AA241" s="58"/>
      <c r="AB241" s="58"/>
    </row>
    <row r="242" ht="15.75" customHeight="1">
      <c r="A242" s="65"/>
      <c r="B242" s="66"/>
      <c r="C242" s="67"/>
      <c r="D242" s="67"/>
      <c r="E242" s="66"/>
      <c r="F242" s="66"/>
      <c r="G242" s="66"/>
      <c r="H242" s="66"/>
      <c r="I242" s="66"/>
      <c r="J242" s="66"/>
      <c r="K242" s="69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7"/>
      <c r="AA242" s="58"/>
      <c r="AB242" s="58"/>
    </row>
    <row r="243" ht="15.75" customHeight="1">
      <c r="A243" s="65"/>
      <c r="B243" s="66"/>
      <c r="C243" s="67"/>
      <c r="D243" s="67"/>
      <c r="E243" s="66"/>
      <c r="F243" s="66"/>
      <c r="G243" s="66"/>
      <c r="H243" s="66"/>
      <c r="I243" s="66"/>
      <c r="J243" s="66"/>
      <c r="K243" s="69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7"/>
      <c r="AA243" s="58"/>
      <c r="AB243" s="58"/>
    </row>
    <row r="244" ht="15.75" customHeight="1">
      <c r="A244" s="65"/>
      <c r="B244" s="66"/>
      <c r="C244" s="67"/>
      <c r="D244" s="67"/>
      <c r="E244" s="66"/>
      <c r="F244" s="66"/>
      <c r="G244" s="66"/>
      <c r="H244" s="66"/>
      <c r="I244" s="66"/>
      <c r="J244" s="66"/>
      <c r="K244" s="69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7"/>
      <c r="AA244" s="58"/>
      <c r="AB244" s="58"/>
    </row>
    <row r="245" ht="15.75" customHeight="1">
      <c r="A245" s="65"/>
      <c r="B245" s="66"/>
      <c r="C245" s="67"/>
      <c r="D245" s="67"/>
      <c r="E245" s="66"/>
      <c r="F245" s="66"/>
      <c r="G245" s="66"/>
      <c r="H245" s="66"/>
      <c r="I245" s="66"/>
      <c r="J245" s="66"/>
      <c r="K245" s="69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7"/>
      <c r="AA245" s="58"/>
      <c r="AB245" s="58"/>
    </row>
    <row r="246" ht="15.75" customHeight="1">
      <c r="A246" s="65"/>
      <c r="B246" s="66"/>
      <c r="C246" s="67"/>
      <c r="D246" s="67"/>
      <c r="E246" s="66"/>
      <c r="F246" s="66"/>
      <c r="G246" s="66"/>
      <c r="H246" s="66"/>
      <c r="I246" s="66"/>
      <c r="J246" s="66"/>
      <c r="K246" s="69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7"/>
      <c r="AA246" s="58"/>
      <c r="AB246" s="58"/>
    </row>
    <row r="247" ht="15.75" customHeight="1">
      <c r="A247" s="65"/>
      <c r="B247" s="66"/>
      <c r="C247" s="67"/>
      <c r="D247" s="67"/>
      <c r="E247" s="66"/>
      <c r="F247" s="66"/>
      <c r="G247" s="66"/>
      <c r="H247" s="66"/>
      <c r="I247" s="66"/>
      <c r="J247" s="66"/>
      <c r="K247" s="69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7"/>
      <c r="AA247" s="58"/>
      <c r="AB247" s="58"/>
    </row>
    <row r="248" ht="15.75" customHeight="1">
      <c r="A248" s="65"/>
      <c r="B248" s="66"/>
      <c r="C248" s="67"/>
      <c r="D248" s="67"/>
      <c r="E248" s="66"/>
      <c r="F248" s="66"/>
      <c r="G248" s="66"/>
      <c r="H248" s="66"/>
      <c r="I248" s="66"/>
      <c r="J248" s="66"/>
      <c r="K248" s="69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7"/>
      <c r="AA248" s="58"/>
      <c r="AB248" s="58"/>
    </row>
    <row r="249" ht="15.75" customHeight="1">
      <c r="A249" s="65"/>
      <c r="B249" s="66"/>
      <c r="C249" s="67"/>
      <c r="D249" s="67"/>
      <c r="E249" s="66"/>
      <c r="F249" s="66"/>
      <c r="G249" s="66"/>
      <c r="H249" s="66"/>
      <c r="I249" s="66"/>
      <c r="J249" s="66"/>
      <c r="K249" s="69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7"/>
      <c r="AA249" s="58"/>
      <c r="AB249" s="58"/>
    </row>
    <row r="250" ht="15.75" customHeight="1">
      <c r="A250" s="65"/>
      <c r="B250" s="66"/>
      <c r="C250" s="67"/>
      <c r="D250" s="67"/>
      <c r="E250" s="66"/>
      <c r="F250" s="66"/>
      <c r="G250" s="66"/>
      <c r="H250" s="66"/>
      <c r="I250" s="66"/>
      <c r="J250" s="66"/>
      <c r="K250" s="69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7"/>
      <c r="AA250" s="58"/>
      <c r="AB250" s="58"/>
    </row>
    <row r="251" ht="15.75" customHeight="1">
      <c r="A251" s="65"/>
      <c r="B251" s="66"/>
      <c r="C251" s="67"/>
      <c r="D251" s="67"/>
      <c r="E251" s="66"/>
      <c r="F251" s="66"/>
      <c r="G251" s="66"/>
      <c r="H251" s="66"/>
      <c r="I251" s="66"/>
      <c r="J251" s="66"/>
      <c r="K251" s="69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7"/>
      <c r="AA251" s="58"/>
      <c r="AB251" s="58"/>
    </row>
    <row r="252" ht="15.75" customHeight="1">
      <c r="A252" s="65"/>
      <c r="B252" s="66"/>
      <c r="C252" s="67"/>
      <c r="D252" s="67"/>
      <c r="E252" s="66"/>
      <c r="F252" s="66"/>
      <c r="G252" s="66"/>
      <c r="H252" s="66"/>
      <c r="I252" s="66"/>
      <c r="J252" s="66"/>
      <c r="K252" s="69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7"/>
      <c r="AA252" s="58"/>
      <c r="AB252" s="58"/>
    </row>
    <row r="253" ht="15.75" customHeight="1">
      <c r="A253" s="65"/>
      <c r="B253" s="66"/>
      <c r="C253" s="67"/>
      <c r="D253" s="67"/>
      <c r="E253" s="66"/>
      <c r="F253" s="66"/>
      <c r="G253" s="66"/>
      <c r="H253" s="66"/>
      <c r="I253" s="66"/>
      <c r="J253" s="66"/>
      <c r="K253" s="69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7"/>
      <c r="AA253" s="58"/>
      <c r="AB253" s="58"/>
    </row>
    <row r="254" ht="15.75" customHeight="1">
      <c r="A254" s="65"/>
      <c r="B254" s="66"/>
      <c r="C254" s="67"/>
      <c r="D254" s="67"/>
      <c r="E254" s="66"/>
      <c r="F254" s="66"/>
      <c r="G254" s="66"/>
      <c r="H254" s="66"/>
      <c r="I254" s="66"/>
      <c r="J254" s="66"/>
      <c r="K254" s="69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7"/>
      <c r="AA254" s="58"/>
      <c r="AB254" s="58"/>
    </row>
    <row r="255" ht="15.75" customHeight="1">
      <c r="A255" s="65"/>
      <c r="B255" s="66"/>
      <c r="C255" s="67"/>
      <c r="D255" s="67"/>
      <c r="E255" s="66"/>
      <c r="F255" s="66"/>
      <c r="G255" s="66"/>
      <c r="H255" s="66"/>
      <c r="I255" s="66"/>
      <c r="J255" s="66"/>
      <c r="K255" s="69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7"/>
      <c r="AA255" s="58"/>
      <c r="AB255" s="58"/>
    </row>
    <row r="256" ht="15.75" customHeight="1">
      <c r="A256" s="65"/>
      <c r="B256" s="66"/>
      <c r="C256" s="67"/>
      <c r="D256" s="67"/>
      <c r="E256" s="66"/>
      <c r="F256" s="66"/>
      <c r="G256" s="66"/>
      <c r="H256" s="66"/>
      <c r="I256" s="66"/>
      <c r="J256" s="66"/>
      <c r="K256" s="69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7"/>
      <c r="AA256" s="58"/>
      <c r="AB256" s="58"/>
    </row>
    <row r="257" ht="15.75" customHeight="1">
      <c r="A257" s="65"/>
      <c r="B257" s="66"/>
      <c r="C257" s="67"/>
      <c r="D257" s="67"/>
      <c r="E257" s="66"/>
      <c r="F257" s="66"/>
      <c r="G257" s="66"/>
      <c r="H257" s="66"/>
      <c r="I257" s="66"/>
      <c r="J257" s="66"/>
      <c r="K257" s="69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7"/>
      <c r="AA257" s="58"/>
      <c r="AB257" s="58"/>
    </row>
    <row r="258" ht="15.75" customHeight="1">
      <c r="A258" s="65"/>
      <c r="B258" s="66"/>
      <c r="C258" s="67"/>
      <c r="D258" s="67"/>
      <c r="E258" s="66"/>
      <c r="F258" s="66"/>
      <c r="G258" s="66"/>
      <c r="H258" s="66"/>
      <c r="I258" s="66"/>
      <c r="J258" s="66"/>
      <c r="K258" s="69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7"/>
      <c r="AA258" s="58"/>
      <c r="AB258" s="58"/>
    </row>
    <row r="259" ht="15.75" customHeight="1">
      <c r="A259" s="65"/>
      <c r="B259" s="66"/>
      <c r="C259" s="67"/>
      <c r="D259" s="67"/>
      <c r="E259" s="66"/>
      <c r="F259" s="66"/>
      <c r="G259" s="66"/>
      <c r="H259" s="66"/>
      <c r="I259" s="66"/>
      <c r="J259" s="66"/>
      <c r="K259" s="69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7"/>
      <c r="AA259" s="58"/>
      <c r="AB259" s="58"/>
    </row>
    <row r="260" ht="15.75" customHeight="1">
      <c r="A260" s="65"/>
      <c r="B260" s="66"/>
      <c r="C260" s="67"/>
      <c r="D260" s="67"/>
      <c r="E260" s="66"/>
      <c r="F260" s="66"/>
      <c r="G260" s="66"/>
      <c r="H260" s="66"/>
      <c r="I260" s="66"/>
      <c r="J260" s="66"/>
      <c r="K260" s="69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7"/>
      <c r="AA260" s="58"/>
      <c r="AB260" s="58"/>
    </row>
    <row r="261" ht="15.75" customHeight="1">
      <c r="A261" s="65"/>
      <c r="B261" s="66"/>
      <c r="C261" s="67"/>
      <c r="D261" s="67"/>
      <c r="E261" s="66"/>
      <c r="F261" s="66"/>
      <c r="G261" s="66"/>
      <c r="H261" s="66"/>
      <c r="I261" s="66"/>
      <c r="J261" s="66"/>
      <c r="K261" s="69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7"/>
      <c r="AA261" s="58"/>
      <c r="AB261" s="58"/>
    </row>
    <row r="262" ht="15.75" customHeight="1">
      <c r="A262" s="65"/>
      <c r="B262" s="66"/>
      <c r="C262" s="67"/>
      <c r="D262" s="67"/>
      <c r="E262" s="66"/>
      <c r="F262" s="66"/>
      <c r="G262" s="66"/>
      <c r="H262" s="66"/>
      <c r="I262" s="66"/>
      <c r="J262" s="66"/>
      <c r="K262" s="69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7"/>
      <c r="AA262" s="58"/>
      <c r="AB262" s="58"/>
    </row>
    <row r="263" ht="15.75" customHeight="1">
      <c r="A263" s="65"/>
      <c r="B263" s="66"/>
      <c r="C263" s="67"/>
      <c r="D263" s="67"/>
      <c r="E263" s="66"/>
      <c r="F263" s="66"/>
      <c r="G263" s="66"/>
      <c r="H263" s="66"/>
      <c r="I263" s="66"/>
      <c r="J263" s="66"/>
      <c r="K263" s="69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7"/>
      <c r="AA263" s="58"/>
      <c r="AB263" s="58"/>
    </row>
    <row r="264" ht="15.75" customHeight="1">
      <c r="A264" s="65"/>
      <c r="B264" s="66"/>
      <c r="C264" s="67"/>
      <c r="D264" s="67"/>
      <c r="E264" s="66"/>
      <c r="F264" s="66"/>
      <c r="G264" s="66"/>
      <c r="H264" s="66"/>
      <c r="I264" s="66"/>
      <c r="J264" s="66"/>
      <c r="K264" s="69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7"/>
      <c r="AA264" s="58"/>
      <c r="AB264" s="58"/>
    </row>
    <row r="265" ht="15.75" customHeight="1">
      <c r="A265" s="65"/>
      <c r="B265" s="66"/>
      <c r="C265" s="67"/>
      <c r="D265" s="67"/>
      <c r="E265" s="66"/>
      <c r="F265" s="66"/>
      <c r="G265" s="66"/>
      <c r="H265" s="66"/>
      <c r="I265" s="66"/>
      <c r="J265" s="66"/>
      <c r="K265" s="69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7"/>
      <c r="AA265" s="58"/>
      <c r="AB265" s="58"/>
    </row>
    <row r="266" ht="15.75" customHeight="1">
      <c r="A266" s="65"/>
      <c r="B266" s="66"/>
      <c r="C266" s="67"/>
      <c r="D266" s="67"/>
      <c r="E266" s="66"/>
      <c r="F266" s="66"/>
      <c r="G266" s="66"/>
      <c r="H266" s="66"/>
      <c r="I266" s="66"/>
      <c r="J266" s="66"/>
      <c r="K266" s="69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7"/>
      <c r="AA266" s="58"/>
      <c r="AB266" s="58"/>
    </row>
    <row r="267" ht="15.75" customHeight="1">
      <c r="A267" s="65"/>
      <c r="B267" s="66"/>
      <c r="C267" s="67"/>
      <c r="D267" s="67"/>
      <c r="E267" s="66"/>
      <c r="F267" s="66"/>
      <c r="G267" s="66"/>
      <c r="H267" s="66"/>
      <c r="I267" s="66"/>
      <c r="J267" s="66"/>
      <c r="K267" s="69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7"/>
      <c r="AA267" s="58"/>
      <c r="AB267" s="58"/>
    </row>
    <row r="268" ht="15.75" customHeight="1">
      <c r="A268" s="65"/>
      <c r="B268" s="66"/>
      <c r="C268" s="67"/>
      <c r="D268" s="67"/>
      <c r="E268" s="66"/>
      <c r="F268" s="66"/>
      <c r="G268" s="66"/>
      <c r="H268" s="66"/>
      <c r="I268" s="66"/>
      <c r="J268" s="66"/>
      <c r="K268" s="69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7"/>
      <c r="AA268" s="58"/>
      <c r="AB268" s="58"/>
    </row>
    <row r="269" ht="15.75" customHeight="1">
      <c r="A269" s="65"/>
      <c r="B269" s="66"/>
      <c r="C269" s="67"/>
      <c r="D269" s="67"/>
      <c r="E269" s="66"/>
      <c r="F269" s="66"/>
      <c r="G269" s="66"/>
      <c r="H269" s="66"/>
      <c r="I269" s="66"/>
      <c r="J269" s="66"/>
      <c r="K269" s="69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7"/>
      <c r="AA269" s="58"/>
      <c r="AB269" s="58"/>
    </row>
    <row r="270" ht="15.75" customHeight="1">
      <c r="A270" s="65"/>
      <c r="B270" s="66"/>
      <c r="C270" s="67"/>
      <c r="D270" s="67"/>
      <c r="E270" s="66"/>
      <c r="F270" s="66"/>
      <c r="G270" s="66"/>
      <c r="H270" s="66"/>
      <c r="I270" s="66"/>
      <c r="J270" s="66"/>
      <c r="K270" s="69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7"/>
      <c r="AA270" s="58"/>
      <c r="AB270" s="58"/>
    </row>
    <row r="271" ht="15.75" customHeight="1">
      <c r="A271" s="71"/>
      <c r="B271" s="72"/>
      <c r="C271" s="73"/>
      <c r="D271" s="73"/>
      <c r="E271" s="72"/>
      <c r="F271" s="72"/>
      <c r="G271" s="72"/>
      <c r="H271" s="72"/>
      <c r="I271" s="72"/>
      <c r="J271" s="72"/>
      <c r="K271" s="75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7"/>
      <c r="AA271" s="58"/>
      <c r="AB271" s="58"/>
    </row>
    <row r="272" ht="15.75" customHeight="1">
      <c r="A272" s="76"/>
      <c r="B272" s="76"/>
      <c r="C272" s="77"/>
      <c r="D272" s="77"/>
      <c r="E272" s="76"/>
      <c r="F272" s="76"/>
      <c r="G272" s="76"/>
      <c r="H272" s="76"/>
      <c r="I272" s="76"/>
      <c r="J272" s="76"/>
      <c r="K272" s="7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7"/>
      <c r="AA272" s="58"/>
      <c r="AB272" s="58"/>
    </row>
    <row r="273" ht="15.75" customHeight="1">
      <c r="A273" s="76"/>
      <c r="B273" s="76"/>
      <c r="C273" s="77"/>
      <c r="D273" s="77"/>
      <c r="E273" s="76"/>
      <c r="F273" s="76"/>
      <c r="G273" s="76"/>
      <c r="H273" s="76"/>
      <c r="I273" s="76"/>
      <c r="J273" s="76"/>
      <c r="K273" s="7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7"/>
      <c r="AA273" s="58"/>
      <c r="AB273" s="58"/>
    </row>
    <row r="274" ht="15.75" customHeight="1">
      <c r="A274" s="76"/>
      <c r="B274" s="76"/>
      <c r="C274" s="77"/>
      <c r="D274" s="77"/>
      <c r="E274" s="76"/>
      <c r="F274" s="76"/>
      <c r="G274" s="76"/>
      <c r="H274" s="76"/>
      <c r="I274" s="76"/>
      <c r="J274" s="76"/>
      <c r="K274" s="7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7"/>
      <c r="AA274" s="58"/>
      <c r="AB274" s="58"/>
    </row>
    <row r="275" ht="15.75" customHeight="1">
      <c r="A275" s="76"/>
      <c r="B275" s="76"/>
      <c r="C275" s="77"/>
      <c r="D275" s="77"/>
      <c r="E275" s="76"/>
      <c r="F275" s="76"/>
      <c r="G275" s="76"/>
      <c r="H275" s="76"/>
      <c r="I275" s="76"/>
      <c r="J275" s="76"/>
      <c r="K275" s="7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7"/>
      <c r="AA275" s="58"/>
      <c r="AB275" s="58"/>
    </row>
    <row r="276" ht="15.75" customHeight="1">
      <c r="A276" s="76"/>
      <c r="B276" s="76"/>
      <c r="C276" s="77"/>
      <c r="D276" s="77"/>
      <c r="E276" s="76"/>
      <c r="F276" s="76"/>
      <c r="G276" s="76"/>
      <c r="H276" s="76"/>
      <c r="I276" s="76"/>
      <c r="J276" s="76"/>
      <c r="K276" s="7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7"/>
      <c r="AA276" s="58"/>
      <c r="AB276" s="58"/>
    </row>
    <row r="277" ht="15.75" customHeight="1">
      <c r="A277" s="76"/>
      <c r="B277" s="76"/>
      <c r="C277" s="77"/>
      <c r="D277" s="77"/>
      <c r="E277" s="76"/>
      <c r="F277" s="76"/>
      <c r="G277" s="76"/>
      <c r="H277" s="76"/>
      <c r="I277" s="76"/>
      <c r="J277" s="76"/>
      <c r="K277" s="7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7"/>
      <c r="AA277" s="58"/>
      <c r="AB277" s="58"/>
    </row>
    <row r="278" ht="15.75" customHeight="1">
      <c r="A278" s="76"/>
      <c r="B278" s="76"/>
      <c r="C278" s="77"/>
      <c r="D278" s="77"/>
      <c r="E278" s="76"/>
      <c r="F278" s="76"/>
      <c r="G278" s="76"/>
      <c r="H278" s="76"/>
      <c r="I278" s="76"/>
      <c r="J278" s="76"/>
      <c r="K278" s="7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7"/>
      <c r="AA278" s="58"/>
      <c r="AB278" s="58"/>
    </row>
    <row r="279" ht="15.75" customHeight="1">
      <c r="A279" s="76"/>
      <c r="B279" s="76"/>
      <c r="C279" s="77"/>
      <c r="D279" s="77"/>
      <c r="E279" s="76"/>
      <c r="F279" s="76"/>
      <c r="G279" s="76"/>
      <c r="H279" s="76"/>
      <c r="I279" s="76"/>
      <c r="J279" s="76"/>
      <c r="K279" s="7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7"/>
      <c r="AA279" s="58"/>
      <c r="AB279" s="58"/>
    </row>
    <row r="280" ht="15.75" customHeight="1">
      <c r="A280" s="76"/>
      <c r="B280" s="76"/>
      <c r="C280" s="77"/>
      <c r="D280" s="77"/>
      <c r="E280" s="76"/>
      <c r="F280" s="76"/>
      <c r="G280" s="76"/>
      <c r="H280" s="76"/>
      <c r="I280" s="76"/>
      <c r="J280" s="76"/>
      <c r="K280" s="7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7"/>
      <c r="AA280" s="58"/>
      <c r="AB280" s="58"/>
    </row>
    <row r="281" ht="15.75" customHeight="1">
      <c r="A281" s="76"/>
      <c r="B281" s="76"/>
      <c r="C281" s="77"/>
      <c r="D281" s="77"/>
      <c r="E281" s="76"/>
      <c r="F281" s="76"/>
      <c r="G281" s="76"/>
      <c r="H281" s="76"/>
      <c r="I281" s="76"/>
      <c r="J281" s="76"/>
      <c r="K281" s="7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7"/>
      <c r="AA281" s="58"/>
      <c r="AB281" s="58"/>
    </row>
    <row r="282" ht="15.75" customHeight="1">
      <c r="A282" s="76"/>
      <c r="B282" s="76"/>
      <c r="C282" s="77"/>
      <c r="D282" s="77"/>
      <c r="E282" s="76"/>
      <c r="F282" s="76"/>
      <c r="G282" s="76"/>
      <c r="H282" s="76"/>
      <c r="I282" s="76"/>
      <c r="J282" s="76"/>
      <c r="K282" s="7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7"/>
      <c r="AA282" s="58"/>
      <c r="AB282" s="58"/>
    </row>
    <row r="283" ht="15.75" customHeight="1">
      <c r="A283" s="76"/>
      <c r="B283" s="76"/>
      <c r="C283" s="77"/>
      <c r="D283" s="77"/>
      <c r="E283" s="76"/>
      <c r="F283" s="76"/>
      <c r="G283" s="76"/>
      <c r="H283" s="76"/>
      <c r="I283" s="76"/>
      <c r="J283" s="76"/>
      <c r="K283" s="7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7"/>
      <c r="AA283" s="58"/>
      <c r="AB283" s="58"/>
    </row>
    <row r="284" ht="15.75" customHeight="1">
      <c r="A284" s="76"/>
      <c r="B284" s="76"/>
      <c r="C284" s="77"/>
      <c r="D284" s="77"/>
      <c r="E284" s="76"/>
      <c r="F284" s="76"/>
      <c r="G284" s="76"/>
      <c r="H284" s="76"/>
      <c r="I284" s="76"/>
      <c r="J284" s="76"/>
      <c r="K284" s="7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7"/>
      <c r="AA284" s="58"/>
      <c r="AB284" s="58"/>
    </row>
    <row r="285" ht="15.75" customHeight="1">
      <c r="A285" s="76"/>
      <c r="B285" s="76"/>
      <c r="C285" s="77"/>
      <c r="D285" s="77"/>
      <c r="E285" s="76"/>
      <c r="F285" s="76"/>
      <c r="G285" s="76"/>
      <c r="H285" s="76"/>
      <c r="I285" s="76"/>
      <c r="J285" s="76"/>
      <c r="K285" s="7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7"/>
      <c r="AA285" s="58"/>
      <c r="AB285" s="58"/>
    </row>
    <row r="286" ht="15.75" customHeight="1">
      <c r="A286" s="76"/>
      <c r="B286" s="76"/>
      <c r="C286" s="77"/>
      <c r="D286" s="77"/>
      <c r="E286" s="76"/>
      <c r="F286" s="76"/>
      <c r="G286" s="76"/>
      <c r="H286" s="76"/>
      <c r="I286" s="76"/>
      <c r="J286" s="76"/>
      <c r="K286" s="7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7"/>
      <c r="AA286" s="58"/>
      <c r="AB286" s="58"/>
    </row>
    <row r="287" ht="15.75" customHeight="1">
      <c r="A287" s="76"/>
      <c r="B287" s="76"/>
      <c r="C287" s="77"/>
      <c r="D287" s="77"/>
      <c r="E287" s="76"/>
      <c r="F287" s="76"/>
      <c r="G287" s="76"/>
      <c r="H287" s="76"/>
      <c r="I287" s="76"/>
      <c r="J287" s="76"/>
      <c r="K287" s="7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7"/>
      <c r="AA287" s="58"/>
      <c r="AB287" s="58"/>
    </row>
    <row r="288" ht="15.75" customHeight="1">
      <c r="A288" s="76"/>
      <c r="B288" s="76"/>
      <c r="C288" s="77"/>
      <c r="D288" s="77"/>
      <c r="E288" s="76"/>
      <c r="F288" s="76"/>
      <c r="G288" s="76"/>
      <c r="H288" s="76"/>
      <c r="I288" s="76"/>
      <c r="J288" s="76"/>
      <c r="K288" s="7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7"/>
      <c r="AA288" s="58"/>
      <c r="AB288" s="58"/>
    </row>
    <row r="289" ht="15.75" customHeight="1">
      <c r="A289" s="76"/>
      <c r="B289" s="76"/>
      <c r="C289" s="77"/>
      <c r="D289" s="77"/>
      <c r="E289" s="76"/>
      <c r="F289" s="76"/>
      <c r="G289" s="76"/>
      <c r="H289" s="76"/>
      <c r="I289" s="76"/>
      <c r="J289" s="76"/>
      <c r="K289" s="7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7"/>
      <c r="AA289" s="58"/>
      <c r="AB289" s="58"/>
    </row>
    <row r="290" ht="15.75" customHeight="1">
      <c r="A290" s="76"/>
      <c r="B290" s="76"/>
      <c r="C290" s="77"/>
      <c r="D290" s="77"/>
      <c r="E290" s="76"/>
      <c r="F290" s="76"/>
      <c r="G290" s="76"/>
      <c r="H290" s="76"/>
      <c r="I290" s="76"/>
      <c r="J290" s="76"/>
      <c r="K290" s="7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7"/>
      <c r="AA290" s="58"/>
      <c r="AB290" s="58"/>
    </row>
    <row r="291" ht="15.75" customHeight="1">
      <c r="A291" s="76"/>
      <c r="B291" s="76"/>
      <c r="C291" s="77"/>
      <c r="D291" s="77"/>
      <c r="E291" s="76"/>
      <c r="F291" s="76"/>
      <c r="G291" s="76"/>
      <c r="H291" s="76"/>
      <c r="I291" s="76"/>
      <c r="J291" s="76"/>
      <c r="K291" s="7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7"/>
      <c r="AA291" s="58"/>
      <c r="AB291" s="58"/>
    </row>
    <row r="292" ht="15.75" customHeight="1">
      <c r="A292" s="76"/>
      <c r="B292" s="76"/>
      <c r="C292" s="77"/>
      <c r="D292" s="77"/>
      <c r="E292" s="76"/>
      <c r="F292" s="76"/>
      <c r="G292" s="76"/>
      <c r="H292" s="76"/>
      <c r="I292" s="76"/>
      <c r="J292" s="76"/>
      <c r="K292" s="7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7"/>
      <c r="AA292" s="58"/>
      <c r="AB292" s="58"/>
    </row>
    <row r="293" ht="15.75" customHeight="1">
      <c r="A293" s="76"/>
      <c r="B293" s="76"/>
      <c r="C293" s="77"/>
      <c r="D293" s="77"/>
      <c r="E293" s="76"/>
      <c r="F293" s="76"/>
      <c r="G293" s="76"/>
      <c r="H293" s="76"/>
      <c r="I293" s="76"/>
      <c r="J293" s="76"/>
      <c r="K293" s="7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7"/>
      <c r="AA293" s="58"/>
      <c r="AB293" s="58"/>
    </row>
    <row r="294" ht="15.75" customHeight="1">
      <c r="A294" s="76"/>
      <c r="B294" s="76"/>
      <c r="C294" s="77"/>
      <c r="D294" s="77"/>
      <c r="E294" s="76"/>
      <c r="F294" s="76"/>
      <c r="G294" s="76"/>
      <c r="H294" s="76"/>
      <c r="I294" s="76"/>
      <c r="J294" s="76"/>
      <c r="K294" s="7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7"/>
      <c r="AA294" s="58"/>
      <c r="AB294" s="58"/>
    </row>
    <row r="295" ht="15.75" customHeight="1">
      <c r="A295" s="76"/>
      <c r="B295" s="76"/>
      <c r="C295" s="77"/>
      <c r="D295" s="77"/>
      <c r="E295" s="76"/>
      <c r="F295" s="76"/>
      <c r="G295" s="76"/>
      <c r="H295" s="76"/>
      <c r="I295" s="76"/>
      <c r="J295" s="76"/>
      <c r="K295" s="7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7"/>
      <c r="AA295" s="58"/>
      <c r="AB295" s="58"/>
    </row>
    <row r="296" ht="15.75" customHeight="1">
      <c r="A296" s="76"/>
      <c r="B296" s="76"/>
      <c r="C296" s="77"/>
      <c r="D296" s="77"/>
      <c r="E296" s="76"/>
      <c r="F296" s="76"/>
      <c r="G296" s="76"/>
      <c r="H296" s="76"/>
      <c r="I296" s="76"/>
      <c r="J296" s="76"/>
      <c r="K296" s="7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7"/>
      <c r="AA296" s="58"/>
      <c r="AB296" s="58"/>
    </row>
    <row r="297" ht="15.75" customHeight="1">
      <c r="A297" s="76"/>
      <c r="B297" s="76"/>
      <c r="C297" s="77"/>
      <c r="D297" s="77"/>
      <c r="E297" s="76"/>
      <c r="F297" s="76"/>
      <c r="G297" s="76"/>
      <c r="H297" s="76"/>
      <c r="I297" s="76"/>
      <c r="J297" s="76"/>
      <c r="K297" s="7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7"/>
      <c r="AA297" s="58"/>
      <c r="AB297" s="58"/>
    </row>
    <row r="298" ht="15.75" customHeight="1">
      <c r="A298" s="76"/>
      <c r="B298" s="76"/>
      <c r="C298" s="77"/>
      <c r="D298" s="77"/>
      <c r="E298" s="76"/>
      <c r="F298" s="76"/>
      <c r="G298" s="76"/>
      <c r="H298" s="76"/>
      <c r="I298" s="76"/>
      <c r="J298" s="76"/>
      <c r="K298" s="7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7"/>
      <c r="AA298" s="58"/>
      <c r="AB298" s="58"/>
    </row>
    <row r="299" ht="15.75" customHeight="1">
      <c r="A299" s="76"/>
      <c r="B299" s="76"/>
      <c r="C299" s="77"/>
      <c r="D299" s="77"/>
      <c r="E299" s="76"/>
      <c r="F299" s="76"/>
      <c r="G299" s="76"/>
      <c r="H299" s="76"/>
      <c r="I299" s="76"/>
      <c r="J299" s="76"/>
      <c r="K299" s="7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7"/>
      <c r="AA299" s="58"/>
      <c r="AB299" s="58"/>
    </row>
    <row r="300" ht="15.75" customHeight="1">
      <c r="A300" s="76"/>
      <c r="B300" s="76"/>
      <c r="C300" s="77"/>
      <c r="D300" s="77"/>
      <c r="E300" s="76"/>
      <c r="F300" s="76"/>
      <c r="G300" s="76"/>
      <c r="H300" s="76"/>
      <c r="I300" s="76"/>
      <c r="J300" s="76"/>
      <c r="K300" s="7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7"/>
      <c r="AA300" s="58"/>
      <c r="AB300" s="58"/>
    </row>
    <row r="301" ht="15.75" customHeight="1">
      <c r="A301" s="76"/>
      <c r="B301" s="76"/>
      <c r="C301" s="77"/>
      <c r="D301" s="77"/>
      <c r="E301" s="76"/>
      <c r="F301" s="76"/>
      <c r="G301" s="76"/>
      <c r="H301" s="76"/>
      <c r="I301" s="76"/>
      <c r="J301" s="76"/>
      <c r="K301" s="7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7"/>
      <c r="AA301" s="58"/>
      <c r="AB301" s="58"/>
    </row>
    <row r="302" ht="15.75" customHeight="1">
      <c r="A302" s="76"/>
      <c r="B302" s="76"/>
      <c r="C302" s="77"/>
      <c r="D302" s="77"/>
      <c r="E302" s="76"/>
      <c r="F302" s="76"/>
      <c r="G302" s="76"/>
      <c r="H302" s="76"/>
      <c r="I302" s="76"/>
      <c r="J302" s="76"/>
      <c r="K302" s="7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7"/>
      <c r="AA302" s="58"/>
      <c r="AB302" s="58"/>
    </row>
    <row r="303" ht="15.75" customHeight="1">
      <c r="A303" s="76"/>
      <c r="B303" s="76"/>
      <c r="C303" s="77"/>
      <c r="D303" s="77"/>
      <c r="E303" s="76"/>
      <c r="F303" s="76"/>
      <c r="G303" s="76"/>
      <c r="H303" s="76"/>
      <c r="I303" s="76"/>
      <c r="J303" s="76"/>
      <c r="K303" s="7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7"/>
      <c r="AA303" s="58"/>
      <c r="AB303" s="58"/>
    </row>
    <row r="304" ht="15.75" customHeight="1">
      <c r="A304" s="76"/>
      <c r="B304" s="76"/>
      <c r="C304" s="77"/>
      <c r="D304" s="77"/>
      <c r="E304" s="76"/>
      <c r="F304" s="76"/>
      <c r="G304" s="76"/>
      <c r="H304" s="76"/>
      <c r="I304" s="76"/>
      <c r="J304" s="76"/>
      <c r="K304" s="7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7"/>
      <c r="AA304" s="58"/>
      <c r="AB304" s="58"/>
    </row>
    <row r="305" ht="15.75" customHeight="1">
      <c r="A305" s="76"/>
      <c r="B305" s="76"/>
      <c r="C305" s="77"/>
      <c r="D305" s="77"/>
      <c r="E305" s="76"/>
      <c r="F305" s="76"/>
      <c r="G305" s="76"/>
      <c r="H305" s="76"/>
      <c r="I305" s="76"/>
      <c r="J305" s="76"/>
      <c r="K305" s="7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7"/>
      <c r="AA305" s="58"/>
      <c r="AB305" s="58"/>
    </row>
    <row r="306" ht="15.75" customHeight="1">
      <c r="A306" s="76"/>
      <c r="B306" s="76"/>
      <c r="C306" s="77"/>
      <c r="D306" s="77"/>
      <c r="E306" s="76"/>
      <c r="F306" s="76"/>
      <c r="G306" s="76"/>
      <c r="H306" s="76"/>
      <c r="I306" s="76"/>
      <c r="J306" s="76"/>
      <c r="K306" s="7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7"/>
      <c r="AA306" s="58"/>
      <c r="AB306" s="58"/>
    </row>
    <row r="307" ht="15.75" customHeight="1">
      <c r="A307" s="76"/>
      <c r="B307" s="76"/>
      <c r="C307" s="77"/>
      <c r="D307" s="77"/>
      <c r="E307" s="76"/>
      <c r="F307" s="76"/>
      <c r="G307" s="76"/>
      <c r="H307" s="76"/>
      <c r="I307" s="76"/>
      <c r="J307" s="76"/>
      <c r="K307" s="7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7"/>
      <c r="AA307" s="58"/>
      <c r="AB307" s="58"/>
    </row>
    <row r="308" ht="15.75" customHeight="1">
      <c r="A308" s="76"/>
      <c r="B308" s="76"/>
      <c r="C308" s="77"/>
      <c r="D308" s="77"/>
      <c r="E308" s="76"/>
      <c r="F308" s="76"/>
      <c r="G308" s="76"/>
      <c r="H308" s="76"/>
      <c r="I308" s="76"/>
      <c r="J308" s="76"/>
      <c r="K308" s="7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7"/>
      <c r="AA308" s="58"/>
      <c r="AB308" s="58"/>
    </row>
    <row r="309" ht="15.75" customHeight="1">
      <c r="A309" s="78"/>
      <c r="B309" s="78"/>
      <c r="C309" s="79"/>
      <c r="D309" s="79"/>
      <c r="E309" s="78"/>
      <c r="F309" s="78"/>
      <c r="G309" s="78"/>
      <c r="H309" s="78"/>
      <c r="I309" s="78"/>
      <c r="J309" s="78"/>
      <c r="K309" s="78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7"/>
      <c r="AA309" s="58"/>
      <c r="AB309" s="59"/>
    </row>
    <row r="310" ht="15.75" customHeight="1">
      <c r="A310" s="78"/>
      <c r="B310" s="78"/>
      <c r="C310" s="79"/>
      <c r="D310" s="79"/>
      <c r="E310" s="78"/>
      <c r="F310" s="78"/>
      <c r="G310" s="78"/>
      <c r="H310" s="78"/>
      <c r="I310" s="78"/>
      <c r="J310" s="78"/>
      <c r="K310" s="78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7"/>
      <c r="AA310" s="58"/>
      <c r="AB310" s="59"/>
    </row>
    <row r="311" ht="15.75" customHeight="1">
      <c r="A311" s="78"/>
      <c r="B311" s="78"/>
      <c r="C311" s="79"/>
      <c r="D311" s="79"/>
      <c r="E311" s="78"/>
      <c r="F311" s="78"/>
      <c r="G311" s="78"/>
      <c r="H311" s="78"/>
      <c r="I311" s="78"/>
      <c r="J311" s="78"/>
      <c r="K311" s="78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7"/>
      <c r="AA311" s="58"/>
      <c r="AB311" s="59"/>
    </row>
    <row r="312" ht="15.75" customHeight="1">
      <c r="A312" s="78"/>
      <c r="B312" s="78"/>
      <c r="C312" s="79"/>
      <c r="D312" s="79"/>
      <c r="E312" s="78"/>
      <c r="F312" s="78"/>
      <c r="G312" s="78"/>
      <c r="H312" s="78"/>
      <c r="I312" s="78"/>
      <c r="J312" s="78"/>
      <c r="K312" s="78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7"/>
      <c r="AA312" s="58"/>
      <c r="AB312" s="59"/>
    </row>
    <row r="313" ht="15.75" customHeight="1">
      <c r="A313" s="78"/>
      <c r="B313" s="78"/>
      <c r="C313" s="79"/>
      <c r="D313" s="79"/>
      <c r="E313" s="78"/>
      <c r="F313" s="78"/>
      <c r="G313" s="78"/>
      <c r="H313" s="78"/>
      <c r="I313" s="78"/>
      <c r="J313" s="78"/>
      <c r="K313" s="78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7"/>
      <c r="AA313" s="58"/>
      <c r="AB313" s="59"/>
    </row>
    <row r="314" ht="15.75" customHeight="1">
      <c r="A314" s="78"/>
      <c r="B314" s="78"/>
      <c r="C314" s="79"/>
      <c r="D314" s="79"/>
      <c r="E314" s="78"/>
      <c r="F314" s="78"/>
      <c r="G314" s="78"/>
      <c r="H314" s="78"/>
      <c r="I314" s="78"/>
      <c r="J314" s="78"/>
      <c r="K314" s="78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7"/>
      <c r="AA314" s="58"/>
      <c r="AB314" s="59"/>
    </row>
    <row r="315" ht="15.75" customHeight="1">
      <c r="A315" s="78"/>
      <c r="B315" s="78"/>
      <c r="C315" s="79"/>
      <c r="D315" s="79"/>
      <c r="E315" s="78"/>
      <c r="F315" s="78"/>
      <c r="G315" s="78"/>
      <c r="H315" s="78"/>
      <c r="I315" s="78"/>
      <c r="J315" s="78"/>
      <c r="K315" s="78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7"/>
      <c r="AA315" s="58"/>
      <c r="AB315" s="59"/>
    </row>
    <row r="316" ht="15.75" customHeight="1">
      <c r="A316" s="78"/>
      <c r="B316" s="78"/>
      <c r="C316" s="79"/>
      <c r="D316" s="79"/>
      <c r="E316" s="78"/>
      <c r="F316" s="78"/>
      <c r="G316" s="78"/>
      <c r="H316" s="78"/>
      <c r="I316" s="78"/>
      <c r="J316" s="78"/>
      <c r="K316" s="78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7"/>
      <c r="AA316" s="58"/>
      <c r="AB316" s="59"/>
    </row>
    <row r="317" ht="15.75" customHeight="1">
      <c r="A317" s="78"/>
      <c r="B317" s="78"/>
      <c r="C317" s="79"/>
      <c r="D317" s="79"/>
      <c r="E317" s="78"/>
      <c r="F317" s="78"/>
      <c r="G317" s="78"/>
      <c r="H317" s="78"/>
      <c r="I317" s="78"/>
      <c r="J317" s="78"/>
      <c r="K317" s="78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7"/>
      <c r="AA317" s="58"/>
      <c r="AB317" s="59"/>
    </row>
    <row r="318" ht="15.75" customHeight="1">
      <c r="A318" s="78"/>
      <c r="B318" s="78"/>
      <c r="C318" s="79"/>
      <c r="D318" s="79"/>
      <c r="E318" s="78"/>
      <c r="F318" s="78"/>
      <c r="G318" s="78"/>
      <c r="H318" s="78"/>
      <c r="I318" s="78"/>
      <c r="J318" s="78"/>
      <c r="K318" s="78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7"/>
      <c r="AA318" s="58"/>
      <c r="AB318" s="59"/>
    </row>
    <row r="319" ht="15.75" customHeight="1">
      <c r="A319" s="78"/>
      <c r="B319" s="78"/>
      <c r="C319" s="79"/>
      <c r="D319" s="79"/>
      <c r="E319" s="78"/>
      <c r="F319" s="78"/>
      <c r="G319" s="78"/>
      <c r="H319" s="78"/>
      <c r="I319" s="78"/>
      <c r="J319" s="78"/>
      <c r="K319" s="78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7"/>
      <c r="AA319" s="58"/>
      <c r="AB319" s="59"/>
    </row>
    <row r="320" ht="15.75" customHeight="1">
      <c r="A320" s="78"/>
      <c r="B320" s="78"/>
      <c r="C320" s="79"/>
      <c r="D320" s="79"/>
      <c r="E320" s="78"/>
      <c r="F320" s="78"/>
      <c r="G320" s="78"/>
      <c r="H320" s="78"/>
      <c r="I320" s="78"/>
      <c r="J320" s="78"/>
      <c r="K320" s="78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7"/>
      <c r="AA320" s="58"/>
      <c r="AB320" s="59"/>
    </row>
    <row r="321" ht="15.75" customHeight="1">
      <c r="A321" s="78"/>
      <c r="B321" s="78"/>
      <c r="C321" s="79"/>
      <c r="D321" s="79"/>
      <c r="E321" s="78"/>
      <c r="F321" s="78"/>
      <c r="G321" s="78"/>
      <c r="H321" s="78"/>
      <c r="I321" s="78"/>
      <c r="J321" s="78"/>
      <c r="K321" s="78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7"/>
      <c r="AA321" s="58"/>
      <c r="AB321" s="59"/>
    </row>
    <row r="322" ht="15.75" customHeight="1">
      <c r="A322" s="78"/>
      <c r="B322" s="78"/>
      <c r="C322" s="79"/>
      <c r="D322" s="79"/>
      <c r="E322" s="78"/>
      <c r="F322" s="78"/>
      <c r="G322" s="78"/>
      <c r="H322" s="78"/>
      <c r="I322" s="78"/>
      <c r="J322" s="78"/>
      <c r="K322" s="78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7"/>
      <c r="AA322" s="58"/>
      <c r="AB322" s="59"/>
    </row>
    <row r="323" ht="15.75" customHeight="1">
      <c r="A323" s="78"/>
      <c r="B323" s="78"/>
      <c r="C323" s="79"/>
      <c r="D323" s="79"/>
      <c r="E323" s="78"/>
      <c r="F323" s="78"/>
      <c r="G323" s="78"/>
      <c r="H323" s="78"/>
      <c r="I323" s="78"/>
      <c r="J323" s="78"/>
      <c r="K323" s="78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7"/>
      <c r="AA323" s="58"/>
      <c r="AB323" s="59"/>
    </row>
    <row r="324" ht="15.75" customHeight="1">
      <c r="A324" s="78"/>
      <c r="B324" s="78"/>
      <c r="C324" s="79"/>
      <c r="D324" s="79"/>
      <c r="E324" s="78"/>
      <c r="F324" s="78"/>
      <c r="G324" s="78"/>
      <c r="H324" s="78"/>
      <c r="I324" s="78"/>
      <c r="J324" s="78"/>
      <c r="K324" s="78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7"/>
      <c r="AA324" s="58"/>
      <c r="AB324" s="59"/>
    </row>
    <row r="325" ht="15.75" customHeight="1">
      <c r="A325" s="78"/>
      <c r="B325" s="78"/>
      <c r="C325" s="79"/>
      <c r="D325" s="79"/>
      <c r="E325" s="78"/>
      <c r="F325" s="78"/>
      <c r="G325" s="78"/>
      <c r="H325" s="78"/>
      <c r="I325" s="78"/>
      <c r="J325" s="78"/>
      <c r="K325" s="78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7"/>
      <c r="AA325" s="58"/>
      <c r="AB325" s="59"/>
    </row>
    <row r="326" ht="15.75" customHeight="1">
      <c r="A326" s="78"/>
      <c r="B326" s="78"/>
      <c r="C326" s="79"/>
      <c r="D326" s="79"/>
      <c r="E326" s="78"/>
      <c r="F326" s="78"/>
      <c r="G326" s="78"/>
      <c r="H326" s="78"/>
      <c r="I326" s="78"/>
      <c r="J326" s="78"/>
      <c r="K326" s="78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7"/>
      <c r="AA326" s="58"/>
      <c r="AB326" s="59"/>
    </row>
    <row r="327" ht="15.75" customHeight="1">
      <c r="A327" s="78"/>
      <c r="B327" s="78"/>
      <c r="C327" s="79"/>
      <c r="D327" s="79"/>
      <c r="E327" s="78"/>
      <c r="F327" s="78"/>
      <c r="G327" s="78"/>
      <c r="H327" s="78"/>
      <c r="I327" s="78"/>
      <c r="J327" s="78"/>
      <c r="K327" s="78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7"/>
      <c r="AA327" s="58"/>
      <c r="AB327" s="59"/>
    </row>
    <row r="328" ht="15.75" customHeight="1">
      <c r="A328" s="78"/>
      <c r="B328" s="78"/>
      <c r="C328" s="79"/>
      <c r="D328" s="79"/>
      <c r="E328" s="78"/>
      <c r="F328" s="78"/>
      <c r="G328" s="78"/>
      <c r="H328" s="78"/>
      <c r="I328" s="78"/>
      <c r="J328" s="78"/>
      <c r="K328" s="78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7"/>
      <c r="AA328" s="58"/>
      <c r="AB328" s="59"/>
    </row>
    <row r="329" ht="15.75" customHeight="1">
      <c r="A329" s="78"/>
      <c r="B329" s="78"/>
      <c r="C329" s="79"/>
      <c r="D329" s="79"/>
      <c r="E329" s="78"/>
      <c r="F329" s="78"/>
      <c r="G329" s="78"/>
      <c r="H329" s="78"/>
      <c r="I329" s="78"/>
      <c r="J329" s="78"/>
      <c r="K329" s="78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7"/>
      <c r="AA329" s="58"/>
      <c r="AB329" s="59"/>
    </row>
    <row r="330" ht="15.75" customHeight="1">
      <c r="A330" s="78"/>
      <c r="B330" s="78"/>
      <c r="C330" s="79"/>
      <c r="D330" s="79"/>
      <c r="E330" s="78"/>
      <c r="F330" s="78"/>
      <c r="G330" s="78"/>
      <c r="H330" s="78"/>
      <c r="I330" s="78"/>
      <c r="J330" s="78"/>
      <c r="K330" s="78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7"/>
      <c r="AA330" s="58"/>
      <c r="AB330" s="59"/>
    </row>
    <row r="331" ht="15.75" customHeight="1">
      <c r="A331" s="78"/>
      <c r="B331" s="78"/>
      <c r="C331" s="79"/>
      <c r="D331" s="79"/>
      <c r="E331" s="78"/>
      <c r="F331" s="78"/>
      <c r="G331" s="78"/>
      <c r="H331" s="78"/>
      <c r="I331" s="78"/>
      <c r="J331" s="78"/>
      <c r="K331" s="78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7"/>
      <c r="AA331" s="58"/>
      <c r="AB331" s="59"/>
    </row>
    <row r="332" ht="15.75" customHeight="1">
      <c r="A332" s="78"/>
      <c r="B332" s="78"/>
      <c r="C332" s="79"/>
      <c r="D332" s="79"/>
      <c r="E332" s="78"/>
      <c r="F332" s="78"/>
      <c r="G332" s="78"/>
      <c r="H332" s="78"/>
      <c r="I332" s="78"/>
      <c r="J332" s="78"/>
      <c r="K332" s="78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7"/>
      <c r="AA332" s="58"/>
      <c r="AB332" s="59"/>
    </row>
    <row r="333" ht="15.75" customHeight="1">
      <c r="A333" s="78"/>
      <c r="B333" s="78"/>
      <c r="C333" s="79"/>
      <c r="D333" s="79"/>
      <c r="E333" s="78"/>
      <c r="F333" s="78"/>
      <c r="G333" s="78"/>
      <c r="H333" s="78"/>
      <c r="I333" s="78"/>
      <c r="J333" s="78"/>
      <c r="K333" s="78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7"/>
      <c r="AA333" s="58"/>
      <c r="AB333" s="59"/>
    </row>
    <row r="334" ht="15.75" customHeight="1">
      <c r="A334" s="78"/>
      <c r="B334" s="78"/>
      <c r="C334" s="79"/>
      <c r="D334" s="79"/>
      <c r="E334" s="78"/>
      <c r="F334" s="78"/>
      <c r="G334" s="78"/>
      <c r="H334" s="78"/>
      <c r="I334" s="78"/>
      <c r="J334" s="78"/>
      <c r="K334" s="78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7"/>
      <c r="AA334" s="58"/>
      <c r="AB334" s="59"/>
    </row>
    <row r="335" ht="15.75" customHeight="1">
      <c r="A335" s="78"/>
      <c r="B335" s="78"/>
      <c r="C335" s="79"/>
      <c r="D335" s="79"/>
      <c r="E335" s="78"/>
      <c r="F335" s="78"/>
      <c r="G335" s="78"/>
      <c r="H335" s="78"/>
      <c r="I335" s="78"/>
      <c r="J335" s="78"/>
      <c r="K335" s="78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7"/>
      <c r="AA335" s="58"/>
      <c r="AB335" s="59"/>
    </row>
    <row r="336" ht="15.75" customHeight="1">
      <c r="A336" s="78"/>
      <c r="B336" s="78"/>
      <c r="C336" s="79"/>
      <c r="D336" s="79"/>
      <c r="E336" s="78"/>
      <c r="F336" s="78"/>
      <c r="G336" s="78"/>
      <c r="H336" s="78"/>
      <c r="I336" s="78"/>
      <c r="J336" s="78"/>
      <c r="K336" s="78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7"/>
      <c r="AA336" s="58"/>
      <c r="AB336" s="59"/>
    </row>
    <row r="337" ht="15.75" customHeight="1">
      <c r="A337" s="78"/>
      <c r="B337" s="78"/>
      <c r="C337" s="79"/>
      <c r="D337" s="79"/>
      <c r="E337" s="78"/>
      <c r="F337" s="78"/>
      <c r="G337" s="78"/>
      <c r="H337" s="78"/>
      <c r="I337" s="78"/>
      <c r="J337" s="78"/>
      <c r="K337" s="78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7"/>
      <c r="AA337" s="58"/>
      <c r="AB337" s="59"/>
    </row>
    <row r="338" ht="15.75" customHeight="1">
      <c r="A338" s="78"/>
      <c r="B338" s="78"/>
      <c r="C338" s="79"/>
      <c r="D338" s="79"/>
      <c r="E338" s="78"/>
      <c r="F338" s="78"/>
      <c r="G338" s="78"/>
      <c r="H338" s="78"/>
      <c r="I338" s="78"/>
      <c r="J338" s="78"/>
      <c r="K338" s="78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7"/>
      <c r="AA338" s="58"/>
      <c r="AB338" s="59"/>
    </row>
    <row r="339" ht="15.75" customHeight="1">
      <c r="A339" s="78"/>
      <c r="B339" s="78"/>
      <c r="C339" s="79"/>
      <c r="D339" s="79"/>
      <c r="E339" s="78"/>
      <c r="F339" s="78"/>
      <c r="G339" s="78"/>
      <c r="H339" s="78"/>
      <c r="I339" s="78"/>
      <c r="J339" s="78"/>
      <c r="K339" s="78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7"/>
      <c r="AA339" s="58"/>
      <c r="AB339" s="59"/>
    </row>
    <row r="340" ht="15.75" customHeight="1">
      <c r="A340" s="78"/>
      <c r="B340" s="78"/>
      <c r="C340" s="79"/>
      <c r="D340" s="79"/>
      <c r="E340" s="78"/>
      <c r="F340" s="78"/>
      <c r="G340" s="78"/>
      <c r="H340" s="78"/>
      <c r="I340" s="78"/>
      <c r="J340" s="78"/>
      <c r="K340" s="78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7"/>
      <c r="AA340" s="58"/>
      <c r="AB340" s="59"/>
    </row>
    <row r="341" ht="15.75" customHeight="1">
      <c r="A341" s="78"/>
      <c r="B341" s="78"/>
      <c r="C341" s="79"/>
      <c r="D341" s="79"/>
      <c r="E341" s="78"/>
      <c r="F341" s="78"/>
      <c r="G341" s="78"/>
      <c r="H341" s="78"/>
      <c r="I341" s="78"/>
      <c r="J341" s="78"/>
      <c r="K341" s="78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7"/>
      <c r="AA341" s="58"/>
      <c r="AB341" s="59"/>
    </row>
    <row r="342" ht="15.75" customHeight="1">
      <c r="A342" s="78"/>
      <c r="B342" s="78"/>
      <c r="C342" s="79"/>
      <c r="D342" s="79"/>
      <c r="E342" s="78"/>
      <c r="F342" s="78"/>
      <c r="G342" s="78"/>
      <c r="H342" s="78"/>
      <c r="I342" s="78"/>
      <c r="J342" s="78"/>
      <c r="K342" s="78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7"/>
      <c r="AA342" s="58"/>
      <c r="AB342" s="59"/>
    </row>
    <row r="343" ht="15.75" customHeight="1">
      <c r="A343" s="78"/>
      <c r="B343" s="78"/>
      <c r="C343" s="79"/>
      <c r="D343" s="79"/>
      <c r="E343" s="78"/>
      <c r="F343" s="78"/>
      <c r="G343" s="78"/>
      <c r="H343" s="78"/>
      <c r="I343" s="78"/>
      <c r="J343" s="78"/>
      <c r="K343" s="78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7"/>
      <c r="AA343" s="58"/>
      <c r="AB343" s="59"/>
    </row>
    <row r="344" ht="15.75" customHeight="1">
      <c r="A344" s="78"/>
      <c r="B344" s="78"/>
      <c r="C344" s="79"/>
      <c r="D344" s="79"/>
      <c r="E344" s="78"/>
      <c r="F344" s="78"/>
      <c r="G344" s="78"/>
      <c r="H344" s="78"/>
      <c r="I344" s="78"/>
      <c r="J344" s="78"/>
      <c r="K344" s="78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7"/>
      <c r="AA344" s="58"/>
      <c r="AB344" s="59"/>
    </row>
    <row r="345" ht="15.75" customHeight="1">
      <c r="A345" s="78"/>
      <c r="B345" s="78"/>
      <c r="C345" s="79"/>
      <c r="D345" s="79"/>
      <c r="E345" s="78"/>
      <c r="F345" s="78"/>
      <c r="G345" s="78"/>
      <c r="H345" s="78"/>
      <c r="I345" s="78"/>
      <c r="J345" s="78"/>
      <c r="K345" s="78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7"/>
      <c r="AA345" s="58"/>
      <c r="AB345" s="59"/>
    </row>
    <row r="346" ht="15.75" customHeight="1">
      <c r="A346" s="78"/>
      <c r="B346" s="78"/>
      <c r="C346" s="79"/>
      <c r="D346" s="79"/>
      <c r="E346" s="78"/>
      <c r="F346" s="78"/>
      <c r="G346" s="78"/>
      <c r="H346" s="78"/>
      <c r="I346" s="78"/>
      <c r="J346" s="78"/>
      <c r="K346" s="78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7"/>
      <c r="AA346" s="58"/>
      <c r="AB346" s="59"/>
    </row>
    <row r="347" ht="15.75" customHeight="1">
      <c r="A347" s="78"/>
      <c r="B347" s="78"/>
      <c r="C347" s="79"/>
      <c r="D347" s="79"/>
      <c r="E347" s="78"/>
      <c r="F347" s="78"/>
      <c r="G347" s="78"/>
      <c r="H347" s="78"/>
      <c r="I347" s="78"/>
      <c r="J347" s="78"/>
      <c r="K347" s="78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7"/>
      <c r="AA347" s="58"/>
      <c r="AB347" s="59"/>
    </row>
    <row r="348" ht="15.75" customHeight="1">
      <c r="A348" s="78"/>
      <c r="B348" s="78"/>
      <c r="C348" s="79"/>
      <c r="D348" s="79"/>
      <c r="E348" s="78"/>
      <c r="F348" s="78"/>
      <c r="G348" s="78"/>
      <c r="H348" s="78"/>
      <c r="I348" s="78"/>
      <c r="J348" s="78"/>
      <c r="K348" s="78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7"/>
      <c r="AA348" s="58"/>
      <c r="AB348" s="59"/>
    </row>
    <row r="349" ht="15.75" customHeight="1">
      <c r="A349" s="78"/>
      <c r="B349" s="78"/>
      <c r="C349" s="79"/>
      <c r="D349" s="79"/>
      <c r="E349" s="78"/>
      <c r="F349" s="78"/>
      <c r="G349" s="78"/>
      <c r="H349" s="78"/>
      <c r="I349" s="78"/>
      <c r="J349" s="78"/>
      <c r="K349" s="78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7"/>
      <c r="AA349" s="58"/>
      <c r="AB349" s="59"/>
    </row>
    <row r="350" ht="15.75" customHeight="1">
      <c r="A350" s="78"/>
      <c r="B350" s="78"/>
      <c r="C350" s="79"/>
      <c r="D350" s="79"/>
      <c r="E350" s="78"/>
      <c r="F350" s="78"/>
      <c r="G350" s="78"/>
      <c r="H350" s="78"/>
      <c r="I350" s="78"/>
      <c r="J350" s="78"/>
      <c r="K350" s="78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7"/>
      <c r="AA350" s="58"/>
      <c r="AB350" s="59"/>
    </row>
    <row r="351" ht="15.75" customHeight="1">
      <c r="A351" s="78"/>
      <c r="B351" s="78"/>
      <c r="C351" s="79"/>
      <c r="D351" s="79"/>
      <c r="E351" s="78"/>
      <c r="F351" s="78"/>
      <c r="G351" s="78"/>
      <c r="H351" s="78"/>
      <c r="I351" s="78"/>
      <c r="J351" s="78"/>
      <c r="K351" s="78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7"/>
      <c r="AA351" s="58"/>
      <c r="AB351" s="59"/>
    </row>
    <row r="352" ht="15.75" customHeight="1">
      <c r="A352" s="78"/>
      <c r="B352" s="78"/>
      <c r="C352" s="79"/>
      <c r="D352" s="79"/>
      <c r="E352" s="78"/>
      <c r="F352" s="78"/>
      <c r="G352" s="78"/>
      <c r="H352" s="78"/>
      <c r="I352" s="78"/>
      <c r="J352" s="78"/>
      <c r="K352" s="78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7"/>
      <c r="AA352" s="58"/>
      <c r="AB352" s="59"/>
    </row>
    <row r="353" ht="15.75" customHeight="1">
      <c r="A353" s="78"/>
      <c r="B353" s="78"/>
      <c r="C353" s="79"/>
      <c r="D353" s="79"/>
      <c r="E353" s="78"/>
      <c r="F353" s="78"/>
      <c r="G353" s="78"/>
      <c r="H353" s="78"/>
      <c r="I353" s="78"/>
      <c r="J353" s="78"/>
      <c r="K353" s="78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7"/>
      <c r="AA353" s="58"/>
      <c r="AB353" s="59"/>
    </row>
    <row r="354" ht="15.75" customHeight="1">
      <c r="A354" s="78"/>
      <c r="B354" s="78"/>
      <c r="C354" s="79"/>
      <c r="D354" s="79"/>
      <c r="E354" s="78"/>
      <c r="F354" s="78"/>
      <c r="G354" s="78"/>
      <c r="H354" s="78"/>
      <c r="I354" s="78"/>
      <c r="J354" s="78"/>
      <c r="K354" s="78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7"/>
      <c r="AA354" s="58"/>
      <c r="AB354" s="59"/>
    </row>
    <row r="355" ht="15.75" customHeight="1">
      <c r="A355" s="78"/>
      <c r="B355" s="78"/>
      <c r="C355" s="79"/>
      <c r="D355" s="79"/>
      <c r="E355" s="78"/>
      <c r="F355" s="78"/>
      <c r="G355" s="78"/>
      <c r="H355" s="78"/>
      <c r="I355" s="78"/>
      <c r="J355" s="78"/>
      <c r="K355" s="78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7"/>
      <c r="AA355" s="58"/>
      <c r="AB355" s="59"/>
    </row>
    <row r="356" ht="15.75" customHeight="1">
      <c r="A356" s="78"/>
      <c r="B356" s="78"/>
      <c r="C356" s="79"/>
      <c r="D356" s="79"/>
      <c r="E356" s="78"/>
      <c r="F356" s="78"/>
      <c r="G356" s="78"/>
      <c r="H356" s="78"/>
      <c r="I356" s="78"/>
      <c r="J356" s="78"/>
      <c r="K356" s="78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7"/>
      <c r="AA356" s="58"/>
      <c r="AB356" s="59"/>
    </row>
    <row r="357" ht="15.75" customHeight="1">
      <c r="A357" s="78"/>
      <c r="B357" s="78"/>
      <c r="C357" s="79"/>
      <c r="D357" s="79"/>
      <c r="E357" s="78"/>
      <c r="F357" s="78"/>
      <c r="G357" s="78"/>
      <c r="H357" s="78"/>
      <c r="I357" s="78"/>
      <c r="J357" s="78"/>
      <c r="K357" s="78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7"/>
      <c r="AA357" s="58"/>
      <c r="AB357" s="59"/>
    </row>
    <row r="358" ht="15.75" customHeight="1">
      <c r="A358" s="78"/>
      <c r="B358" s="78"/>
      <c r="C358" s="79"/>
      <c r="D358" s="79"/>
      <c r="E358" s="78"/>
      <c r="F358" s="78"/>
      <c r="G358" s="78"/>
      <c r="H358" s="78"/>
      <c r="I358" s="78"/>
      <c r="J358" s="78"/>
      <c r="K358" s="78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7"/>
      <c r="AA358" s="58"/>
      <c r="AB358" s="59"/>
    </row>
    <row r="359" ht="15.75" customHeight="1">
      <c r="A359" s="78"/>
      <c r="B359" s="78"/>
      <c r="C359" s="79"/>
      <c r="D359" s="79"/>
      <c r="E359" s="78"/>
      <c r="F359" s="78"/>
      <c r="G359" s="78"/>
      <c r="H359" s="78"/>
      <c r="I359" s="78"/>
      <c r="J359" s="78"/>
      <c r="K359" s="78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7"/>
      <c r="AA359" s="58"/>
      <c r="AB359" s="59"/>
    </row>
    <row r="360" ht="15.75" customHeight="1">
      <c r="A360" s="78"/>
      <c r="B360" s="78"/>
      <c r="C360" s="79"/>
      <c r="D360" s="79"/>
      <c r="E360" s="78"/>
      <c r="F360" s="78"/>
      <c r="G360" s="78"/>
      <c r="H360" s="78"/>
      <c r="I360" s="78"/>
      <c r="J360" s="78"/>
      <c r="K360" s="78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7"/>
      <c r="AA360" s="58"/>
      <c r="AB360" s="59"/>
    </row>
    <row r="361" ht="15.75" customHeight="1">
      <c r="A361" s="78"/>
      <c r="B361" s="78"/>
      <c r="C361" s="79"/>
      <c r="D361" s="79"/>
      <c r="E361" s="78"/>
      <c r="F361" s="78"/>
      <c r="G361" s="78"/>
      <c r="H361" s="78"/>
      <c r="I361" s="78"/>
      <c r="J361" s="78"/>
      <c r="K361" s="78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7"/>
      <c r="AA361" s="58"/>
      <c r="AB361" s="59"/>
    </row>
    <row r="362" ht="15.75" customHeight="1">
      <c r="A362" s="78"/>
      <c r="B362" s="78"/>
      <c r="C362" s="79"/>
      <c r="D362" s="79"/>
      <c r="E362" s="78"/>
      <c r="F362" s="78"/>
      <c r="G362" s="78"/>
      <c r="H362" s="78"/>
      <c r="I362" s="78"/>
      <c r="J362" s="78"/>
      <c r="K362" s="78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7"/>
      <c r="AA362" s="58"/>
      <c r="AB362" s="59"/>
    </row>
    <row r="363" ht="15.75" customHeight="1">
      <c r="A363" s="78"/>
      <c r="B363" s="78"/>
      <c r="C363" s="79"/>
      <c r="D363" s="79"/>
      <c r="E363" s="78"/>
      <c r="F363" s="78"/>
      <c r="G363" s="78"/>
      <c r="H363" s="78"/>
      <c r="I363" s="78"/>
      <c r="J363" s="78"/>
      <c r="K363" s="78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7"/>
      <c r="AA363" s="58"/>
      <c r="AB363" s="59"/>
    </row>
    <row r="364" ht="15.75" customHeight="1">
      <c r="A364" s="78"/>
      <c r="B364" s="78"/>
      <c r="C364" s="79"/>
      <c r="D364" s="79"/>
      <c r="E364" s="78"/>
      <c r="F364" s="78"/>
      <c r="G364" s="78"/>
      <c r="H364" s="78"/>
      <c r="I364" s="78"/>
      <c r="J364" s="78"/>
      <c r="K364" s="78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7"/>
      <c r="AA364" s="58"/>
      <c r="AB364" s="59"/>
    </row>
    <row r="365" ht="15.75" customHeight="1">
      <c r="A365" s="78"/>
      <c r="B365" s="78"/>
      <c r="C365" s="79"/>
      <c r="D365" s="79"/>
      <c r="E365" s="78"/>
      <c r="F365" s="78"/>
      <c r="G365" s="78"/>
      <c r="H365" s="78"/>
      <c r="I365" s="78"/>
      <c r="J365" s="78"/>
      <c r="K365" s="78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7"/>
      <c r="AA365" s="58"/>
      <c r="AB365" s="59"/>
    </row>
    <row r="366" ht="15.75" customHeight="1">
      <c r="A366" s="78"/>
      <c r="B366" s="78"/>
      <c r="C366" s="79"/>
      <c r="D366" s="79"/>
      <c r="E366" s="78"/>
      <c r="F366" s="78"/>
      <c r="G366" s="78"/>
      <c r="H366" s="78"/>
      <c r="I366" s="78"/>
      <c r="J366" s="78"/>
      <c r="K366" s="78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7"/>
      <c r="AA366" s="58"/>
      <c r="AB366" s="59"/>
    </row>
    <row r="367" ht="15.75" customHeight="1">
      <c r="A367" s="78"/>
      <c r="B367" s="78"/>
      <c r="C367" s="79"/>
      <c r="D367" s="79"/>
      <c r="E367" s="78"/>
      <c r="F367" s="78"/>
      <c r="G367" s="78"/>
      <c r="H367" s="78"/>
      <c r="I367" s="78"/>
      <c r="J367" s="78"/>
      <c r="K367" s="78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7"/>
      <c r="AA367" s="58"/>
      <c r="AB367" s="59"/>
    </row>
    <row r="368" ht="15.75" customHeight="1">
      <c r="A368" s="78"/>
      <c r="B368" s="78"/>
      <c r="C368" s="79"/>
      <c r="D368" s="79"/>
      <c r="E368" s="78"/>
      <c r="F368" s="78"/>
      <c r="G368" s="78"/>
      <c r="H368" s="78"/>
      <c r="I368" s="78"/>
      <c r="J368" s="78"/>
      <c r="K368" s="78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7"/>
      <c r="AA368" s="58"/>
      <c r="AB368" s="59"/>
    </row>
    <row r="369" ht="15.75" customHeight="1">
      <c r="A369" s="78"/>
      <c r="B369" s="78"/>
      <c r="C369" s="79"/>
      <c r="D369" s="79"/>
      <c r="E369" s="78"/>
      <c r="F369" s="78"/>
      <c r="G369" s="78"/>
      <c r="H369" s="78"/>
      <c r="I369" s="78"/>
      <c r="J369" s="78"/>
      <c r="K369" s="78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7"/>
      <c r="AA369" s="58"/>
      <c r="AB369" s="59"/>
    </row>
    <row r="370" ht="15.75" customHeight="1">
      <c r="A370" s="78"/>
      <c r="B370" s="78"/>
      <c r="C370" s="79"/>
      <c r="D370" s="79"/>
      <c r="E370" s="78"/>
      <c r="F370" s="78"/>
      <c r="G370" s="78"/>
      <c r="H370" s="78"/>
      <c r="I370" s="78"/>
      <c r="J370" s="78"/>
      <c r="K370" s="78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7"/>
      <c r="AA370" s="58"/>
      <c r="AB370" s="59"/>
    </row>
    <row r="371" ht="15.75" customHeight="1">
      <c r="A371" s="78"/>
      <c r="B371" s="78"/>
      <c r="C371" s="79"/>
      <c r="D371" s="79"/>
      <c r="E371" s="78"/>
      <c r="F371" s="78"/>
      <c r="G371" s="78"/>
      <c r="H371" s="78"/>
      <c r="I371" s="78"/>
      <c r="J371" s="78"/>
      <c r="K371" s="78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7"/>
      <c r="AA371" s="58"/>
      <c r="AB371" s="59"/>
    </row>
    <row r="372" ht="15.75" customHeight="1">
      <c r="A372" s="78"/>
      <c r="B372" s="78"/>
      <c r="C372" s="79"/>
      <c r="D372" s="79"/>
      <c r="E372" s="78"/>
      <c r="F372" s="78"/>
      <c r="G372" s="78"/>
      <c r="H372" s="78"/>
      <c r="I372" s="78"/>
      <c r="J372" s="78"/>
      <c r="K372" s="78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7"/>
      <c r="AA372" s="58"/>
      <c r="AB372" s="59"/>
    </row>
    <row r="373" ht="15.75" customHeight="1">
      <c r="A373" s="78"/>
      <c r="B373" s="78"/>
      <c r="C373" s="79"/>
      <c r="D373" s="79"/>
      <c r="E373" s="78"/>
      <c r="F373" s="78"/>
      <c r="G373" s="78"/>
      <c r="H373" s="78"/>
      <c r="I373" s="78"/>
      <c r="J373" s="78"/>
      <c r="K373" s="78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7"/>
      <c r="AA373" s="58"/>
      <c r="AB373" s="59"/>
    </row>
    <row r="374" ht="15.75" customHeight="1">
      <c r="A374" s="78"/>
      <c r="B374" s="78"/>
      <c r="C374" s="79"/>
      <c r="D374" s="79"/>
      <c r="E374" s="78"/>
      <c r="F374" s="78"/>
      <c r="G374" s="78"/>
      <c r="H374" s="78"/>
      <c r="I374" s="78"/>
      <c r="J374" s="78"/>
      <c r="K374" s="78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7"/>
      <c r="AA374" s="58"/>
      <c r="AB374" s="59"/>
    </row>
    <row r="375" ht="15.75" customHeight="1">
      <c r="A375" s="78"/>
      <c r="B375" s="78"/>
      <c r="C375" s="79"/>
      <c r="D375" s="79"/>
      <c r="E375" s="78"/>
      <c r="F375" s="78"/>
      <c r="G375" s="78"/>
      <c r="H375" s="78"/>
      <c r="I375" s="78"/>
      <c r="J375" s="78"/>
      <c r="K375" s="78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7"/>
      <c r="AA375" s="58"/>
      <c r="AB375" s="59"/>
    </row>
    <row r="376" ht="15.75" customHeight="1">
      <c r="A376" s="78"/>
      <c r="B376" s="78"/>
      <c r="C376" s="79"/>
      <c r="D376" s="79"/>
      <c r="E376" s="78"/>
      <c r="F376" s="78"/>
      <c r="G376" s="78"/>
      <c r="H376" s="78"/>
      <c r="I376" s="78"/>
      <c r="J376" s="78"/>
      <c r="K376" s="78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7"/>
      <c r="AA376" s="58"/>
      <c r="AB376" s="59"/>
    </row>
    <row r="377" ht="15.75" customHeight="1">
      <c r="A377" s="78"/>
      <c r="B377" s="78"/>
      <c r="C377" s="79"/>
      <c r="D377" s="79"/>
      <c r="E377" s="78"/>
      <c r="F377" s="78"/>
      <c r="G377" s="78"/>
      <c r="H377" s="78"/>
      <c r="I377" s="78"/>
      <c r="J377" s="78"/>
      <c r="K377" s="78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7"/>
      <c r="AA377" s="58"/>
      <c r="AB377" s="59"/>
    </row>
    <row r="378" ht="15.75" customHeight="1">
      <c r="A378" s="78"/>
      <c r="B378" s="78"/>
      <c r="C378" s="79"/>
      <c r="D378" s="79"/>
      <c r="E378" s="78"/>
      <c r="F378" s="78"/>
      <c r="G378" s="78"/>
      <c r="H378" s="78"/>
      <c r="I378" s="78"/>
      <c r="J378" s="78"/>
      <c r="K378" s="78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7"/>
      <c r="AA378" s="58"/>
      <c r="AB378" s="59"/>
    </row>
    <row r="379" ht="15.75" customHeight="1">
      <c r="A379" s="78"/>
      <c r="B379" s="78"/>
      <c r="C379" s="79"/>
      <c r="D379" s="79"/>
      <c r="E379" s="78"/>
      <c r="F379" s="78"/>
      <c r="G379" s="78"/>
      <c r="H379" s="78"/>
      <c r="I379" s="78"/>
      <c r="J379" s="78"/>
      <c r="K379" s="78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7"/>
      <c r="AA379" s="58"/>
      <c r="AB379" s="59"/>
    </row>
    <row r="380" ht="15.75" customHeight="1">
      <c r="A380" s="78"/>
      <c r="B380" s="78"/>
      <c r="C380" s="79"/>
      <c r="D380" s="79"/>
      <c r="E380" s="78"/>
      <c r="F380" s="78"/>
      <c r="G380" s="78"/>
      <c r="H380" s="78"/>
      <c r="I380" s="78"/>
      <c r="J380" s="78"/>
      <c r="K380" s="78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7"/>
      <c r="AA380" s="58"/>
      <c r="AB380" s="59"/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2:K180">
    <cfRule type="containsBlanks" dxfId="0" priority="1">
      <formula>LEN(TRIM(A2))=0</formula>
    </cfRule>
  </conditionalFormatting>
  <printOptions horizontalCentered="1"/>
  <pageMargins bottom="0.75" footer="0.0" header="0.0" left="0.7" right="0.7" top="0.75"/>
  <pageSetup paperSize="9" orientation="landscape"/>
  <drawing r:id="rId1"/>
  <tableParts count="1">
    <tablePart r:id="rId3"/>
  </tableParts>
</worksheet>
</file>