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13_ncr:1_{26FF8A91-799C-4C11-AEF0-D212C2D70B3F}" xr6:coauthVersionLast="47" xr6:coauthVersionMax="47" xr10:uidLastSave="{00000000-0000-0000-0000-000000000000}"/>
  <bookViews>
    <workbookView xWindow="-110" yWindow="-110" windowWidth="19420" windowHeight="11020" xr2:uid="{00000000-000D-0000-FFFF-FFFF00000000}"/>
  </bookViews>
  <sheets>
    <sheet name="Général" sheetId="1" r:id="rId1"/>
    <sheet name="H" sheetId="2" r:id="rId2"/>
    <sheet name="F" sheetId="3" r:id="rId3"/>
    <sheet name="SH" sheetId="4" r:id="rId4"/>
    <sheet name="SF" sheetId="5" r:id="rId5"/>
    <sheet name="MH" sheetId="6" r:id="rId6"/>
    <sheet name="MF" sheetId="7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80" i="7" l="1"/>
  <c r="J180" i="7"/>
  <c r="I180" i="7"/>
  <c r="H180" i="7"/>
  <c r="G180" i="7"/>
  <c r="F180" i="7"/>
  <c r="E180" i="7"/>
  <c r="D180" i="7"/>
  <c r="C180" i="7"/>
  <c r="B180" i="7"/>
  <c r="A180" i="7"/>
  <c r="K179" i="7"/>
  <c r="J179" i="7"/>
  <c r="I179" i="7"/>
  <c r="H179" i="7"/>
  <c r="G179" i="7"/>
  <c r="F179" i="7"/>
  <c r="E179" i="7"/>
  <c r="D179" i="7"/>
  <c r="C179" i="7"/>
  <c r="B179" i="7"/>
  <c r="A179" i="7"/>
  <c r="K178" i="7"/>
  <c r="J178" i="7"/>
  <c r="I178" i="7"/>
  <c r="H178" i="7"/>
  <c r="G178" i="7"/>
  <c r="F178" i="7"/>
  <c r="E178" i="7"/>
  <c r="D178" i="7"/>
  <c r="C178" i="7"/>
  <c r="B178" i="7"/>
  <c r="A178" i="7"/>
  <c r="K177" i="7"/>
  <c r="J177" i="7"/>
  <c r="I177" i="7"/>
  <c r="H177" i="7"/>
  <c r="G177" i="7"/>
  <c r="F177" i="7"/>
  <c r="E177" i="7"/>
  <c r="D177" i="7"/>
  <c r="C177" i="7"/>
  <c r="B177" i="7"/>
  <c r="A177" i="7"/>
  <c r="K176" i="7"/>
  <c r="J176" i="7"/>
  <c r="I176" i="7"/>
  <c r="H176" i="7"/>
  <c r="G176" i="7"/>
  <c r="F176" i="7"/>
  <c r="E176" i="7"/>
  <c r="D176" i="7"/>
  <c r="C176" i="7"/>
  <c r="B176" i="7"/>
  <c r="A176" i="7"/>
  <c r="K175" i="7"/>
  <c r="J175" i="7"/>
  <c r="I175" i="7"/>
  <c r="H175" i="7"/>
  <c r="G175" i="7"/>
  <c r="F175" i="7"/>
  <c r="E175" i="7"/>
  <c r="D175" i="7"/>
  <c r="C175" i="7"/>
  <c r="B175" i="7"/>
  <c r="A175" i="7"/>
  <c r="K174" i="7"/>
  <c r="J174" i="7"/>
  <c r="I174" i="7"/>
  <c r="H174" i="7"/>
  <c r="G174" i="7"/>
  <c r="F174" i="7"/>
  <c r="E174" i="7"/>
  <c r="D174" i="7"/>
  <c r="C174" i="7"/>
  <c r="B174" i="7"/>
  <c r="A174" i="7"/>
  <c r="K173" i="7"/>
  <c r="J173" i="7"/>
  <c r="I173" i="7"/>
  <c r="H173" i="7"/>
  <c r="G173" i="7"/>
  <c r="F173" i="7"/>
  <c r="E173" i="7"/>
  <c r="D173" i="7"/>
  <c r="C173" i="7"/>
  <c r="B173" i="7"/>
  <c r="A173" i="7"/>
  <c r="K172" i="7"/>
  <c r="J172" i="7"/>
  <c r="I172" i="7"/>
  <c r="H172" i="7"/>
  <c r="G172" i="7"/>
  <c r="F172" i="7"/>
  <c r="E172" i="7"/>
  <c r="D172" i="7"/>
  <c r="C172" i="7"/>
  <c r="B172" i="7"/>
  <c r="A172" i="7"/>
  <c r="K171" i="7"/>
  <c r="J171" i="7"/>
  <c r="I171" i="7"/>
  <c r="H171" i="7"/>
  <c r="G171" i="7"/>
  <c r="F171" i="7"/>
  <c r="E171" i="7"/>
  <c r="D171" i="7"/>
  <c r="C171" i="7"/>
  <c r="B171" i="7"/>
  <c r="A171" i="7"/>
  <c r="K170" i="7"/>
  <c r="J170" i="7"/>
  <c r="I170" i="7"/>
  <c r="H170" i="7"/>
  <c r="G170" i="7"/>
  <c r="F170" i="7"/>
  <c r="E170" i="7"/>
  <c r="D170" i="7"/>
  <c r="C170" i="7"/>
  <c r="B170" i="7"/>
  <c r="A170" i="7"/>
  <c r="K169" i="7"/>
  <c r="J169" i="7"/>
  <c r="I169" i="7"/>
  <c r="H169" i="7"/>
  <c r="G169" i="7"/>
  <c r="F169" i="7"/>
  <c r="E169" i="7"/>
  <c r="D169" i="7"/>
  <c r="C169" i="7"/>
  <c r="B169" i="7"/>
  <c r="A169" i="7"/>
  <c r="K168" i="7"/>
  <c r="J168" i="7"/>
  <c r="I168" i="7"/>
  <c r="H168" i="7"/>
  <c r="G168" i="7"/>
  <c r="F168" i="7"/>
  <c r="E168" i="7"/>
  <c r="D168" i="7"/>
  <c r="C168" i="7"/>
  <c r="B168" i="7"/>
  <c r="A168" i="7"/>
  <c r="K167" i="7"/>
  <c r="J167" i="7"/>
  <c r="I167" i="7"/>
  <c r="H167" i="7"/>
  <c r="G167" i="7"/>
  <c r="F167" i="7"/>
  <c r="E167" i="7"/>
  <c r="D167" i="7"/>
  <c r="C167" i="7"/>
  <c r="B167" i="7"/>
  <c r="A167" i="7"/>
  <c r="K166" i="7"/>
  <c r="J166" i="7"/>
  <c r="I166" i="7"/>
  <c r="H166" i="7"/>
  <c r="G166" i="7"/>
  <c r="F166" i="7"/>
  <c r="E166" i="7"/>
  <c r="D166" i="7"/>
  <c r="C166" i="7"/>
  <c r="B166" i="7"/>
  <c r="A166" i="7"/>
  <c r="K165" i="7"/>
  <c r="J165" i="7"/>
  <c r="I165" i="7"/>
  <c r="H165" i="7"/>
  <c r="G165" i="7"/>
  <c r="F165" i="7"/>
  <c r="E165" i="7"/>
  <c r="D165" i="7"/>
  <c r="C165" i="7"/>
  <c r="B165" i="7"/>
  <c r="A165" i="7"/>
  <c r="K164" i="7"/>
  <c r="J164" i="7"/>
  <c r="I164" i="7"/>
  <c r="H164" i="7"/>
  <c r="G164" i="7"/>
  <c r="F164" i="7"/>
  <c r="E164" i="7"/>
  <c r="D164" i="7"/>
  <c r="C164" i="7"/>
  <c r="B164" i="7"/>
  <c r="A164" i="7"/>
  <c r="K163" i="7"/>
  <c r="J163" i="7"/>
  <c r="I163" i="7"/>
  <c r="H163" i="7"/>
  <c r="G163" i="7"/>
  <c r="F163" i="7"/>
  <c r="E163" i="7"/>
  <c r="D163" i="7"/>
  <c r="C163" i="7"/>
  <c r="B163" i="7"/>
  <c r="A163" i="7"/>
  <c r="K162" i="7"/>
  <c r="J162" i="7"/>
  <c r="I162" i="7"/>
  <c r="H162" i="7"/>
  <c r="G162" i="7"/>
  <c r="F162" i="7"/>
  <c r="E162" i="7"/>
  <c r="D162" i="7"/>
  <c r="C162" i="7"/>
  <c r="B162" i="7"/>
  <c r="A162" i="7"/>
  <c r="K161" i="7"/>
  <c r="J161" i="7"/>
  <c r="I161" i="7"/>
  <c r="H161" i="7"/>
  <c r="G161" i="7"/>
  <c r="F161" i="7"/>
  <c r="E161" i="7"/>
  <c r="D161" i="7"/>
  <c r="C161" i="7"/>
  <c r="B161" i="7"/>
  <c r="A161" i="7"/>
  <c r="K160" i="7"/>
  <c r="J160" i="7"/>
  <c r="I160" i="7"/>
  <c r="H160" i="7"/>
  <c r="G160" i="7"/>
  <c r="F160" i="7"/>
  <c r="E160" i="7"/>
  <c r="D160" i="7"/>
  <c r="C160" i="7"/>
  <c r="B160" i="7"/>
  <c r="A160" i="7"/>
  <c r="K159" i="7"/>
  <c r="J159" i="7"/>
  <c r="I159" i="7"/>
  <c r="H159" i="7"/>
  <c r="G159" i="7"/>
  <c r="F159" i="7"/>
  <c r="E159" i="7"/>
  <c r="D159" i="7"/>
  <c r="C159" i="7"/>
  <c r="B159" i="7"/>
  <c r="A159" i="7"/>
  <c r="K158" i="7"/>
  <c r="J158" i="7"/>
  <c r="I158" i="7"/>
  <c r="H158" i="7"/>
  <c r="G158" i="7"/>
  <c r="F158" i="7"/>
  <c r="E158" i="7"/>
  <c r="D158" i="7"/>
  <c r="C158" i="7"/>
  <c r="B158" i="7"/>
  <c r="A158" i="7"/>
  <c r="K157" i="7"/>
  <c r="J157" i="7"/>
  <c r="I157" i="7"/>
  <c r="H157" i="7"/>
  <c r="G157" i="7"/>
  <c r="F157" i="7"/>
  <c r="E157" i="7"/>
  <c r="D157" i="7"/>
  <c r="C157" i="7"/>
  <c r="B157" i="7"/>
  <c r="A157" i="7"/>
  <c r="K156" i="7"/>
  <c r="J156" i="7"/>
  <c r="I156" i="7"/>
  <c r="H156" i="7"/>
  <c r="G156" i="7"/>
  <c r="F156" i="7"/>
  <c r="E156" i="7"/>
  <c r="D156" i="7"/>
  <c r="C156" i="7"/>
  <c r="B156" i="7"/>
  <c r="A156" i="7"/>
  <c r="K155" i="7"/>
  <c r="J155" i="7"/>
  <c r="I155" i="7"/>
  <c r="H155" i="7"/>
  <c r="G155" i="7"/>
  <c r="F155" i="7"/>
  <c r="E155" i="7"/>
  <c r="D155" i="7"/>
  <c r="C155" i="7"/>
  <c r="B155" i="7"/>
  <c r="A155" i="7"/>
  <c r="K154" i="7"/>
  <c r="J154" i="7"/>
  <c r="I154" i="7"/>
  <c r="H154" i="7"/>
  <c r="G154" i="7"/>
  <c r="F154" i="7"/>
  <c r="E154" i="7"/>
  <c r="D154" i="7"/>
  <c r="C154" i="7"/>
  <c r="B154" i="7"/>
  <c r="A154" i="7"/>
  <c r="K153" i="7"/>
  <c r="J153" i="7"/>
  <c r="I153" i="7"/>
  <c r="H153" i="7"/>
  <c r="G153" i="7"/>
  <c r="F153" i="7"/>
  <c r="E153" i="7"/>
  <c r="D153" i="7"/>
  <c r="C153" i="7"/>
  <c r="B153" i="7"/>
  <c r="A153" i="7"/>
  <c r="K152" i="7"/>
  <c r="J152" i="7"/>
  <c r="I152" i="7"/>
  <c r="H152" i="7"/>
  <c r="G152" i="7"/>
  <c r="F152" i="7"/>
  <c r="E152" i="7"/>
  <c r="D152" i="7"/>
  <c r="C152" i="7"/>
  <c r="B152" i="7"/>
  <c r="A152" i="7"/>
  <c r="K151" i="7"/>
  <c r="J151" i="7"/>
  <c r="I151" i="7"/>
  <c r="H151" i="7"/>
  <c r="G151" i="7"/>
  <c r="F151" i="7"/>
  <c r="E151" i="7"/>
  <c r="D151" i="7"/>
  <c r="C151" i="7"/>
  <c r="B151" i="7"/>
  <c r="A151" i="7"/>
  <c r="K150" i="7"/>
  <c r="J150" i="7"/>
  <c r="I150" i="7"/>
  <c r="H150" i="7"/>
  <c r="G150" i="7"/>
  <c r="F150" i="7"/>
  <c r="E150" i="7"/>
  <c r="D150" i="7"/>
  <c r="C150" i="7"/>
  <c r="B150" i="7"/>
  <c r="A150" i="7"/>
  <c r="K149" i="7"/>
  <c r="J149" i="7"/>
  <c r="I149" i="7"/>
  <c r="H149" i="7"/>
  <c r="G149" i="7"/>
  <c r="F149" i="7"/>
  <c r="E149" i="7"/>
  <c r="D149" i="7"/>
  <c r="C149" i="7"/>
  <c r="B149" i="7"/>
  <c r="A149" i="7"/>
  <c r="K148" i="7"/>
  <c r="J148" i="7"/>
  <c r="I148" i="7"/>
  <c r="H148" i="7"/>
  <c r="G148" i="7"/>
  <c r="F148" i="7"/>
  <c r="E148" i="7"/>
  <c r="D148" i="7"/>
  <c r="C148" i="7"/>
  <c r="B148" i="7"/>
  <c r="A148" i="7"/>
  <c r="K147" i="7"/>
  <c r="J147" i="7"/>
  <c r="I147" i="7"/>
  <c r="H147" i="7"/>
  <c r="G147" i="7"/>
  <c r="F147" i="7"/>
  <c r="E147" i="7"/>
  <c r="D147" i="7"/>
  <c r="C147" i="7"/>
  <c r="B147" i="7"/>
  <c r="A147" i="7"/>
  <c r="K146" i="7"/>
  <c r="J146" i="7"/>
  <c r="I146" i="7"/>
  <c r="H146" i="7"/>
  <c r="G146" i="7"/>
  <c r="F146" i="7"/>
  <c r="E146" i="7"/>
  <c r="D146" i="7"/>
  <c r="C146" i="7"/>
  <c r="B146" i="7"/>
  <c r="A146" i="7"/>
  <c r="K145" i="7"/>
  <c r="J145" i="7"/>
  <c r="I145" i="7"/>
  <c r="H145" i="7"/>
  <c r="G145" i="7"/>
  <c r="F145" i="7"/>
  <c r="E145" i="7"/>
  <c r="D145" i="7"/>
  <c r="C145" i="7"/>
  <c r="B145" i="7"/>
  <c r="A145" i="7"/>
  <c r="K144" i="7"/>
  <c r="J144" i="7"/>
  <c r="I144" i="7"/>
  <c r="H144" i="7"/>
  <c r="G144" i="7"/>
  <c r="F144" i="7"/>
  <c r="E144" i="7"/>
  <c r="D144" i="7"/>
  <c r="C144" i="7"/>
  <c r="B144" i="7"/>
  <c r="A144" i="7"/>
  <c r="K143" i="7"/>
  <c r="J143" i="7"/>
  <c r="I143" i="7"/>
  <c r="H143" i="7"/>
  <c r="G143" i="7"/>
  <c r="F143" i="7"/>
  <c r="E143" i="7"/>
  <c r="D143" i="7"/>
  <c r="C143" i="7"/>
  <c r="B143" i="7"/>
  <c r="A143" i="7"/>
  <c r="K142" i="7"/>
  <c r="J142" i="7"/>
  <c r="I142" i="7"/>
  <c r="H142" i="7"/>
  <c r="G142" i="7"/>
  <c r="F142" i="7"/>
  <c r="E142" i="7"/>
  <c r="D142" i="7"/>
  <c r="C142" i="7"/>
  <c r="B142" i="7"/>
  <c r="A142" i="7"/>
  <c r="K141" i="7"/>
  <c r="J141" i="7"/>
  <c r="I141" i="7"/>
  <c r="H141" i="7"/>
  <c r="G141" i="7"/>
  <c r="F141" i="7"/>
  <c r="E141" i="7"/>
  <c r="D141" i="7"/>
  <c r="C141" i="7"/>
  <c r="B141" i="7"/>
  <c r="A141" i="7"/>
  <c r="K140" i="7"/>
  <c r="J140" i="7"/>
  <c r="I140" i="7"/>
  <c r="H140" i="7"/>
  <c r="G140" i="7"/>
  <c r="F140" i="7"/>
  <c r="E140" i="7"/>
  <c r="D140" i="7"/>
  <c r="C140" i="7"/>
  <c r="B140" i="7"/>
  <c r="A140" i="7"/>
  <c r="K139" i="7"/>
  <c r="J139" i="7"/>
  <c r="I139" i="7"/>
  <c r="H139" i="7"/>
  <c r="G139" i="7"/>
  <c r="F139" i="7"/>
  <c r="E139" i="7"/>
  <c r="D139" i="7"/>
  <c r="C139" i="7"/>
  <c r="B139" i="7"/>
  <c r="A139" i="7"/>
  <c r="K138" i="7"/>
  <c r="J138" i="7"/>
  <c r="I138" i="7"/>
  <c r="H138" i="7"/>
  <c r="G138" i="7"/>
  <c r="F138" i="7"/>
  <c r="E138" i="7"/>
  <c r="D138" i="7"/>
  <c r="C138" i="7"/>
  <c r="B138" i="7"/>
  <c r="A138" i="7"/>
  <c r="K137" i="7"/>
  <c r="J137" i="7"/>
  <c r="I137" i="7"/>
  <c r="H137" i="7"/>
  <c r="G137" i="7"/>
  <c r="F137" i="7"/>
  <c r="E137" i="7"/>
  <c r="D137" i="7"/>
  <c r="C137" i="7"/>
  <c r="B137" i="7"/>
  <c r="A137" i="7"/>
  <c r="K136" i="7"/>
  <c r="J136" i="7"/>
  <c r="I136" i="7"/>
  <c r="H136" i="7"/>
  <c r="G136" i="7"/>
  <c r="F136" i="7"/>
  <c r="E136" i="7"/>
  <c r="D136" i="7"/>
  <c r="C136" i="7"/>
  <c r="B136" i="7"/>
  <c r="A136" i="7"/>
  <c r="K135" i="7"/>
  <c r="J135" i="7"/>
  <c r="I135" i="7"/>
  <c r="H135" i="7"/>
  <c r="G135" i="7"/>
  <c r="F135" i="7"/>
  <c r="E135" i="7"/>
  <c r="D135" i="7"/>
  <c r="C135" i="7"/>
  <c r="B135" i="7"/>
  <c r="A135" i="7"/>
  <c r="K134" i="7"/>
  <c r="J134" i="7"/>
  <c r="I134" i="7"/>
  <c r="H134" i="7"/>
  <c r="G134" i="7"/>
  <c r="F134" i="7"/>
  <c r="E134" i="7"/>
  <c r="D134" i="7"/>
  <c r="C134" i="7"/>
  <c r="B134" i="7"/>
  <c r="A134" i="7"/>
  <c r="K133" i="7"/>
  <c r="J133" i="7"/>
  <c r="I133" i="7"/>
  <c r="H133" i="7"/>
  <c r="G133" i="7"/>
  <c r="F133" i="7"/>
  <c r="E133" i="7"/>
  <c r="D133" i="7"/>
  <c r="C133" i="7"/>
  <c r="B133" i="7"/>
  <c r="A133" i="7"/>
  <c r="K132" i="7"/>
  <c r="J132" i="7"/>
  <c r="I132" i="7"/>
  <c r="H132" i="7"/>
  <c r="G132" i="7"/>
  <c r="F132" i="7"/>
  <c r="E132" i="7"/>
  <c r="D132" i="7"/>
  <c r="C132" i="7"/>
  <c r="B132" i="7"/>
  <c r="A132" i="7"/>
  <c r="K131" i="7"/>
  <c r="J131" i="7"/>
  <c r="I131" i="7"/>
  <c r="H131" i="7"/>
  <c r="G131" i="7"/>
  <c r="F131" i="7"/>
  <c r="E131" i="7"/>
  <c r="D131" i="7"/>
  <c r="C131" i="7"/>
  <c r="B131" i="7"/>
  <c r="A131" i="7"/>
  <c r="K130" i="7"/>
  <c r="J130" i="7"/>
  <c r="I130" i="7"/>
  <c r="H130" i="7"/>
  <c r="G130" i="7"/>
  <c r="F130" i="7"/>
  <c r="E130" i="7"/>
  <c r="D130" i="7"/>
  <c r="C130" i="7"/>
  <c r="B130" i="7"/>
  <c r="A130" i="7"/>
  <c r="K129" i="7"/>
  <c r="J129" i="7"/>
  <c r="I129" i="7"/>
  <c r="H129" i="7"/>
  <c r="G129" i="7"/>
  <c r="F129" i="7"/>
  <c r="E129" i="7"/>
  <c r="D129" i="7"/>
  <c r="C129" i="7"/>
  <c r="B129" i="7"/>
  <c r="A129" i="7"/>
  <c r="K128" i="7"/>
  <c r="J128" i="7"/>
  <c r="I128" i="7"/>
  <c r="H128" i="7"/>
  <c r="G128" i="7"/>
  <c r="F128" i="7"/>
  <c r="E128" i="7"/>
  <c r="D128" i="7"/>
  <c r="C128" i="7"/>
  <c r="B128" i="7"/>
  <c r="A128" i="7"/>
  <c r="K127" i="7"/>
  <c r="J127" i="7"/>
  <c r="I127" i="7"/>
  <c r="H127" i="7"/>
  <c r="G127" i="7"/>
  <c r="F127" i="7"/>
  <c r="E127" i="7"/>
  <c r="D127" i="7"/>
  <c r="C127" i="7"/>
  <c r="B127" i="7"/>
  <c r="A127" i="7"/>
  <c r="K126" i="7"/>
  <c r="J126" i="7"/>
  <c r="I126" i="7"/>
  <c r="H126" i="7"/>
  <c r="G126" i="7"/>
  <c r="F126" i="7"/>
  <c r="E126" i="7"/>
  <c r="D126" i="7"/>
  <c r="C126" i="7"/>
  <c r="B126" i="7"/>
  <c r="A126" i="7"/>
  <c r="K125" i="7"/>
  <c r="J125" i="7"/>
  <c r="I125" i="7"/>
  <c r="H125" i="7"/>
  <c r="G125" i="7"/>
  <c r="F125" i="7"/>
  <c r="E125" i="7"/>
  <c r="D125" i="7"/>
  <c r="C125" i="7"/>
  <c r="B125" i="7"/>
  <c r="A125" i="7"/>
  <c r="K124" i="7"/>
  <c r="J124" i="7"/>
  <c r="I124" i="7"/>
  <c r="H124" i="7"/>
  <c r="G124" i="7"/>
  <c r="F124" i="7"/>
  <c r="E124" i="7"/>
  <c r="D124" i="7"/>
  <c r="C124" i="7"/>
  <c r="B124" i="7"/>
  <c r="A124" i="7"/>
  <c r="K123" i="7"/>
  <c r="J123" i="7"/>
  <c r="I123" i="7"/>
  <c r="H123" i="7"/>
  <c r="G123" i="7"/>
  <c r="F123" i="7"/>
  <c r="E123" i="7"/>
  <c r="D123" i="7"/>
  <c r="C123" i="7"/>
  <c r="B123" i="7"/>
  <c r="A123" i="7"/>
  <c r="K122" i="7"/>
  <c r="J122" i="7"/>
  <c r="I122" i="7"/>
  <c r="H122" i="7"/>
  <c r="G122" i="7"/>
  <c r="F122" i="7"/>
  <c r="E122" i="7"/>
  <c r="D122" i="7"/>
  <c r="C122" i="7"/>
  <c r="B122" i="7"/>
  <c r="A122" i="7"/>
  <c r="K121" i="7"/>
  <c r="J121" i="7"/>
  <c r="I121" i="7"/>
  <c r="H121" i="7"/>
  <c r="G121" i="7"/>
  <c r="F121" i="7"/>
  <c r="E121" i="7"/>
  <c r="D121" i="7"/>
  <c r="C121" i="7"/>
  <c r="B121" i="7"/>
  <c r="A121" i="7"/>
  <c r="K120" i="7"/>
  <c r="J120" i="7"/>
  <c r="I120" i="7"/>
  <c r="H120" i="7"/>
  <c r="G120" i="7"/>
  <c r="F120" i="7"/>
  <c r="E120" i="7"/>
  <c r="D120" i="7"/>
  <c r="C120" i="7"/>
  <c r="B120" i="7"/>
  <c r="A120" i="7"/>
  <c r="K119" i="7"/>
  <c r="J119" i="7"/>
  <c r="I119" i="7"/>
  <c r="H119" i="7"/>
  <c r="G119" i="7"/>
  <c r="F119" i="7"/>
  <c r="E119" i="7"/>
  <c r="D119" i="7"/>
  <c r="C119" i="7"/>
  <c r="B119" i="7"/>
  <c r="A119" i="7"/>
  <c r="K118" i="7"/>
  <c r="J118" i="7"/>
  <c r="I118" i="7"/>
  <c r="H118" i="7"/>
  <c r="G118" i="7"/>
  <c r="F118" i="7"/>
  <c r="E118" i="7"/>
  <c r="D118" i="7"/>
  <c r="C118" i="7"/>
  <c r="B118" i="7"/>
  <c r="A118" i="7"/>
  <c r="K117" i="7"/>
  <c r="J117" i="7"/>
  <c r="I117" i="7"/>
  <c r="H117" i="7"/>
  <c r="G117" i="7"/>
  <c r="F117" i="7"/>
  <c r="E117" i="7"/>
  <c r="D117" i="7"/>
  <c r="C117" i="7"/>
  <c r="B117" i="7"/>
  <c r="A117" i="7"/>
  <c r="K116" i="7"/>
  <c r="J116" i="7"/>
  <c r="I116" i="7"/>
  <c r="H116" i="7"/>
  <c r="G116" i="7"/>
  <c r="F116" i="7"/>
  <c r="E116" i="7"/>
  <c r="D116" i="7"/>
  <c r="C116" i="7"/>
  <c r="B116" i="7"/>
  <c r="A116" i="7"/>
  <c r="K115" i="7"/>
  <c r="J115" i="7"/>
  <c r="I115" i="7"/>
  <c r="H115" i="7"/>
  <c r="G115" i="7"/>
  <c r="F115" i="7"/>
  <c r="E115" i="7"/>
  <c r="D115" i="7"/>
  <c r="C115" i="7"/>
  <c r="B115" i="7"/>
  <c r="A115" i="7"/>
  <c r="K114" i="7"/>
  <c r="J114" i="7"/>
  <c r="I114" i="7"/>
  <c r="H114" i="7"/>
  <c r="G114" i="7"/>
  <c r="F114" i="7"/>
  <c r="E114" i="7"/>
  <c r="D114" i="7"/>
  <c r="C114" i="7"/>
  <c r="B114" i="7"/>
  <c r="A114" i="7"/>
  <c r="K113" i="7"/>
  <c r="J113" i="7"/>
  <c r="I113" i="7"/>
  <c r="H113" i="7"/>
  <c r="G113" i="7"/>
  <c r="F113" i="7"/>
  <c r="E113" i="7"/>
  <c r="D113" i="7"/>
  <c r="C113" i="7"/>
  <c r="B113" i="7"/>
  <c r="A113" i="7"/>
  <c r="K112" i="7"/>
  <c r="J112" i="7"/>
  <c r="I112" i="7"/>
  <c r="H112" i="7"/>
  <c r="G112" i="7"/>
  <c r="F112" i="7"/>
  <c r="E112" i="7"/>
  <c r="D112" i="7"/>
  <c r="C112" i="7"/>
  <c r="B112" i="7"/>
  <c r="A112" i="7"/>
  <c r="K111" i="7"/>
  <c r="J111" i="7"/>
  <c r="I111" i="7"/>
  <c r="H111" i="7"/>
  <c r="G111" i="7"/>
  <c r="F111" i="7"/>
  <c r="E111" i="7"/>
  <c r="D111" i="7"/>
  <c r="C111" i="7"/>
  <c r="B111" i="7"/>
  <c r="A111" i="7"/>
  <c r="K110" i="7"/>
  <c r="J110" i="7"/>
  <c r="I110" i="7"/>
  <c r="H110" i="7"/>
  <c r="G110" i="7"/>
  <c r="F110" i="7"/>
  <c r="E110" i="7"/>
  <c r="D110" i="7"/>
  <c r="C110" i="7"/>
  <c r="B110" i="7"/>
  <c r="A110" i="7"/>
  <c r="K109" i="7"/>
  <c r="J109" i="7"/>
  <c r="I109" i="7"/>
  <c r="H109" i="7"/>
  <c r="G109" i="7"/>
  <c r="F109" i="7"/>
  <c r="E109" i="7"/>
  <c r="D109" i="7"/>
  <c r="C109" i="7"/>
  <c r="B109" i="7"/>
  <c r="A109" i="7"/>
  <c r="K108" i="7"/>
  <c r="J108" i="7"/>
  <c r="I108" i="7"/>
  <c r="H108" i="7"/>
  <c r="G108" i="7"/>
  <c r="F108" i="7"/>
  <c r="E108" i="7"/>
  <c r="D108" i="7"/>
  <c r="C108" i="7"/>
  <c r="B108" i="7"/>
  <c r="A108" i="7"/>
  <c r="K107" i="7"/>
  <c r="J107" i="7"/>
  <c r="I107" i="7"/>
  <c r="H107" i="7"/>
  <c r="G107" i="7"/>
  <c r="F107" i="7"/>
  <c r="E107" i="7"/>
  <c r="D107" i="7"/>
  <c r="C107" i="7"/>
  <c r="B107" i="7"/>
  <c r="A107" i="7"/>
  <c r="K106" i="7"/>
  <c r="J106" i="7"/>
  <c r="I106" i="7"/>
  <c r="H106" i="7"/>
  <c r="G106" i="7"/>
  <c r="F106" i="7"/>
  <c r="E106" i="7"/>
  <c r="D106" i="7"/>
  <c r="C106" i="7"/>
  <c r="B106" i="7"/>
  <c r="A106" i="7"/>
  <c r="K105" i="7"/>
  <c r="J105" i="7"/>
  <c r="I105" i="7"/>
  <c r="H105" i="7"/>
  <c r="G105" i="7"/>
  <c r="F105" i="7"/>
  <c r="E105" i="7"/>
  <c r="D105" i="7"/>
  <c r="C105" i="7"/>
  <c r="B105" i="7"/>
  <c r="A105" i="7"/>
  <c r="K104" i="7"/>
  <c r="J104" i="7"/>
  <c r="I104" i="7"/>
  <c r="H104" i="7"/>
  <c r="G104" i="7"/>
  <c r="F104" i="7"/>
  <c r="E104" i="7"/>
  <c r="D104" i="7"/>
  <c r="C104" i="7"/>
  <c r="B104" i="7"/>
  <c r="A104" i="7"/>
  <c r="K103" i="7"/>
  <c r="J103" i="7"/>
  <c r="I103" i="7"/>
  <c r="H103" i="7"/>
  <c r="G103" i="7"/>
  <c r="F103" i="7"/>
  <c r="E103" i="7"/>
  <c r="D103" i="7"/>
  <c r="C103" i="7"/>
  <c r="B103" i="7"/>
  <c r="A103" i="7"/>
  <c r="K102" i="7"/>
  <c r="J102" i="7"/>
  <c r="I102" i="7"/>
  <c r="H102" i="7"/>
  <c r="G102" i="7"/>
  <c r="F102" i="7"/>
  <c r="E102" i="7"/>
  <c r="D102" i="7"/>
  <c r="C102" i="7"/>
  <c r="B102" i="7"/>
  <c r="A102" i="7"/>
  <c r="K101" i="7"/>
  <c r="J101" i="7"/>
  <c r="I101" i="7"/>
  <c r="H101" i="7"/>
  <c r="G101" i="7"/>
  <c r="F101" i="7"/>
  <c r="E101" i="7"/>
  <c r="D101" i="7"/>
  <c r="C101" i="7"/>
  <c r="B101" i="7"/>
  <c r="A101" i="7"/>
  <c r="K100" i="7"/>
  <c r="J100" i="7"/>
  <c r="I100" i="7"/>
  <c r="H100" i="7"/>
  <c r="G100" i="7"/>
  <c r="F100" i="7"/>
  <c r="E100" i="7"/>
  <c r="D100" i="7"/>
  <c r="C100" i="7"/>
  <c r="B100" i="7"/>
  <c r="A100" i="7"/>
  <c r="K99" i="7"/>
  <c r="J99" i="7"/>
  <c r="I99" i="7"/>
  <c r="H99" i="7"/>
  <c r="G99" i="7"/>
  <c r="F99" i="7"/>
  <c r="E99" i="7"/>
  <c r="D99" i="7"/>
  <c r="C99" i="7"/>
  <c r="B99" i="7"/>
  <c r="A99" i="7"/>
  <c r="K98" i="7"/>
  <c r="J98" i="7"/>
  <c r="I98" i="7"/>
  <c r="H98" i="7"/>
  <c r="G98" i="7"/>
  <c r="F98" i="7"/>
  <c r="E98" i="7"/>
  <c r="D98" i="7"/>
  <c r="C98" i="7"/>
  <c r="B98" i="7"/>
  <c r="A98" i="7"/>
  <c r="K97" i="7"/>
  <c r="J97" i="7"/>
  <c r="I97" i="7"/>
  <c r="H97" i="7"/>
  <c r="G97" i="7"/>
  <c r="F97" i="7"/>
  <c r="E97" i="7"/>
  <c r="D97" i="7"/>
  <c r="C97" i="7"/>
  <c r="B97" i="7"/>
  <c r="A97" i="7"/>
  <c r="K96" i="7"/>
  <c r="J96" i="7"/>
  <c r="I96" i="7"/>
  <c r="H96" i="7"/>
  <c r="G96" i="7"/>
  <c r="F96" i="7"/>
  <c r="E96" i="7"/>
  <c r="D96" i="7"/>
  <c r="C96" i="7"/>
  <c r="B96" i="7"/>
  <c r="A96" i="7"/>
  <c r="K95" i="7"/>
  <c r="J95" i="7"/>
  <c r="I95" i="7"/>
  <c r="H95" i="7"/>
  <c r="G95" i="7"/>
  <c r="F95" i="7"/>
  <c r="E95" i="7"/>
  <c r="D95" i="7"/>
  <c r="C95" i="7"/>
  <c r="B95" i="7"/>
  <c r="A95" i="7"/>
  <c r="K94" i="7"/>
  <c r="J94" i="7"/>
  <c r="I94" i="7"/>
  <c r="H94" i="7"/>
  <c r="G94" i="7"/>
  <c r="F94" i="7"/>
  <c r="E94" i="7"/>
  <c r="D94" i="7"/>
  <c r="C94" i="7"/>
  <c r="B94" i="7"/>
  <c r="A94" i="7"/>
  <c r="K93" i="7"/>
  <c r="J93" i="7"/>
  <c r="I93" i="7"/>
  <c r="H93" i="7"/>
  <c r="G93" i="7"/>
  <c r="F93" i="7"/>
  <c r="E93" i="7"/>
  <c r="D93" i="7"/>
  <c r="C93" i="7"/>
  <c r="B93" i="7"/>
  <c r="A93" i="7"/>
  <c r="K92" i="7"/>
  <c r="J92" i="7"/>
  <c r="I92" i="7"/>
  <c r="H92" i="7"/>
  <c r="G92" i="7"/>
  <c r="F92" i="7"/>
  <c r="E92" i="7"/>
  <c r="D92" i="7"/>
  <c r="C92" i="7"/>
  <c r="B92" i="7"/>
  <c r="A92" i="7"/>
  <c r="K91" i="7"/>
  <c r="J91" i="7"/>
  <c r="I91" i="7"/>
  <c r="H91" i="7"/>
  <c r="G91" i="7"/>
  <c r="F91" i="7"/>
  <c r="E91" i="7"/>
  <c r="D91" i="7"/>
  <c r="C91" i="7"/>
  <c r="B91" i="7"/>
  <c r="A91" i="7"/>
  <c r="K90" i="7"/>
  <c r="J90" i="7"/>
  <c r="I90" i="7"/>
  <c r="H90" i="7"/>
  <c r="G90" i="7"/>
  <c r="F90" i="7"/>
  <c r="E90" i="7"/>
  <c r="D90" i="7"/>
  <c r="C90" i="7"/>
  <c r="B90" i="7"/>
  <c r="A90" i="7"/>
  <c r="K89" i="7"/>
  <c r="J89" i="7"/>
  <c r="I89" i="7"/>
  <c r="H89" i="7"/>
  <c r="G89" i="7"/>
  <c r="F89" i="7"/>
  <c r="E89" i="7"/>
  <c r="D89" i="7"/>
  <c r="C89" i="7"/>
  <c r="B89" i="7"/>
  <c r="A89" i="7"/>
  <c r="K88" i="7"/>
  <c r="J88" i="7"/>
  <c r="I88" i="7"/>
  <c r="H88" i="7"/>
  <c r="G88" i="7"/>
  <c r="F88" i="7"/>
  <c r="E88" i="7"/>
  <c r="D88" i="7"/>
  <c r="C88" i="7"/>
  <c r="B88" i="7"/>
  <c r="A88" i="7"/>
  <c r="K87" i="7"/>
  <c r="J87" i="7"/>
  <c r="I87" i="7"/>
  <c r="H87" i="7"/>
  <c r="G87" i="7"/>
  <c r="F87" i="7"/>
  <c r="E87" i="7"/>
  <c r="D87" i="7"/>
  <c r="C87" i="7"/>
  <c r="B87" i="7"/>
  <c r="A87" i="7"/>
  <c r="K86" i="7"/>
  <c r="J86" i="7"/>
  <c r="I86" i="7"/>
  <c r="H86" i="7"/>
  <c r="G86" i="7"/>
  <c r="F86" i="7"/>
  <c r="E86" i="7"/>
  <c r="D86" i="7"/>
  <c r="C86" i="7"/>
  <c r="B86" i="7"/>
  <c r="A86" i="7"/>
  <c r="K85" i="7"/>
  <c r="J85" i="7"/>
  <c r="I85" i="7"/>
  <c r="H85" i="7"/>
  <c r="G85" i="7"/>
  <c r="F85" i="7"/>
  <c r="E85" i="7"/>
  <c r="D85" i="7"/>
  <c r="C85" i="7"/>
  <c r="B85" i="7"/>
  <c r="A85" i="7"/>
  <c r="K84" i="7"/>
  <c r="J84" i="7"/>
  <c r="I84" i="7"/>
  <c r="H84" i="7"/>
  <c r="G84" i="7"/>
  <c r="F84" i="7"/>
  <c r="E84" i="7"/>
  <c r="D84" i="7"/>
  <c r="C84" i="7"/>
  <c r="B84" i="7"/>
  <c r="A84" i="7"/>
  <c r="K83" i="7"/>
  <c r="J83" i="7"/>
  <c r="I83" i="7"/>
  <c r="H83" i="7"/>
  <c r="G83" i="7"/>
  <c r="F83" i="7"/>
  <c r="E83" i="7"/>
  <c r="D83" i="7"/>
  <c r="C83" i="7"/>
  <c r="B83" i="7"/>
  <c r="A83" i="7"/>
  <c r="K82" i="7"/>
  <c r="J82" i="7"/>
  <c r="I82" i="7"/>
  <c r="H82" i="7"/>
  <c r="G82" i="7"/>
  <c r="F82" i="7"/>
  <c r="E82" i="7"/>
  <c r="D82" i="7"/>
  <c r="C82" i="7"/>
  <c r="B82" i="7"/>
  <c r="A82" i="7"/>
  <c r="K81" i="7"/>
  <c r="J81" i="7"/>
  <c r="I81" i="7"/>
  <c r="H81" i="7"/>
  <c r="G81" i="7"/>
  <c r="F81" i="7"/>
  <c r="E81" i="7"/>
  <c r="D81" i="7"/>
  <c r="C81" i="7"/>
  <c r="B81" i="7"/>
  <c r="A81" i="7"/>
  <c r="K80" i="7"/>
  <c r="J80" i="7"/>
  <c r="I80" i="7"/>
  <c r="H80" i="7"/>
  <c r="G80" i="7"/>
  <c r="F80" i="7"/>
  <c r="E80" i="7"/>
  <c r="D80" i="7"/>
  <c r="C80" i="7"/>
  <c r="B80" i="7"/>
  <c r="A80" i="7"/>
  <c r="K79" i="7"/>
  <c r="J79" i="7"/>
  <c r="I79" i="7"/>
  <c r="H79" i="7"/>
  <c r="G79" i="7"/>
  <c r="F79" i="7"/>
  <c r="E79" i="7"/>
  <c r="D79" i="7"/>
  <c r="C79" i="7"/>
  <c r="B79" i="7"/>
  <c r="A79" i="7"/>
  <c r="K78" i="7"/>
  <c r="J78" i="7"/>
  <c r="I78" i="7"/>
  <c r="H78" i="7"/>
  <c r="G78" i="7"/>
  <c r="F78" i="7"/>
  <c r="E78" i="7"/>
  <c r="D78" i="7"/>
  <c r="C78" i="7"/>
  <c r="B78" i="7"/>
  <c r="A78" i="7"/>
  <c r="K77" i="7"/>
  <c r="J77" i="7"/>
  <c r="I77" i="7"/>
  <c r="H77" i="7"/>
  <c r="G77" i="7"/>
  <c r="F77" i="7"/>
  <c r="E77" i="7"/>
  <c r="D77" i="7"/>
  <c r="C77" i="7"/>
  <c r="B77" i="7"/>
  <c r="A77" i="7"/>
  <c r="K76" i="7"/>
  <c r="J76" i="7"/>
  <c r="I76" i="7"/>
  <c r="H76" i="7"/>
  <c r="G76" i="7"/>
  <c r="F76" i="7"/>
  <c r="E76" i="7"/>
  <c r="D76" i="7"/>
  <c r="C76" i="7"/>
  <c r="B76" i="7"/>
  <c r="A76" i="7"/>
  <c r="K75" i="7"/>
  <c r="J75" i="7"/>
  <c r="I75" i="7"/>
  <c r="H75" i="7"/>
  <c r="G75" i="7"/>
  <c r="F75" i="7"/>
  <c r="E75" i="7"/>
  <c r="D75" i="7"/>
  <c r="C75" i="7"/>
  <c r="B75" i="7"/>
  <c r="A75" i="7"/>
  <c r="K74" i="7"/>
  <c r="J74" i="7"/>
  <c r="I74" i="7"/>
  <c r="H74" i="7"/>
  <c r="G74" i="7"/>
  <c r="F74" i="7"/>
  <c r="E74" i="7"/>
  <c r="D74" i="7"/>
  <c r="C74" i="7"/>
  <c r="B74" i="7"/>
  <c r="A74" i="7"/>
  <c r="K73" i="7"/>
  <c r="J73" i="7"/>
  <c r="I73" i="7"/>
  <c r="H73" i="7"/>
  <c r="G73" i="7"/>
  <c r="F73" i="7"/>
  <c r="E73" i="7"/>
  <c r="D73" i="7"/>
  <c r="C73" i="7"/>
  <c r="B73" i="7"/>
  <c r="A73" i="7"/>
  <c r="K72" i="7"/>
  <c r="J72" i="7"/>
  <c r="I72" i="7"/>
  <c r="H72" i="7"/>
  <c r="G72" i="7"/>
  <c r="F72" i="7"/>
  <c r="E72" i="7"/>
  <c r="D72" i="7"/>
  <c r="C72" i="7"/>
  <c r="B72" i="7"/>
  <c r="A72" i="7"/>
  <c r="K71" i="7"/>
  <c r="J71" i="7"/>
  <c r="I71" i="7"/>
  <c r="H71" i="7"/>
  <c r="G71" i="7"/>
  <c r="F71" i="7"/>
  <c r="E71" i="7"/>
  <c r="D71" i="7"/>
  <c r="C71" i="7"/>
  <c r="B71" i="7"/>
  <c r="A71" i="7"/>
  <c r="K70" i="7"/>
  <c r="J70" i="7"/>
  <c r="I70" i="7"/>
  <c r="H70" i="7"/>
  <c r="G70" i="7"/>
  <c r="F70" i="7"/>
  <c r="E70" i="7"/>
  <c r="D70" i="7"/>
  <c r="C70" i="7"/>
  <c r="B70" i="7"/>
  <c r="A70" i="7"/>
  <c r="K69" i="7"/>
  <c r="J69" i="7"/>
  <c r="I69" i="7"/>
  <c r="H69" i="7"/>
  <c r="G69" i="7"/>
  <c r="F69" i="7"/>
  <c r="E69" i="7"/>
  <c r="D69" i="7"/>
  <c r="C69" i="7"/>
  <c r="B69" i="7"/>
  <c r="A69" i="7"/>
  <c r="K68" i="7"/>
  <c r="J68" i="7"/>
  <c r="I68" i="7"/>
  <c r="H68" i="7"/>
  <c r="G68" i="7"/>
  <c r="F68" i="7"/>
  <c r="E68" i="7"/>
  <c r="D68" i="7"/>
  <c r="C68" i="7"/>
  <c r="B68" i="7"/>
  <c r="A68" i="7"/>
  <c r="K67" i="7"/>
  <c r="J67" i="7"/>
  <c r="I67" i="7"/>
  <c r="H67" i="7"/>
  <c r="G67" i="7"/>
  <c r="F67" i="7"/>
  <c r="E67" i="7"/>
  <c r="D67" i="7"/>
  <c r="C67" i="7"/>
  <c r="B67" i="7"/>
  <c r="A67" i="7"/>
  <c r="K66" i="7"/>
  <c r="J66" i="7"/>
  <c r="I66" i="7"/>
  <c r="H66" i="7"/>
  <c r="G66" i="7"/>
  <c r="F66" i="7"/>
  <c r="E66" i="7"/>
  <c r="D66" i="7"/>
  <c r="C66" i="7"/>
  <c r="B66" i="7"/>
  <c r="A66" i="7"/>
  <c r="K65" i="7"/>
  <c r="J65" i="7"/>
  <c r="I65" i="7"/>
  <c r="H65" i="7"/>
  <c r="G65" i="7"/>
  <c r="F65" i="7"/>
  <c r="E65" i="7"/>
  <c r="D65" i="7"/>
  <c r="C65" i="7"/>
  <c r="B65" i="7"/>
  <c r="A65" i="7"/>
  <c r="K64" i="7"/>
  <c r="J64" i="7"/>
  <c r="I64" i="7"/>
  <c r="H64" i="7"/>
  <c r="G64" i="7"/>
  <c r="F64" i="7"/>
  <c r="E64" i="7"/>
  <c r="D64" i="7"/>
  <c r="C64" i="7"/>
  <c r="B64" i="7"/>
  <c r="A64" i="7"/>
  <c r="K63" i="7"/>
  <c r="J63" i="7"/>
  <c r="I63" i="7"/>
  <c r="H63" i="7"/>
  <c r="G63" i="7"/>
  <c r="F63" i="7"/>
  <c r="E63" i="7"/>
  <c r="D63" i="7"/>
  <c r="C63" i="7"/>
  <c r="B63" i="7"/>
  <c r="A63" i="7"/>
  <c r="K62" i="7"/>
  <c r="J62" i="7"/>
  <c r="I62" i="7"/>
  <c r="H62" i="7"/>
  <c r="G62" i="7"/>
  <c r="F62" i="7"/>
  <c r="E62" i="7"/>
  <c r="D62" i="7"/>
  <c r="C62" i="7"/>
  <c r="B62" i="7"/>
  <c r="A62" i="7"/>
  <c r="K61" i="7"/>
  <c r="J61" i="7"/>
  <c r="I61" i="7"/>
  <c r="H61" i="7"/>
  <c r="G61" i="7"/>
  <c r="F61" i="7"/>
  <c r="E61" i="7"/>
  <c r="D61" i="7"/>
  <c r="C61" i="7"/>
  <c r="B61" i="7"/>
  <c r="A61" i="7"/>
  <c r="K60" i="7"/>
  <c r="J60" i="7"/>
  <c r="I60" i="7"/>
  <c r="H60" i="7"/>
  <c r="G60" i="7"/>
  <c r="F60" i="7"/>
  <c r="E60" i="7"/>
  <c r="D60" i="7"/>
  <c r="C60" i="7"/>
  <c r="B60" i="7"/>
  <c r="A60" i="7"/>
  <c r="K59" i="7"/>
  <c r="J59" i="7"/>
  <c r="I59" i="7"/>
  <c r="H59" i="7"/>
  <c r="G59" i="7"/>
  <c r="F59" i="7"/>
  <c r="E59" i="7"/>
  <c r="D59" i="7"/>
  <c r="C59" i="7"/>
  <c r="B59" i="7"/>
  <c r="A59" i="7"/>
  <c r="K58" i="7"/>
  <c r="J58" i="7"/>
  <c r="I58" i="7"/>
  <c r="H58" i="7"/>
  <c r="G58" i="7"/>
  <c r="F58" i="7"/>
  <c r="E58" i="7"/>
  <c r="D58" i="7"/>
  <c r="C58" i="7"/>
  <c r="B58" i="7"/>
  <c r="A58" i="7"/>
  <c r="K57" i="7"/>
  <c r="J57" i="7"/>
  <c r="I57" i="7"/>
  <c r="H57" i="7"/>
  <c r="G57" i="7"/>
  <c r="F57" i="7"/>
  <c r="E57" i="7"/>
  <c r="D57" i="7"/>
  <c r="C57" i="7"/>
  <c r="B57" i="7"/>
  <c r="A57" i="7"/>
  <c r="K56" i="7"/>
  <c r="J56" i="7"/>
  <c r="I56" i="7"/>
  <c r="H56" i="7"/>
  <c r="G56" i="7"/>
  <c r="F56" i="7"/>
  <c r="E56" i="7"/>
  <c r="D56" i="7"/>
  <c r="C56" i="7"/>
  <c r="B56" i="7"/>
  <c r="A56" i="7"/>
  <c r="K55" i="7"/>
  <c r="J55" i="7"/>
  <c r="I55" i="7"/>
  <c r="H55" i="7"/>
  <c r="G55" i="7"/>
  <c r="F55" i="7"/>
  <c r="E55" i="7"/>
  <c r="D55" i="7"/>
  <c r="C55" i="7"/>
  <c r="B55" i="7"/>
  <c r="A55" i="7"/>
  <c r="K54" i="7"/>
  <c r="J54" i="7"/>
  <c r="I54" i="7"/>
  <c r="H54" i="7"/>
  <c r="G54" i="7"/>
  <c r="F54" i="7"/>
  <c r="E54" i="7"/>
  <c r="D54" i="7"/>
  <c r="C54" i="7"/>
  <c r="B54" i="7"/>
  <c r="A54" i="7"/>
  <c r="K53" i="7"/>
  <c r="J53" i="7"/>
  <c r="I53" i="7"/>
  <c r="H53" i="7"/>
  <c r="G53" i="7"/>
  <c r="F53" i="7"/>
  <c r="E53" i="7"/>
  <c r="D53" i="7"/>
  <c r="C53" i="7"/>
  <c r="B53" i="7"/>
  <c r="A53" i="7"/>
  <c r="K52" i="7"/>
  <c r="J52" i="7"/>
  <c r="I52" i="7"/>
  <c r="H52" i="7"/>
  <c r="G52" i="7"/>
  <c r="F52" i="7"/>
  <c r="E52" i="7"/>
  <c r="D52" i="7"/>
  <c r="C52" i="7"/>
  <c r="B52" i="7"/>
  <c r="A52" i="7"/>
  <c r="K51" i="7"/>
  <c r="J51" i="7"/>
  <c r="I51" i="7"/>
  <c r="H51" i="7"/>
  <c r="G51" i="7"/>
  <c r="F51" i="7"/>
  <c r="E51" i="7"/>
  <c r="D51" i="7"/>
  <c r="C51" i="7"/>
  <c r="B51" i="7"/>
  <c r="A51" i="7"/>
  <c r="K50" i="7"/>
  <c r="J50" i="7"/>
  <c r="I50" i="7"/>
  <c r="H50" i="7"/>
  <c r="G50" i="7"/>
  <c r="F50" i="7"/>
  <c r="E50" i="7"/>
  <c r="D50" i="7"/>
  <c r="C50" i="7"/>
  <c r="B50" i="7"/>
  <c r="A50" i="7"/>
  <c r="K49" i="7"/>
  <c r="J49" i="7"/>
  <c r="I49" i="7"/>
  <c r="H49" i="7"/>
  <c r="G49" i="7"/>
  <c r="F49" i="7"/>
  <c r="E49" i="7"/>
  <c r="D49" i="7"/>
  <c r="C49" i="7"/>
  <c r="B49" i="7"/>
  <c r="A49" i="7"/>
  <c r="K48" i="7"/>
  <c r="J48" i="7"/>
  <c r="I48" i="7"/>
  <c r="H48" i="7"/>
  <c r="G48" i="7"/>
  <c r="F48" i="7"/>
  <c r="E48" i="7"/>
  <c r="D48" i="7"/>
  <c r="C48" i="7"/>
  <c r="B48" i="7"/>
  <c r="A48" i="7"/>
  <c r="K47" i="7"/>
  <c r="J47" i="7"/>
  <c r="I47" i="7"/>
  <c r="H47" i="7"/>
  <c r="G47" i="7"/>
  <c r="F47" i="7"/>
  <c r="E47" i="7"/>
  <c r="D47" i="7"/>
  <c r="C47" i="7"/>
  <c r="B47" i="7"/>
  <c r="A47" i="7"/>
  <c r="K46" i="7"/>
  <c r="J46" i="7"/>
  <c r="I46" i="7"/>
  <c r="H46" i="7"/>
  <c r="G46" i="7"/>
  <c r="F46" i="7"/>
  <c r="E46" i="7"/>
  <c r="D46" i="7"/>
  <c r="C46" i="7"/>
  <c r="B46" i="7"/>
  <c r="A46" i="7"/>
  <c r="K45" i="7"/>
  <c r="J45" i="7"/>
  <c r="I45" i="7"/>
  <c r="H45" i="7"/>
  <c r="G45" i="7"/>
  <c r="F45" i="7"/>
  <c r="E45" i="7"/>
  <c r="D45" i="7"/>
  <c r="C45" i="7"/>
  <c r="B45" i="7"/>
  <c r="A45" i="7"/>
  <c r="K44" i="7"/>
  <c r="J44" i="7"/>
  <c r="I44" i="7"/>
  <c r="H44" i="7"/>
  <c r="G44" i="7"/>
  <c r="F44" i="7"/>
  <c r="E44" i="7"/>
  <c r="D44" i="7"/>
  <c r="C44" i="7"/>
  <c r="B44" i="7"/>
  <c r="A44" i="7"/>
  <c r="K43" i="7"/>
  <c r="J43" i="7"/>
  <c r="I43" i="7"/>
  <c r="H43" i="7"/>
  <c r="G43" i="7"/>
  <c r="F43" i="7"/>
  <c r="E43" i="7"/>
  <c r="D43" i="7"/>
  <c r="C43" i="7"/>
  <c r="B43" i="7"/>
  <c r="A43" i="7"/>
  <c r="K42" i="7"/>
  <c r="J42" i="7"/>
  <c r="I42" i="7"/>
  <c r="H42" i="7"/>
  <c r="G42" i="7"/>
  <c r="F42" i="7"/>
  <c r="E42" i="7"/>
  <c r="D42" i="7"/>
  <c r="C42" i="7"/>
  <c r="B42" i="7"/>
  <c r="A42" i="7"/>
  <c r="K41" i="7"/>
  <c r="J41" i="7"/>
  <c r="I41" i="7"/>
  <c r="H41" i="7"/>
  <c r="G41" i="7"/>
  <c r="F41" i="7"/>
  <c r="E41" i="7"/>
  <c r="D41" i="7"/>
  <c r="C41" i="7"/>
  <c r="B41" i="7"/>
  <c r="A41" i="7"/>
  <c r="K40" i="7"/>
  <c r="J40" i="7"/>
  <c r="I40" i="7"/>
  <c r="H40" i="7"/>
  <c r="G40" i="7"/>
  <c r="F40" i="7"/>
  <c r="E40" i="7"/>
  <c r="D40" i="7"/>
  <c r="C40" i="7"/>
  <c r="B40" i="7"/>
  <c r="A40" i="7"/>
  <c r="K39" i="7"/>
  <c r="J39" i="7"/>
  <c r="I39" i="7"/>
  <c r="H39" i="7"/>
  <c r="G39" i="7"/>
  <c r="F39" i="7"/>
  <c r="E39" i="7"/>
  <c r="D39" i="7"/>
  <c r="C39" i="7"/>
  <c r="B39" i="7"/>
  <c r="A39" i="7"/>
  <c r="K38" i="7"/>
  <c r="J38" i="7"/>
  <c r="I38" i="7"/>
  <c r="H38" i="7"/>
  <c r="G38" i="7"/>
  <c r="F38" i="7"/>
  <c r="E38" i="7"/>
  <c r="D38" i="7"/>
  <c r="C38" i="7"/>
  <c r="B38" i="7"/>
  <c r="A38" i="7"/>
  <c r="K37" i="7"/>
  <c r="J37" i="7"/>
  <c r="I37" i="7"/>
  <c r="H37" i="7"/>
  <c r="G37" i="7"/>
  <c r="F37" i="7"/>
  <c r="E37" i="7"/>
  <c r="D37" i="7"/>
  <c r="C37" i="7"/>
  <c r="B37" i="7"/>
  <c r="A37" i="7"/>
  <c r="K36" i="7"/>
  <c r="J36" i="7"/>
  <c r="I36" i="7"/>
  <c r="H36" i="7"/>
  <c r="G36" i="7"/>
  <c r="F36" i="7"/>
  <c r="E36" i="7"/>
  <c r="D36" i="7"/>
  <c r="C36" i="7"/>
  <c r="B36" i="7"/>
  <c r="A36" i="7"/>
  <c r="K35" i="7"/>
  <c r="J35" i="7"/>
  <c r="I35" i="7"/>
  <c r="H35" i="7"/>
  <c r="G35" i="7"/>
  <c r="F35" i="7"/>
  <c r="E35" i="7"/>
  <c r="D35" i="7"/>
  <c r="C35" i="7"/>
  <c r="B35" i="7"/>
  <c r="A35" i="7"/>
  <c r="K34" i="7"/>
  <c r="J34" i="7"/>
  <c r="I34" i="7"/>
  <c r="H34" i="7"/>
  <c r="G34" i="7"/>
  <c r="F34" i="7"/>
  <c r="E34" i="7"/>
  <c r="D34" i="7"/>
  <c r="C34" i="7"/>
  <c r="B34" i="7"/>
  <c r="A34" i="7"/>
  <c r="K33" i="7"/>
  <c r="J33" i="7"/>
  <c r="I33" i="7"/>
  <c r="H33" i="7"/>
  <c r="G33" i="7"/>
  <c r="F33" i="7"/>
  <c r="E33" i="7"/>
  <c r="D33" i="7"/>
  <c r="C33" i="7"/>
  <c r="B33" i="7"/>
  <c r="A33" i="7"/>
  <c r="K32" i="7"/>
  <c r="J32" i="7"/>
  <c r="I32" i="7"/>
  <c r="H32" i="7"/>
  <c r="G32" i="7"/>
  <c r="F32" i="7"/>
  <c r="E32" i="7"/>
  <c r="D32" i="7"/>
  <c r="C32" i="7"/>
  <c r="B32" i="7"/>
  <c r="A32" i="7"/>
  <c r="K31" i="7"/>
  <c r="J31" i="7"/>
  <c r="I31" i="7"/>
  <c r="H31" i="7"/>
  <c r="G31" i="7"/>
  <c r="F31" i="7"/>
  <c r="E31" i="7"/>
  <c r="D31" i="7"/>
  <c r="C31" i="7"/>
  <c r="B31" i="7"/>
  <c r="A31" i="7"/>
  <c r="K30" i="7"/>
  <c r="J30" i="7"/>
  <c r="I30" i="7"/>
  <c r="H30" i="7"/>
  <c r="G30" i="7"/>
  <c r="F30" i="7"/>
  <c r="E30" i="7"/>
  <c r="D30" i="7"/>
  <c r="C30" i="7"/>
  <c r="B30" i="7"/>
  <c r="A30" i="7"/>
  <c r="K29" i="7"/>
  <c r="J29" i="7"/>
  <c r="I29" i="7"/>
  <c r="H29" i="7"/>
  <c r="G29" i="7"/>
  <c r="F29" i="7"/>
  <c r="E29" i="7"/>
  <c r="D29" i="7"/>
  <c r="C29" i="7"/>
  <c r="B29" i="7"/>
  <c r="A29" i="7"/>
  <c r="K28" i="7"/>
  <c r="J28" i="7"/>
  <c r="I28" i="7"/>
  <c r="H28" i="7"/>
  <c r="G28" i="7"/>
  <c r="F28" i="7"/>
  <c r="E28" i="7"/>
  <c r="D28" i="7"/>
  <c r="C28" i="7"/>
  <c r="B28" i="7"/>
  <c r="A28" i="7"/>
  <c r="K27" i="7"/>
  <c r="J27" i="7"/>
  <c r="I27" i="7"/>
  <c r="H27" i="7"/>
  <c r="G27" i="7"/>
  <c r="F27" i="7"/>
  <c r="E27" i="7"/>
  <c r="D27" i="7"/>
  <c r="C27" i="7"/>
  <c r="B27" i="7"/>
  <c r="A27" i="7"/>
  <c r="K26" i="7"/>
  <c r="J26" i="7"/>
  <c r="I26" i="7"/>
  <c r="H26" i="7"/>
  <c r="G26" i="7"/>
  <c r="F26" i="7"/>
  <c r="E26" i="7"/>
  <c r="D26" i="7"/>
  <c r="C26" i="7"/>
  <c r="B26" i="7"/>
  <c r="A26" i="7"/>
  <c r="K25" i="7"/>
  <c r="J25" i="7"/>
  <c r="I25" i="7"/>
  <c r="H25" i="7"/>
  <c r="G25" i="7"/>
  <c r="F25" i="7"/>
  <c r="E25" i="7"/>
  <c r="D25" i="7"/>
  <c r="C25" i="7"/>
  <c r="B25" i="7"/>
  <c r="A25" i="7"/>
  <c r="K24" i="7"/>
  <c r="J24" i="7"/>
  <c r="I24" i="7"/>
  <c r="H24" i="7"/>
  <c r="G24" i="7"/>
  <c r="F24" i="7"/>
  <c r="E24" i="7"/>
  <c r="D24" i="7"/>
  <c r="C24" i="7"/>
  <c r="B24" i="7"/>
  <c r="A24" i="7"/>
  <c r="K23" i="7"/>
  <c r="J23" i="7"/>
  <c r="I23" i="7"/>
  <c r="H23" i="7"/>
  <c r="G23" i="7"/>
  <c r="F23" i="7"/>
  <c r="E23" i="7"/>
  <c r="D23" i="7"/>
  <c r="C23" i="7"/>
  <c r="B23" i="7"/>
  <c r="A23" i="7"/>
  <c r="K22" i="7"/>
  <c r="J22" i="7"/>
  <c r="I22" i="7"/>
  <c r="H22" i="7"/>
  <c r="G22" i="7"/>
  <c r="F22" i="7"/>
  <c r="E22" i="7"/>
  <c r="D22" i="7"/>
  <c r="C22" i="7"/>
  <c r="B22" i="7"/>
  <c r="A22" i="7"/>
  <c r="K21" i="7"/>
  <c r="J21" i="7"/>
  <c r="I21" i="7"/>
  <c r="H21" i="7"/>
  <c r="G21" i="7"/>
  <c r="F21" i="7"/>
  <c r="E21" i="7"/>
  <c r="D21" i="7"/>
  <c r="C21" i="7"/>
  <c r="B21" i="7"/>
  <c r="A21" i="7"/>
  <c r="K20" i="7"/>
  <c r="J20" i="7"/>
  <c r="I20" i="7"/>
  <c r="H20" i="7"/>
  <c r="G20" i="7"/>
  <c r="F20" i="7"/>
  <c r="E20" i="7"/>
  <c r="D20" i="7"/>
  <c r="C20" i="7"/>
  <c r="B20" i="7"/>
  <c r="A20" i="7"/>
  <c r="K19" i="7"/>
  <c r="J19" i="7"/>
  <c r="I19" i="7"/>
  <c r="H19" i="7"/>
  <c r="G19" i="7"/>
  <c r="F19" i="7"/>
  <c r="E19" i="7"/>
  <c r="D19" i="7"/>
  <c r="C19" i="7"/>
  <c r="B19" i="7"/>
  <c r="A19" i="7"/>
  <c r="K18" i="7"/>
  <c r="J18" i="7"/>
  <c r="I18" i="7"/>
  <c r="H18" i="7"/>
  <c r="G18" i="7"/>
  <c r="F18" i="7"/>
  <c r="E18" i="7"/>
  <c r="D18" i="7"/>
  <c r="C18" i="7"/>
  <c r="B18" i="7"/>
  <c r="A18" i="7"/>
  <c r="K17" i="7"/>
  <c r="J17" i="7"/>
  <c r="I17" i="7"/>
  <c r="H17" i="7"/>
  <c r="G17" i="7"/>
  <c r="F17" i="7"/>
  <c r="E17" i="7"/>
  <c r="D17" i="7"/>
  <c r="C17" i="7"/>
  <c r="B17" i="7"/>
  <c r="A17" i="7"/>
  <c r="K16" i="7"/>
  <c r="J16" i="7"/>
  <c r="I16" i="7"/>
  <c r="H16" i="7"/>
  <c r="G16" i="7"/>
  <c r="F16" i="7"/>
  <c r="E16" i="7"/>
  <c r="D16" i="7"/>
  <c r="C16" i="7"/>
  <c r="B16" i="7"/>
  <c r="A16" i="7"/>
  <c r="K15" i="7"/>
  <c r="J15" i="7"/>
  <c r="I15" i="7"/>
  <c r="H15" i="7"/>
  <c r="G15" i="7"/>
  <c r="F15" i="7"/>
  <c r="E15" i="7"/>
  <c r="D15" i="7"/>
  <c r="C15" i="7"/>
  <c r="B15" i="7"/>
  <c r="A15" i="7"/>
  <c r="K14" i="7"/>
  <c r="J14" i="7"/>
  <c r="I14" i="7"/>
  <c r="H14" i="7"/>
  <c r="G14" i="7"/>
  <c r="F14" i="7"/>
  <c r="E14" i="7"/>
  <c r="D14" i="7"/>
  <c r="C14" i="7"/>
  <c r="B14" i="7"/>
  <c r="A14" i="7"/>
  <c r="K13" i="7"/>
  <c r="J13" i="7"/>
  <c r="I13" i="7"/>
  <c r="H13" i="7"/>
  <c r="G13" i="7"/>
  <c r="F13" i="7"/>
  <c r="E13" i="7"/>
  <c r="D13" i="7"/>
  <c r="C13" i="7"/>
  <c r="B13" i="7"/>
  <c r="A13" i="7"/>
  <c r="K12" i="7"/>
  <c r="J12" i="7"/>
  <c r="I12" i="7"/>
  <c r="H12" i="7"/>
  <c r="G12" i="7"/>
  <c r="F12" i="7"/>
  <c r="E12" i="7"/>
  <c r="D12" i="7"/>
  <c r="C12" i="7"/>
  <c r="B12" i="7"/>
  <c r="A12" i="7"/>
  <c r="K11" i="7"/>
  <c r="J11" i="7"/>
  <c r="I11" i="7"/>
  <c r="H11" i="7"/>
  <c r="G11" i="7"/>
  <c r="F11" i="7"/>
  <c r="E11" i="7"/>
  <c r="D11" i="7"/>
  <c r="C11" i="7"/>
  <c r="B11" i="7"/>
  <c r="A11" i="7"/>
  <c r="K10" i="7"/>
  <c r="J10" i="7"/>
  <c r="I10" i="7"/>
  <c r="H10" i="7"/>
  <c r="G10" i="7"/>
  <c r="F10" i="7"/>
  <c r="E10" i="7"/>
  <c r="D10" i="7"/>
  <c r="C10" i="7"/>
  <c r="B10" i="7"/>
  <c r="A10" i="7"/>
  <c r="K9" i="7"/>
  <c r="J9" i="7"/>
  <c r="I9" i="7"/>
  <c r="H9" i="7"/>
  <c r="G9" i="7"/>
  <c r="F9" i="7"/>
  <c r="E9" i="7"/>
  <c r="D9" i="7"/>
  <c r="C9" i="7"/>
  <c r="B9" i="7"/>
  <c r="A9" i="7"/>
  <c r="K8" i="7"/>
  <c r="J8" i="7"/>
  <c r="I8" i="7"/>
  <c r="H8" i="7"/>
  <c r="G8" i="7"/>
  <c r="F8" i="7"/>
  <c r="E8" i="7"/>
  <c r="D8" i="7"/>
  <c r="C8" i="7"/>
  <c r="B8" i="7"/>
  <c r="A8" i="7"/>
  <c r="K7" i="7"/>
  <c r="J7" i="7"/>
  <c r="I7" i="7"/>
  <c r="H7" i="7"/>
  <c r="G7" i="7"/>
  <c r="F7" i="7"/>
  <c r="E7" i="7"/>
  <c r="D7" i="7"/>
  <c r="C7" i="7"/>
  <c r="B7" i="7"/>
  <c r="A7" i="7"/>
  <c r="K6" i="7"/>
  <c r="J6" i="7"/>
  <c r="I6" i="7"/>
  <c r="H6" i="7"/>
  <c r="G6" i="7"/>
  <c r="F6" i="7"/>
  <c r="E6" i="7"/>
  <c r="D6" i="7"/>
  <c r="C6" i="7"/>
  <c r="B6" i="7"/>
  <c r="A6" i="7"/>
  <c r="K5" i="7"/>
  <c r="J5" i="7"/>
  <c r="I5" i="7"/>
  <c r="H5" i="7"/>
  <c r="G5" i="7"/>
  <c r="F5" i="7"/>
  <c r="E5" i="7"/>
  <c r="D5" i="7"/>
  <c r="C5" i="7"/>
  <c r="B5" i="7"/>
  <c r="A5" i="7"/>
  <c r="K4" i="7"/>
  <c r="J4" i="7"/>
  <c r="I4" i="7"/>
  <c r="H4" i="7"/>
  <c r="G4" i="7"/>
  <c r="F4" i="7"/>
  <c r="E4" i="7"/>
  <c r="D4" i="7"/>
  <c r="C4" i="7"/>
  <c r="B4" i="7"/>
  <c r="A4" i="7"/>
  <c r="K3" i="7"/>
  <c r="J3" i="7"/>
  <c r="I3" i="7"/>
  <c r="H3" i="7"/>
  <c r="G3" i="7"/>
  <c r="F3" i="7"/>
  <c r="E3" i="7"/>
  <c r="D3" i="7"/>
  <c r="C3" i="7"/>
  <c r="B3" i="7"/>
  <c r="A3" i="7"/>
  <c r="K2" i="7"/>
  <c r="J2" i="7"/>
  <c r="I2" i="7"/>
  <c r="H2" i="7"/>
  <c r="G2" i="7"/>
  <c r="F2" i="7"/>
  <c r="E2" i="7"/>
  <c r="D2" i="7"/>
  <c r="C2" i="7"/>
  <c r="B2" i="7"/>
  <c r="A2" i="7"/>
  <c r="K180" i="6"/>
  <c r="J180" i="6"/>
  <c r="I180" i="6"/>
  <c r="H180" i="6"/>
  <c r="G180" i="6"/>
  <c r="F180" i="6"/>
  <c r="E180" i="6"/>
  <c r="D180" i="6"/>
  <c r="C180" i="6"/>
  <c r="B180" i="6"/>
  <c r="A180" i="6"/>
  <c r="K179" i="6"/>
  <c r="J179" i="6"/>
  <c r="I179" i="6"/>
  <c r="H179" i="6"/>
  <c r="G179" i="6"/>
  <c r="F179" i="6"/>
  <c r="E179" i="6"/>
  <c r="D179" i="6"/>
  <c r="C179" i="6"/>
  <c r="B179" i="6"/>
  <c r="A179" i="6"/>
  <c r="K178" i="6"/>
  <c r="J178" i="6"/>
  <c r="I178" i="6"/>
  <c r="H178" i="6"/>
  <c r="G178" i="6"/>
  <c r="F178" i="6"/>
  <c r="E178" i="6"/>
  <c r="D178" i="6"/>
  <c r="C178" i="6"/>
  <c r="B178" i="6"/>
  <c r="A178" i="6"/>
  <c r="K177" i="6"/>
  <c r="J177" i="6"/>
  <c r="I177" i="6"/>
  <c r="H177" i="6"/>
  <c r="G177" i="6"/>
  <c r="F177" i="6"/>
  <c r="E177" i="6"/>
  <c r="D177" i="6"/>
  <c r="C177" i="6"/>
  <c r="B177" i="6"/>
  <c r="A177" i="6"/>
  <c r="K176" i="6"/>
  <c r="J176" i="6"/>
  <c r="I176" i="6"/>
  <c r="H176" i="6"/>
  <c r="G176" i="6"/>
  <c r="F176" i="6"/>
  <c r="E176" i="6"/>
  <c r="D176" i="6"/>
  <c r="C176" i="6"/>
  <c r="B176" i="6"/>
  <c r="A176" i="6"/>
  <c r="K175" i="6"/>
  <c r="J175" i="6"/>
  <c r="I175" i="6"/>
  <c r="H175" i="6"/>
  <c r="G175" i="6"/>
  <c r="F175" i="6"/>
  <c r="E175" i="6"/>
  <c r="D175" i="6"/>
  <c r="C175" i="6"/>
  <c r="B175" i="6"/>
  <c r="A175" i="6"/>
  <c r="K174" i="6"/>
  <c r="J174" i="6"/>
  <c r="I174" i="6"/>
  <c r="H174" i="6"/>
  <c r="G174" i="6"/>
  <c r="F174" i="6"/>
  <c r="E174" i="6"/>
  <c r="D174" i="6"/>
  <c r="C174" i="6"/>
  <c r="B174" i="6"/>
  <c r="A174" i="6"/>
  <c r="K173" i="6"/>
  <c r="J173" i="6"/>
  <c r="I173" i="6"/>
  <c r="H173" i="6"/>
  <c r="G173" i="6"/>
  <c r="F173" i="6"/>
  <c r="E173" i="6"/>
  <c r="D173" i="6"/>
  <c r="C173" i="6"/>
  <c r="B173" i="6"/>
  <c r="A173" i="6"/>
  <c r="K172" i="6"/>
  <c r="J172" i="6"/>
  <c r="I172" i="6"/>
  <c r="H172" i="6"/>
  <c r="G172" i="6"/>
  <c r="F172" i="6"/>
  <c r="E172" i="6"/>
  <c r="D172" i="6"/>
  <c r="C172" i="6"/>
  <c r="B172" i="6"/>
  <c r="A172" i="6"/>
  <c r="K171" i="6"/>
  <c r="J171" i="6"/>
  <c r="I171" i="6"/>
  <c r="H171" i="6"/>
  <c r="G171" i="6"/>
  <c r="F171" i="6"/>
  <c r="E171" i="6"/>
  <c r="D171" i="6"/>
  <c r="C171" i="6"/>
  <c r="B171" i="6"/>
  <c r="A171" i="6"/>
  <c r="K170" i="6"/>
  <c r="J170" i="6"/>
  <c r="I170" i="6"/>
  <c r="H170" i="6"/>
  <c r="G170" i="6"/>
  <c r="F170" i="6"/>
  <c r="E170" i="6"/>
  <c r="D170" i="6"/>
  <c r="C170" i="6"/>
  <c r="B170" i="6"/>
  <c r="A170" i="6"/>
  <c r="K169" i="6"/>
  <c r="J169" i="6"/>
  <c r="I169" i="6"/>
  <c r="H169" i="6"/>
  <c r="G169" i="6"/>
  <c r="F169" i="6"/>
  <c r="E169" i="6"/>
  <c r="D169" i="6"/>
  <c r="C169" i="6"/>
  <c r="B169" i="6"/>
  <c r="A169" i="6"/>
  <c r="K168" i="6"/>
  <c r="J168" i="6"/>
  <c r="I168" i="6"/>
  <c r="H168" i="6"/>
  <c r="G168" i="6"/>
  <c r="F168" i="6"/>
  <c r="E168" i="6"/>
  <c r="D168" i="6"/>
  <c r="C168" i="6"/>
  <c r="B168" i="6"/>
  <c r="A168" i="6"/>
  <c r="K167" i="6"/>
  <c r="J167" i="6"/>
  <c r="I167" i="6"/>
  <c r="H167" i="6"/>
  <c r="G167" i="6"/>
  <c r="F167" i="6"/>
  <c r="E167" i="6"/>
  <c r="D167" i="6"/>
  <c r="C167" i="6"/>
  <c r="B167" i="6"/>
  <c r="A167" i="6"/>
  <c r="K166" i="6"/>
  <c r="J166" i="6"/>
  <c r="I166" i="6"/>
  <c r="H166" i="6"/>
  <c r="G166" i="6"/>
  <c r="F166" i="6"/>
  <c r="E166" i="6"/>
  <c r="D166" i="6"/>
  <c r="C166" i="6"/>
  <c r="B166" i="6"/>
  <c r="A166" i="6"/>
  <c r="K165" i="6"/>
  <c r="J165" i="6"/>
  <c r="I165" i="6"/>
  <c r="H165" i="6"/>
  <c r="G165" i="6"/>
  <c r="F165" i="6"/>
  <c r="E165" i="6"/>
  <c r="D165" i="6"/>
  <c r="C165" i="6"/>
  <c r="B165" i="6"/>
  <c r="A165" i="6"/>
  <c r="K164" i="6"/>
  <c r="J164" i="6"/>
  <c r="I164" i="6"/>
  <c r="H164" i="6"/>
  <c r="G164" i="6"/>
  <c r="F164" i="6"/>
  <c r="E164" i="6"/>
  <c r="D164" i="6"/>
  <c r="C164" i="6"/>
  <c r="B164" i="6"/>
  <c r="A164" i="6"/>
  <c r="K163" i="6"/>
  <c r="J163" i="6"/>
  <c r="I163" i="6"/>
  <c r="H163" i="6"/>
  <c r="G163" i="6"/>
  <c r="F163" i="6"/>
  <c r="E163" i="6"/>
  <c r="D163" i="6"/>
  <c r="C163" i="6"/>
  <c r="B163" i="6"/>
  <c r="A163" i="6"/>
  <c r="K162" i="6"/>
  <c r="J162" i="6"/>
  <c r="I162" i="6"/>
  <c r="H162" i="6"/>
  <c r="G162" i="6"/>
  <c r="F162" i="6"/>
  <c r="E162" i="6"/>
  <c r="D162" i="6"/>
  <c r="C162" i="6"/>
  <c r="B162" i="6"/>
  <c r="A162" i="6"/>
  <c r="K161" i="6"/>
  <c r="J161" i="6"/>
  <c r="I161" i="6"/>
  <c r="H161" i="6"/>
  <c r="G161" i="6"/>
  <c r="F161" i="6"/>
  <c r="E161" i="6"/>
  <c r="D161" i="6"/>
  <c r="C161" i="6"/>
  <c r="B161" i="6"/>
  <c r="A161" i="6"/>
  <c r="K160" i="6"/>
  <c r="J160" i="6"/>
  <c r="I160" i="6"/>
  <c r="H160" i="6"/>
  <c r="G160" i="6"/>
  <c r="F160" i="6"/>
  <c r="E160" i="6"/>
  <c r="D160" i="6"/>
  <c r="C160" i="6"/>
  <c r="B160" i="6"/>
  <c r="A160" i="6"/>
  <c r="K159" i="6"/>
  <c r="J159" i="6"/>
  <c r="I159" i="6"/>
  <c r="H159" i="6"/>
  <c r="G159" i="6"/>
  <c r="F159" i="6"/>
  <c r="E159" i="6"/>
  <c r="D159" i="6"/>
  <c r="C159" i="6"/>
  <c r="B159" i="6"/>
  <c r="A159" i="6"/>
  <c r="K158" i="6"/>
  <c r="J158" i="6"/>
  <c r="I158" i="6"/>
  <c r="H158" i="6"/>
  <c r="G158" i="6"/>
  <c r="F158" i="6"/>
  <c r="E158" i="6"/>
  <c r="D158" i="6"/>
  <c r="C158" i="6"/>
  <c r="B158" i="6"/>
  <c r="A158" i="6"/>
  <c r="K157" i="6"/>
  <c r="J157" i="6"/>
  <c r="I157" i="6"/>
  <c r="H157" i="6"/>
  <c r="G157" i="6"/>
  <c r="F157" i="6"/>
  <c r="E157" i="6"/>
  <c r="D157" i="6"/>
  <c r="C157" i="6"/>
  <c r="B157" i="6"/>
  <c r="A157" i="6"/>
  <c r="K156" i="6"/>
  <c r="J156" i="6"/>
  <c r="I156" i="6"/>
  <c r="H156" i="6"/>
  <c r="G156" i="6"/>
  <c r="F156" i="6"/>
  <c r="E156" i="6"/>
  <c r="D156" i="6"/>
  <c r="C156" i="6"/>
  <c r="B156" i="6"/>
  <c r="A156" i="6"/>
  <c r="K155" i="6"/>
  <c r="J155" i="6"/>
  <c r="I155" i="6"/>
  <c r="H155" i="6"/>
  <c r="G155" i="6"/>
  <c r="F155" i="6"/>
  <c r="E155" i="6"/>
  <c r="D155" i="6"/>
  <c r="C155" i="6"/>
  <c r="B155" i="6"/>
  <c r="A155" i="6"/>
  <c r="K154" i="6"/>
  <c r="J154" i="6"/>
  <c r="I154" i="6"/>
  <c r="H154" i="6"/>
  <c r="G154" i="6"/>
  <c r="F154" i="6"/>
  <c r="E154" i="6"/>
  <c r="D154" i="6"/>
  <c r="C154" i="6"/>
  <c r="B154" i="6"/>
  <c r="A154" i="6"/>
  <c r="K153" i="6"/>
  <c r="J153" i="6"/>
  <c r="I153" i="6"/>
  <c r="H153" i="6"/>
  <c r="G153" i="6"/>
  <c r="F153" i="6"/>
  <c r="E153" i="6"/>
  <c r="D153" i="6"/>
  <c r="C153" i="6"/>
  <c r="B153" i="6"/>
  <c r="A153" i="6"/>
  <c r="K152" i="6"/>
  <c r="J152" i="6"/>
  <c r="I152" i="6"/>
  <c r="H152" i="6"/>
  <c r="G152" i="6"/>
  <c r="F152" i="6"/>
  <c r="E152" i="6"/>
  <c r="D152" i="6"/>
  <c r="C152" i="6"/>
  <c r="B152" i="6"/>
  <c r="A152" i="6"/>
  <c r="K151" i="6"/>
  <c r="J151" i="6"/>
  <c r="I151" i="6"/>
  <c r="H151" i="6"/>
  <c r="G151" i="6"/>
  <c r="F151" i="6"/>
  <c r="E151" i="6"/>
  <c r="D151" i="6"/>
  <c r="C151" i="6"/>
  <c r="B151" i="6"/>
  <c r="A151" i="6"/>
  <c r="K150" i="6"/>
  <c r="J150" i="6"/>
  <c r="I150" i="6"/>
  <c r="H150" i="6"/>
  <c r="G150" i="6"/>
  <c r="F150" i="6"/>
  <c r="E150" i="6"/>
  <c r="D150" i="6"/>
  <c r="C150" i="6"/>
  <c r="B150" i="6"/>
  <c r="A150" i="6"/>
  <c r="K149" i="6"/>
  <c r="J149" i="6"/>
  <c r="I149" i="6"/>
  <c r="H149" i="6"/>
  <c r="G149" i="6"/>
  <c r="F149" i="6"/>
  <c r="E149" i="6"/>
  <c r="D149" i="6"/>
  <c r="C149" i="6"/>
  <c r="B149" i="6"/>
  <c r="A149" i="6"/>
  <c r="K148" i="6"/>
  <c r="J148" i="6"/>
  <c r="I148" i="6"/>
  <c r="H148" i="6"/>
  <c r="G148" i="6"/>
  <c r="F148" i="6"/>
  <c r="E148" i="6"/>
  <c r="D148" i="6"/>
  <c r="C148" i="6"/>
  <c r="B148" i="6"/>
  <c r="A148" i="6"/>
  <c r="K147" i="6"/>
  <c r="J147" i="6"/>
  <c r="I147" i="6"/>
  <c r="H147" i="6"/>
  <c r="G147" i="6"/>
  <c r="F147" i="6"/>
  <c r="E147" i="6"/>
  <c r="D147" i="6"/>
  <c r="C147" i="6"/>
  <c r="B147" i="6"/>
  <c r="A147" i="6"/>
  <c r="K146" i="6"/>
  <c r="J146" i="6"/>
  <c r="I146" i="6"/>
  <c r="H146" i="6"/>
  <c r="G146" i="6"/>
  <c r="F146" i="6"/>
  <c r="E146" i="6"/>
  <c r="D146" i="6"/>
  <c r="C146" i="6"/>
  <c r="B146" i="6"/>
  <c r="A146" i="6"/>
  <c r="K145" i="6"/>
  <c r="J145" i="6"/>
  <c r="I145" i="6"/>
  <c r="H145" i="6"/>
  <c r="G145" i="6"/>
  <c r="F145" i="6"/>
  <c r="E145" i="6"/>
  <c r="D145" i="6"/>
  <c r="C145" i="6"/>
  <c r="B145" i="6"/>
  <c r="A145" i="6"/>
  <c r="K144" i="6"/>
  <c r="J144" i="6"/>
  <c r="I144" i="6"/>
  <c r="H144" i="6"/>
  <c r="G144" i="6"/>
  <c r="F144" i="6"/>
  <c r="E144" i="6"/>
  <c r="D144" i="6"/>
  <c r="C144" i="6"/>
  <c r="B144" i="6"/>
  <c r="A144" i="6"/>
  <c r="K143" i="6"/>
  <c r="J143" i="6"/>
  <c r="I143" i="6"/>
  <c r="H143" i="6"/>
  <c r="G143" i="6"/>
  <c r="F143" i="6"/>
  <c r="E143" i="6"/>
  <c r="D143" i="6"/>
  <c r="C143" i="6"/>
  <c r="B143" i="6"/>
  <c r="A143" i="6"/>
  <c r="K142" i="6"/>
  <c r="J142" i="6"/>
  <c r="I142" i="6"/>
  <c r="H142" i="6"/>
  <c r="G142" i="6"/>
  <c r="F142" i="6"/>
  <c r="E142" i="6"/>
  <c r="D142" i="6"/>
  <c r="C142" i="6"/>
  <c r="B142" i="6"/>
  <c r="A142" i="6"/>
  <c r="K141" i="6"/>
  <c r="J141" i="6"/>
  <c r="I141" i="6"/>
  <c r="H141" i="6"/>
  <c r="G141" i="6"/>
  <c r="F141" i="6"/>
  <c r="E141" i="6"/>
  <c r="D141" i="6"/>
  <c r="C141" i="6"/>
  <c r="B141" i="6"/>
  <c r="A141" i="6"/>
  <c r="K140" i="6"/>
  <c r="J140" i="6"/>
  <c r="I140" i="6"/>
  <c r="H140" i="6"/>
  <c r="G140" i="6"/>
  <c r="F140" i="6"/>
  <c r="E140" i="6"/>
  <c r="D140" i="6"/>
  <c r="C140" i="6"/>
  <c r="B140" i="6"/>
  <c r="A140" i="6"/>
  <c r="K139" i="6"/>
  <c r="J139" i="6"/>
  <c r="I139" i="6"/>
  <c r="H139" i="6"/>
  <c r="G139" i="6"/>
  <c r="F139" i="6"/>
  <c r="E139" i="6"/>
  <c r="D139" i="6"/>
  <c r="C139" i="6"/>
  <c r="B139" i="6"/>
  <c r="A139" i="6"/>
  <c r="K138" i="6"/>
  <c r="J138" i="6"/>
  <c r="I138" i="6"/>
  <c r="H138" i="6"/>
  <c r="G138" i="6"/>
  <c r="F138" i="6"/>
  <c r="E138" i="6"/>
  <c r="D138" i="6"/>
  <c r="C138" i="6"/>
  <c r="B138" i="6"/>
  <c r="A138" i="6"/>
  <c r="K137" i="6"/>
  <c r="J137" i="6"/>
  <c r="I137" i="6"/>
  <c r="H137" i="6"/>
  <c r="G137" i="6"/>
  <c r="F137" i="6"/>
  <c r="E137" i="6"/>
  <c r="D137" i="6"/>
  <c r="C137" i="6"/>
  <c r="B137" i="6"/>
  <c r="A137" i="6"/>
  <c r="K136" i="6"/>
  <c r="J136" i="6"/>
  <c r="I136" i="6"/>
  <c r="H136" i="6"/>
  <c r="G136" i="6"/>
  <c r="F136" i="6"/>
  <c r="E136" i="6"/>
  <c r="D136" i="6"/>
  <c r="C136" i="6"/>
  <c r="B136" i="6"/>
  <c r="A136" i="6"/>
  <c r="K135" i="6"/>
  <c r="J135" i="6"/>
  <c r="I135" i="6"/>
  <c r="H135" i="6"/>
  <c r="G135" i="6"/>
  <c r="F135" i="6"/>
  <c r="E135" i="6"/>
  <c r="D135" i="6"/>
  <c r="C135" i="6"/>
  <c r="B135" i="6"/>
  <c r="A135" i="6"/>
  <c r="K134" i="6"/>
  <c r="J134" i="6"/>
  <c r="I134" i="6"/>
  <c r="H134" i="6"/>
  <c r="G134" i="6"/>
  <c r="F134" i="6"/>
  <c r="E134" i="6"/>
  <c r="D134" i="6"/>
  <c r="C134" i="6"/>
  <c r="B134" i="6"/>
  <c r="A134" i="6"/>
  <c r="K133" i="6"/>
  <c r="J133" i="6"/>
  <c r="I133" i="6"/>
  <c r="H133" i="6"/>
  <c r="G133" i="6"/>
  <c r="F133" i="6"/>
  <c r="E133" i="6"/>
  <c r="D133" i="6"/>
  <c r="C133" i="6"/>
  <c r="B133" i="6"/>
  <c r="A133" i="6"/>
  <c r="K132" i="6"/>
  <c r="J132" i="6"/>
  <c r="I132" i="6"/>
  <c r="H132" i="6"/>
  <c r="G132" i="6"/>
  <c r="F132" i="6"/>
  <c r="E132" i="6"/>
  <c r="D132" i="6"/>
  <c r="C132" i="6"/>
  <c r="B132" i="6"/>
  <c r="A132" i="6"/>
  <c r="K131" i="6"/>
  <c r="J131" i="6"/>
  <c r="I131" i="6"/>
  <c r="H131" i="6"/>
  <c r="G131" i="6"/>
  <c r="F131" i="6"/>
  <c r="E131" i="6"/>
  <c r="D131" i="6"/>
  <c r="C131" i="6"/>
  <c r="B131" i="6"/>
  <c r="A131" i="6"/>
  <c r="K130" i="6"/>
  <c r="J130" i="6"/>
  <c r="I130" i="6"/>
  <c r="H130" i="6"/>
  <c r="G130" i="6"/>
  <c r="F130" i="6"/>
  <c r="E130" i="6"/>
  <c r="D130" i="6"/>
  <c r="C130" i="6"/>
  <c r="B130" i="6"/>
  <c r="A130" i="6"/>
  <c r="K129" i="6"/>
  <c r="J129" i="6"/>
  <c r="I129" i="6"/>
  <c r="H129" i="6"/>
  <c r="G129" i="6"/>
  <c r="F129" i="6"/>
  <c r="E129" i="6"/>
  <c r="D129" i="6"/>
  <c r="C129" i="6"/>
  <c r="B129" i="6"/>
  <c r="A129" i="6"/>
  <c r="K128" i="6"/>
  <c r="J128" i="6"/>
  <c r="I128" i="6"/>
  <c r="H128" i="6"/>
  <c r="G128" i="6"/>
  <c r="F128" i="6"/>
  <c r="E128" i="6"/>
  <c r="D128" i="6"/>
  <c r="C128" i="6"/>
  <c r="B128" i="6"/>
  <c r="A128" i="6"/>
  <c r="K127" i="6"/>
  <c r="J127" i="6"/>
  <c r="I127" i="6"/>
  <c r="H127" i="6"/>
  <c r="G127" i="6"/>
  <c r="F127" i="6"/>
  <c r="E127" i="6"/>
  <c r="D127" i="6"/>
  <c r="C127" i="6"/>
  <c r="B127" i="6"/>
  <c r="A127" i="6"/>
  <c r="K126" i="6"/>
  <c r="J126" i="6"/>
  <c r="I126" i="6"/>
  <c r="H126" i="6"/>
  <c r="G126" i="6"/>
  <c r="F126" i="6"/>
  <c r="E126" i="6"/>
  <c r="D126" i="6"/>
  <c r="C126" i="6"/>
  <c r="B126" i="6"/>
  <c r="A126" i="6"/>
  <c r="K125" i="6"/>
  <c r="J125" i="6"/>
  <c r="I125" i="6"/>
  <c r="H125" i="6"/>
  <c r="G125" i="6"/>
  <c r="F125" i="6"/>
  <c r="E125" i="6"/>
  <c r="D125" i="6"/>
  <c r="C125" i="6"/>
  <c r="B125" i="6"/>
  <c r="A125" i="6"/>
  <c r="K124" i="6"/>
  <c r="J124" i="6"/>
  <c r="I124" i="6"/>
  <c r="H124" i="6"/>
  <c r="G124" i="6"/>
  <c r="F124" i="6"/>
  <c r="E124" i="6"/>
  <c r="D124" i="6"/>
  <c r="C124" i="6"/>
  <c r="B124" i="6"/>
  <c r="A124" i="6"/>
  <c r="K123" i="6"/>
  <c r="J123" i="6"/>
  <c r="I123" i="6"/>
  <c r="H123" i="6"/>
  <c r="G123" i="6"/>
  <c r="F123" i="6"/>
  <c r="E123" i="6"/>
  <c r="D123" i="6"/>
  <c r="C123" i="6"/>
  <c r="B123" i="6"/>
  <c r="A123" i="6"/>
  <c r="K122" i="6"/>
  <c r="J122" i="6"/>
  <c r="I122" i="6"/>
  <c r="H122" i="6"/>
  <c r="G122" i="6"/>
  <c r="F122" i="6"/>
  <c r="E122" i="6"/>
  <c r="D122" i="6"/>
  <c r="C122" i="6"/>
  <c r="B122" i="6"/>
  <c r="A122" i="6"/>
  <c r="K121" i="6"/>
  <c r="J121" i="6"/>
  <c r="I121" i="6"/>
  <c r="H121" i="6"/>
  <c r="G121" i="6"/>
  <c r="F121" i="6"/>
  <c r="E121" i="6"/>
  <c r="D121" i="6"/>
  <c r="C121" i="6"/>
  <c r="B121" i="6"/>
  <c r="A121" i="6"/>
  <c r="K120" i="6"/>
  <c r="J120" i="6"/>
  <c r="I120" i="6"/>
  <c r="H120" i="6"/>
  <c r="G120" i="6"/>
  <c r="F120" i="6"/>
  <c r="E120" i="6"/>
  <c r="D120" i="6"/>
  <c r="C120" i="6"/>
  <c r="B120" i="6"/>
  <c r="A120" i="6"/>
  <c r="K119" i="6"/>
  <c r="J119" i="6"/>
  <c r="I119" i="6"/>
  <c r="H119" i="6"/>
  <c r="G119" i="6"/>
  <c r="F119" i="6"/>
  <c r="E119" i="6"/>
  <c r="D119" i="6"/>
  <c r="C119" i="6"/>
  <c r="B119" i="6"/>
  <c r="A119" i="6"/>
  <c r="K118" i="6"/>
  <c r="J118" i="6"/>
  <c r="I118" i="6"/>
  <c r="H118" i="6"/>
  <c r="G118" i="6"/>
  <c r="F118" i="6"/>
  <c r="E118" i="6"/>
  <c r="D118" i="6"/>
  <c r="C118" i="6"/>
  <c r="B118" i="6"/>
  <c r="A118" i="6"/>
  <c r="K117" i="6"/>
  <c r="J117" i="6"/>
  <c r="I117" i="6"/>
  <c r="H117" i="6"/>
  <c r="G117" i="6"/>
  <c r="F117" i="6"/>
  <c r="E117" i="6"/>
  <c r="D117" i="6"/>
  <c r="C117" i="6"/>
  <c r="B117" i="6"/>
  <c r="A117" i="6"/>
  <c r="K116" i="6"/>
  <c r="J116" i="6"/>
  <c r="I116" i="6"/>
  <c r="H116" i="6"/>
  <c r="G116" i="6"/>
  <c r="F116" i="6"/>
  <c r="E116" i="6"/>
  <c r="D116" i="6"/>
  <c r="C116" i="6"/>
  <c r="B116" i="6"/>
  <c r="A116" i="6"/>
  <c r="K115" i="6"/>
  <c r="J115" i="6"/>
  <c r="I115" i="6"/>
  <c r="H115" i="6"/>
  <c r="G115" i="6"/>
  <c r="F115" i="6"/>
  <c r="E115" i="6"/>
  <c r="D115" i="6"/>
  <c r="C115" i="6"/>
  <c r="B115" i="6"/>
  <c r="A115" i="6"/>
  <c r="K114" i="6"/>
  <c r="J114" i="6"/>
  <c r="I114" i="6"/>
  <c r="H114" i="6"/>
  <c r="G114" i="6"/>
  <c r="F114" i="6"/>
  <c r="E114" i="6"/>
  <c r="D114" i="6"/>
  <c r="C114" i="6"/>
  <c r="B114" i="6"/>
  <c r="A114" i="6"/>
  <c r="K113" i="6"/>
  <c r="J113" i="6"/>
  <c r="I113" i="6"/>
  <c r="H113" i="6"/>
  <c r="G113" i="6"/>
  <c r="F113" i="6"/>
  <c r="E113" i="6"/>
  <c r="D113" i="6"/>
  <c r="C113" i="6"/>
  <c r="B113" i="6"/>
  <c r="A113" i="6"/>
  <c r="K112" i="6"/>
  <c r="J112" i="6"/>
  <c r="I112" i="6"/>
  <c r="H112" i="6"/>
  <c r="G112" i="6"/>
  <c r="F112" i="6"/>
  <c r="E112" i="6"/>
  <c r="D112" i="6"/>
  <c r="C112" i="6"/>
  <c r="B112" i="6"/>
  <c r="A112" i="6"/>
  <c r="K111" i="6"/>
  <c r="J111" i="6"/>
  <c r="I111" i="6"/>
  <c r="H111" i="6"/>
  <c r="G111" i="6"/>
  <c r="F111" i="6"/>
  <c r="E111" i="6"/>
  <c r="D111" i="6"/>
  <c r="C111" i="6"/>
  <c r="B111" i="6"/>
  <c r="A111" i="6"/>
  <c r="K110" i="6"/>
  <c r="J110" i="6"/>
  <c r="I110" i="6"/>
  <c r="H110" i="6"/>
  <c r="G110" i="6"/>
  <c r="F110" i="6"/>
  <c r="E110" i="6"/>
  <c r="D110" i="6"/>
  <c r="C110" i="6"/>
  <c r="B110" i="6"/>
  <c r="A110" i="6"/>
  <c r="K109" i="6"/>
  <c r="J109" i="6"/>
  <c r="I109" i="6"/>
  <c r="H109" i="6"/>
  <c r="G109" i="6"/>
  <c r="F109" i="6"/>
  <c r="E109" i="6"/>
  <c r="D109" i="6"/>
  <c r="C109" i="6"/>
  <c r="B109" i="6"/>
  <c r="A109" i="6"/>
  <c r="K108" i="6"/>
  <c r="J108" i="6"/>
  <c r="I108" i="6"/>
  <c r="H108" i="6"/>
  <c r="G108" i="6"/>
  <c r="F108" i="6"/>
  <c r="E108" i="6"/>
  <c r="D108" i="6"/>
  <c r="C108" i="6"/>
  <c r="B108" i="6"/>
  <c r="A108" i="6"/>
  <c r="K107" i="6"/>
  <c r="J107" i="6"/>
  <c r="I107" i="6"/>
  <c r="H107" i="6"/>
  <c r="G107" i="6"/>
  <c r="F107" i="6"/>
  <c r="E107" i="6"/>
  <c r="D107" i="6"/>
  <c r="C107" i="6"/>
  <c r="B107" i="6"/>
  <c r="A107" i="6"/>
  <c r="K106" i="6"/>
  <c r="J106" i="6"/>
  <c r="I106" i="6"/>
  <c r="H106" i="6"/>
  <c r="G106" i="6"/>
  <c r="F106" i="6"/>
  <c r="E106" i="6"/>
  <c r="D106" i="6"/>
  <c r="C106" i="6"/>
  <c r="B106" i="6"/>
  <c r="A106" i="6"/>
  <c r="K105" i="6"/>
  <c r="J105" i="6"/>
  <c r="I105" i="6"/>
  <c r="H105" i="6"/>
  <c r="G105" i="6"/>
  <c r="F105" i="6"/>
  <c r="E105" i="6"/>
  <c r="D105" i="6"/>
  <c r="C105" i="6"/>
  <c r="B105" i="6"/>
  <c r="A105" i="6"/>
  <c r="K104" i="6"/>
  <c r="J104" i="6"/>
  <c r="I104" i="6"/>
  <c r="H104" i="6"/>
  <c r="G104" i="6"/>
  <c r="F104" i="6"/>
  <c r="E104" i="6"/>
  <c r="D104" i="6"/>
  <c r="C104" i="6"/>
  <c r="B104" i="6"/>
  <c r="A104" i="6"/>
  <c r="K103" i="6"/>
  <c r="J103" i="6"/>
  <c r="I103" i="6"/>
  <c r="H103" i="6"/>
  <c r="G103" i="6"/>
  <c r="F103" i="6"/>
  <c r="E103" i="6"/>
  <c r="D103" i="6"/>
  <c r="C103" i="6"/>
  <c r="B103" i="6"/>
  <c r="A103" i="6"/>
  <c r="K102" i="6"/>
  <c r="J102" i="6"/>
  <c r="I102" i="6"/>
  <c r="H102" i="6"/>
  <c r="G102" i="6"/>
  <c r="F102" i="6"/>
  <c r="E102" i="6"/>
  <c r="D102" i="6"/>
  <c r="C102" i="6"/>
  <c r="B102" i="6"/>
  <c r="A102" i="6"/>
  <c r="K101" i="6"/>
  <c r="J101" i="6"/>
  <c r="I101" i="6"/>
  <c r="H101" i="6"/>
  <c r="G101" i="6"/>
  <c r="F101" i="6"/>
  <c r="E101" i="6"/>
  <c r="D101" i="6"/>
  <c r="C101" i="6"/>
  <c r="B101" i="6"/>
  <c r="A101" i="6"/>
  <c r="K100" i="6"/>
  <c r="J100" i="6"/>
  <c r="I100" i="6"/>
  <c r="H100" i="6"/>
  <c r="G100" i="6"/>
  <c r="F100" i="6"/>
  <c r="E100" i="6"/>
  <c r="D100" i="6"/>
  <c r="C100" i="6"/>
  <c r="B100" i="6"/>
  <c r="A100" i="6"/>
  <c r="K99" i="6"/>
  <c r="J99" i="6"/>
  <c r="I99" i="6"/>
  <c r="H99" i="6"/>
  <c r="G99" i="6"/>
  <c r="F99" i="6"/>
  <c r="E99" i="6"/>
  <c r="D99" i="6"/>
  <c r="C99" i="6"/>
  <c r="B99" i="6"/>
  <c r="A99" i="6"/>
  <c r="K98" i="6"/>
  <c r="J98" i="6"/>
  <c r="I98" i="6"/>
  <c r="H98" i="6"/>
  <c r="G98" i="6"/>
  <c r="F98" i="6"/>
  <c r="E98" i="6"/>
  <c r="D98" i="6"/>
  <c r="C98" i="6"/>
  <c r="B98" i="6"/>
  <c r="A98" i="6"/>
  <c r="K97" i="6"/>
  <c r="J97" i="6"/>
  <c r="I97" i="6"/>
  <c r="H97" i="6"/>
  <c r="G97" i="6"/>
  <c r="F97" i="6"/>
  <c r="E97" i="6"/>
  <c r="D97" i="6"/>
  <c r="C97" i="6"/>
  <c r="B97" i="6"/>
  <c r="A97" i="6"/>
  <c r="K96" i="6"/>
  <c r="J96" i="6"/>
  <c r="I96" i="6"/>
  <c r="H96" i="6"/>
  <c r="G96" i="6"/>
  <c r="F96" i="6"/>
  <c r="E96" i="6"/>
  <c r="D96" i="6"/>
  <c r="C96" i="6"/>
  <c r="B96" i="6"/>
  <c r="A96" i="6"/>
  <c r="K95" i="6"/>
  <c r="J95" i="6"/>
  <c r="I95" i="6"/>
  <c r="H95" i="6"/>
  <c r="G95" i="6"/>
  <c r="F95" i="6"/>
  <c r="E95" i="6"/>
  <c r="D95" i="6"/>
  <c r="C95" i="6"/>
  <c r="B95" i="6"/>
  <c r="A95" i="6"/>
  <c r="K94" i="6"/>
  <c r="J94" i="6"/>
  <c r="I94" i="6"/>
  <c r="H94" i="6"/>
  <c r="G94" i="6"/>
  <c r="F94" i="6"/>
  <c r="E94" i="6"/>
  <c r="D94" i="6"/>
  <c r="C94" i="6"/>
  <c r="B94" i="6"/>
  <c r="A94" i="6"/>
  <c r="K93" i="6"/>
  <c r="J93" i="6"/>
  <c r="I93" i="6"/>
  <c r="H93" i="6"/>
  <c r="G93" i="6"/>
  <c r="F93" i="6"/>
  <c r="E93" i="6"/>
  <c r="D93" i="6"/>
  <c r="C93" i="6"/>
  <c r="B93" i="6"/>
  <c r="A93" i="6"/>
  <c r="K92" i="6"/>
  <c r="J92" i="6"/>
  <c r="I92" i="6"/>
  <c r="H92" i="6"/>
  <c r="G92" i="6"/>
  <c r="F92" i="6"/>
  <c r="E92" i="6"/>
  <c r="D92" i="6"/>
  <c r="C92" i="6"/>
  <c r="B92" i="6"/>
  <c r="A92" i="6"/>
  <c r="K91" i="6"/>
  <c r="J91" i="6"/>
  <c r="I91" i="6"/>
  <c r="H91" i="6"/>
  <c r="G91" i="6"/>
  <c r="F91" i="6"/>
  <c r="E91" i="6"/>
  <c r="D91" i="6"/>
  <c r="C91" i="6"/>
  <c r="B91" i="6"/>
  <c r="A91" i="6"/>
  <c r="K90" i="6"/>
  <c r="J90" i="6"/>
  <c r="I90" i="6"/>
  <c r="H90" i="6"/>
  <c r="G90" i="6"/>
  <c r="F90" i="6"/>
  <c r="E90" i="6"/>
  <c r="D90" i="6"/>
  <c r="C90" i="6"/>
  <c r="B90" i="6"/>
  <c r="A90" i="6"/>
  <c r="K89" i="6"/>
  <c r="J89" i="6"/>
  <c r="I89" i="6"/>
  <c r="H89" i="6"/>
  <c r="G89" i="6"/>
  <c r="F89" i="6"/>
  <c r="E89" i="6"/>
  <c r="D89" i="6"/>
  <c r="C89" i="6"/>
  <c r="B89" i="6"/>
  <c r="A89" i="6"/>
  <c r="K88" i="6"/>
  <c r="J88" i="6"/>
  <c r="I88" i="6"/>
  <c r="H88" i="6"/>
  <c r="G88" i="6"/>
  <c r="F88" i="6"/>
  <c r="E88" i="6"/>
  <c r="D88" i="6"/>
  <c r="C88" i="6"/>
  <c r="B88" i="6"/>
  <c r="A88" i="6"/>
  <c r="K87" i="6"/>
  <c r="J87" i="6"/>
  <c r="I87" i="6"/>
  <c r="H87" i="6"/>
  <c r="G87" i="6"/>
  <c r="F87" i="6"/>
  <c r="E87" i="6"/>
  <c r="D87" i="6"/>
  <c r="C87" i="6"/>
  <c r="B87" i="6"/>
  <c r="A87" i="6"/>
  <c r="K86" i="6"/>
  <c r="J86" i="6"/>
  <c r="I86" i="6"/>
  <c r="H86" i="6"/>
  <c r="G86" i="6"/>
  <c r="F86" i="6"/>
  <c r="E86" i="6"/>
  <c r="D86" i="6"/>
  <c r="C86" i="6"/>
  <c r="B86" i="6"/>
  <c r="A86" i="6"/>
  <c r="K85" i="6"/>
  <c r="J85" i="6"/>
  <c r="I85" i="6"/>
  <c r="H85" i="6"/>
  <c r="G85" i="6"/>
  <c r="F85" i="6"/>
  <c r="E85" i="6"/>
  <c r="D85" i="6"/>
  <c r="C85" i="6"/>
  <c r="B85" i="6"/>
  <c r="A85" i="6"/>
  <c r="K84" i="6"/>
  <c r="J84" i="6"/>
  <c r="I84" i="6"/>
  <c r="H84" i="6"/>
  <c r="G84" i="6"/>
  <c r="F84" i="6"/>
  <c r="E84" i="6"/>
  <c r="D84" i="6"/>
  <c r="C84" i="6"/>
  <c r="B84" i="6"/>
  <c r="A84" i="6"/>
  <c r="K83" i="6"/>
  <c r="J83" i="6"/>
  <c r="I83" i="6"/>
  <c r="H83" i="6"/>
  <c r="G83" i="6"/>
  <c r="F83" i="6"/>
  <c r="E83" i="6"/>
  <c r="D83" i="6"/>
  <c r="C83" i="6"/>
  <c r="B83" i="6"/>
  <c r="A83" i="6"/>
  <c r="K82" i="6"/>
  <c r="J82" i="6"/>
  <c r="I82" i="6"/>
  <c r="H82" i="6"/>
  <c r="G82" i="6"/>
  <c r="F82" i="6"/>
  <c r="E82" i="6"/>
  <c r="D82" i="6"/>
  <c r="C82" i="6"/>
  <c r="B82" i="6"/>
  <c r="A82" i="6"/>
  <c r="K81" i="6"/>
  <c r="J81" i="6"/>
  <c r="I81" i="6"/>
  <c r="H81" i="6"/>
  <c r="G81" i="6"/>
  <c r="F81" i="6"/>
  <c r="E81" i="6"/>
  <c r="D81" i="6"/>
  <c r="C81" i="6"/>
  <c r="B81" i="6"/>
  <c r="A81" i="6"/>
  <c r="K80" i="6"/>
  <c r="J80" i="6"/>
  <c r="I80" i="6"/>
  <c r="H80" i="6"/>
  <c r="G80" i="6"/>
  <c r="F80" i="6"/>
  <c r="E80" i="6"/>
  <c r="D80" i="6"/>
  <c r="C80" i="6"/>
  <c r="B80" i="6"/>
  <c r="A80" i="6"/>
  <c r="K79" i="6"/>
  <c r="J79" i="6"/>
  <c r="I79" i="6"/>
  <c r="H79" i="6"/>
  <c r="G79" i="6"/>
  <c r="F79" i="6"/>
  <c r="E79" i="6"/>
  <c r="D79" i="6"/>
  <c r="C79" i="6"/>
  <c r="B79" i="6"/>
  <c r="A79" i="6"/>
  <c r="K78" i="6"/>
  <c r="J78" i="6"/>
  <c r="I78" i="6"/>
  <c r="H78" i="6"/>
  <c r="G78" i="6"/>
  <c r="F78" i="6"/>
  <c r="E78" i="6"/>
  <c r="D78" i="6"/>
  <c r="C78" i="6"/>
  <c r="B78" i="6"/>
  <c r="A78" i="6"/>
  <c r="K77" i="6"/>
  <c r="J77" i="6"/>
  <c r="I77" i="6"/>
  <c r="H77" i="6"/>
  <c r="G77" i="6"/>
  <c r="F77" i="6"/>
  <c r="E77" i="6"/>
  <c r="D77" i="6"/>
  <c r="C77" i="6"/>
  <c r="B77" i="6"/>
  <c r="A77" i="6"/>
  <c r="K76" i="6"/>
  <c r="J76" i="6"/>
  <c r="I76" i="6"/>
  <c r="H76" i="6"/>
  <c r="G76" i="6"/>
  <c r="F76" i="6"/>
  <c r="E76" i="6"/>
  <c r="D76" i="6"/>
  <c r="C76" i="6"/>
  <c r="B76" i="6"/>
  <c r="A76" i="6"/>
  <c r="K75" i="6"/>
  <c r="J75" i="6"/>
  <c r="I75" i="6"/>
  <c r="H75" i="6"/>
  <c r="G75" i="6"/>
  <c r="F75" i="6"/>
  <c r="E75" i="6"/>
  <c r="D75" i="6"/>
  <c r="C75" i="6"/>
  <c r="B75" i="6"/>
  <c r="A75" i="6"/>
  <c r="K74" i="6"/>
  <c r="J74" i="6"/>
  <c r="I74" i="6"/>
  <c r="H74" i="6"/>
  <c r="G74" i="6"/>
  <c r="F74" i="6"/>
  <c r="E74" i="6"/>
  <c r="D74" i="6"/>
  <c r="C74" i="6"/>
  <c r="B74" i="6"/>
  <c r="A74" i="6"/>
  <c r="K73" i="6"/>
  <c r="J73" i="6"/>
  <c r="I73" i="6"/>
  <c r="H73" i="6"/>
  <c r="G73" i="6"/>
  <c r="F73" i="6"/>
  <c r="E73" i="6"/>
  <c r="D73" i="6"/>
  <c r="C73" i="6"/>
  <c r="B73" i="6"/>
  <c r="A73" i="6"/>
  <c r="K72" i="6"/>
  <c r="J72" i="6"/>
  <c r="I72" i="6"/>
  <c r="H72" i="6"/>
  <c r="G72" i="6"/>
  <c r="F72" i="6"/>
  <c r="E72" i="6"/>
  <c r="D72" i="6"/>
  <c r="C72" i="6"/>
  <c r="B72" i="6"/>
  <c r="A72" i="6"/>
  <c r="K71" i="6"/>
  <c r="J71" i="6"/>
  <c r="I71" i="6"/>
  <c r="H71" i="6"/>
  <c r="G71" i="6"/>
  <c r="F71" i="6"/>
  <c r="E71" i="6"/>
  <c r="D71" i="6"/>
  <c r="C71" i="6"/>
  <c r="B71" i="6"/>
  <c r="A71" i="6"/>
  <c r="K70" i="6"/>
  <c r="J70" i="6"/>
  <c r="I70" i="6"/>
  <c r="H70" i="6"/>
  <c r="G70" i="6"/>
  <c r="F70" i="6"/>
  <c r="E70" i="6"/>
  <c r="D70" i="6"/>
  <c r="C70" i="6"/>
  <c r="B70" i="6"/>
  <c r="A70" i="6"/>
  <c r="K69" i="6"/>
  <c r="J69" i="6"/>
  <c r="I69" i="6"/>
  <c r="H69" i="6"/>
  <c r="G69" i="6"/>
  <c r="F69" i="6"/>
  <c r="E69" i="6"/>
  <c r="D69" i="6"/>
  <c r="C69" i="6"/>
  <c r="B69" i="6"/>
  <c r="A69" i="6"/>
  <c r="K68" i="6"/>
  <c r="J68" i="6"/>
  <c r="I68" i="6"/>
  <c r="H68" i="6"/>
  <c r="G68" i="6"/>
  <c r="F68" i="6"/>
  <c r="E68" i="6"/>
  <c r="D68" i="6"/>
  <c r="C68" i="6"/>
  <c r="B68" i="6"/>
  <c r="A68" i="6"/>
  <c r="K67" i="6"/>
  <c r="J67" i="6"/>
  <c r="I67" i="6"/>
  <c r="H67" i="6"/>
  <c r="G67" i="6"/>
  <c r="F67" i="6"/>
  <c r="E67" i="6"/>
  <c r="D67" i="6"/>
  <c r="C67" i="6"/>
  <c r="B67" i="6"/>
  <c r="A67" i="6"/>
  <c r="K66" i="6"/>
  <c r="J66" i="6"/>
  <c r="I66" i="6"/>
  <c r="H66" i="6"/>
  <c r="G66" i="6"/>
  <c r="F66" i="6"/>
  <c r="E66" i="6"/>
  <c r="D66" i="6"/>
  <c r="C66" i="6"/>
  <c r="B66" i="6"/>
  <c r="A66" i="6"/>
  <c r="K65" i="6"/>
  <c r="J65" i="6"/>
  <c r="I65" i="6"/>
  <c r="H65" i="6"/>
  <c r="G65" i="6"/>
  <c r="F65" i="6"/>
  <c r="E65" i="6"/>
  <c r="D65" i="6"/>
  <c r="C65" i="6"/>
  <c r="B65" i="6"/>
  <c r="A65" i="6"/>
  <c r="K64" i="6"/>
  <c r="J64" i="6"/>
  <c r="I64" i="6"/>
  <c r="H64" i="6"/>
  <c r="G64" i="6"/>
  <c r="F64" i="6"/>
  <c r="E64" i="6"/>
  <c r="D64" i="6"/>
  <c r="C64" i="6"/>
  <c r="B64" i="6"/>
  <c r="A64" i="6"/>
  <c r="K63" i="6"/>
  <c r="J63" i="6"/>
  <c r="I63" i="6"/>
  <c r="H63" i="6"/>
  <c r="G63" i="6"/>
  <c r="F63" i="6"/>
  <c r="E63" i="6"/>
  <c r="D63" i="6"/>
  <c r="C63" i="6"/>
  <c r="B63" i="6"/>
  <c r="A63" i="6"/>
  <c r="K62" i="6"/>
  <c r="J62" i="6"/>
  <c r="I62" i="6"/>
  <c r="H62" i="6"/>
  <c r="G62" i="6"/>
  <c r="F62" i="6"/>
  <c r="E62" i="6"/>
  <c r="D62" i="6"/>
  <c r="C62" i="6"/>
  <c r="B62" i="6"/>
  <c r="A62" i="6"/>
  <c r="K61" i="6"/>
  <c r="J61" i="6"/>
  <c r="I61" i="6"/>
  <c r="H61" i="6"/>
  <c r="G61" i="6"/>
  <c r="F61" i="6"/>
  <c r="E61" i="6"/>
  <c r="D61" i="6"/>
  <c r="C61" i="6"/>
  <c r="B61" i="6"/>
  <c r="A61" i="6"/>
  <c r="K60" i="6"/>
  <c r="J60" i="6"/>
  <c r="I60" i="6"/>
  <c r="H60" i="6"/>
  <c r="G60" i="6"/>
  <c r="F60" i="6"/>
  <c r="E60" i="6"/>
  <c r="D60" i="6"/>
  <c r="C60" i="6"/>
  <c r="B60" i="6"/>
  <c r="A60" i="6"/>
  <c r="K59" i="6"/>
  <c r="J59" i="6"/>
  <c r="I59" i="6"/>
  <c r="H59" i="6"/>
  <c r="G59" i="6"/>
  <c r="F59" i="6"/>
  <c r="E59" i="6"/>
  <c r="D59" i="6"/>
  <c r="C59" i="6"/>
  <c r="B59" i="6"/>
  <c r="A59" i="6"/>
  <c r="K58" i="6"/>
  <c r="J58" i="6"/>
  <c r="I58" i="6"/>
  <c r="H58" i="6"/>
  <c r="G58" i="6"/>
  <c r="F58" i="6"/>
  <c r="E58" i="6"/>
  <c r="D58" i="6"/>
  <c r="C58" i="6"/>
  <c r="B58" i="6"/>
  <c r="A58" i="6"/>
  <c r="K57" i="6"/>
  <c r="J57" i="6"/>
  <c r="I57" i="6"/>
  <c r="H57" i="6"/>
  <c r="G57" i="6"/>
  <c r="F57" i="6"/>
  <c r="E57" i="6"/>
  <c r="D57" i="6"/>
  <c r="C57" i="6"/>
  <c r="B57" i="6"/>
  <c r="A57" i="6"/>
  <c r="K56" i="6"/>
  <c r="J56" i="6"/>
  <c r="I56" i="6"/>
  <c r="H56" i="6"/>
  <c r="G56" i="6"/>
  <c r="F56" i="6"/>
  <c r="E56" i="6"/>
  <c r="D56" i="6"/>
  <c r="C56" i="6"/>
  <c r="B56" i="6"/>
  <c r="A56" i="6"/>
  <c r="K55" i="6"/>
  <c r="J55" i="6"/>
  <c r="I55" i="6"/>
  <c r="H55" i="6"/>
  <c r="G55" i="6"/>
  <c r="F55" i="6"/>
  <c r="E55" i="6"/>
  <c r="D55" i="6"/>
  <c r="C55" i="6"/>
  <c r="B55" i="6"/>
  <c r="A55" i="6"/>
  <c r="K54" i="6"/>
  <c r="J54" i="6"/>
  <c r="I54" i="6"/>
  <c r="H54" i="6"/>
  <c r="G54" i="6"/>
  <c r="F54" i="6"/>
  <c r="E54" i="6"/>
  <c r="D54" i="6"/>
  <c r="C54" i="6"/>
  <c r="B54" i="6"/>
  <c r="A54" i="6"/>
  <c r="K53" i="6"/>
  <c r="J53" i="6"/>
  <c r="I53" i="6"/>
  <c r="H53" i="6"/>
  <c r="G53" i="6"/>
  <c r="F53" i="6"/>
  <c r="E53" i="6"/>
  <c r="D53" i="6"/>
  <c r="C53" i="6"/>
  <c r="B53" i="6"/>
  <c r="A53" i="6"/>
  <c r="K52" i="6"/>
  <c r="J52" i="6"/>
  <c r="I52" i="6"/>
  <c r="H52" i="6"/>
  <c r="G52" i="6"/>
  <c r="F52" i="6"/>
  <c r="E52" i="6"/>
  <c r="D52" i="6"/>
  <c r="C52" i="6"/>
  <c r="B52" i="6"/>
  <c r="A52" i="6"/>
  <c r="K51" i="6"/>
  <c r="J51" i="6"/>
  <c r="I51" i="6"/>
  <c r="H51" i="6"/>
  <c r="G51" i="6"/>
  <c r="F51" i="6"/>
  <c r="E51" i="6"/>
  <c r="D51" i="6"/>
  <c r="C51" i="6"/>
  <c r="B51" i="6"/>
  <c r="A51" i="6"/>
  <c r="K50" i="6"/>
  <c r="J50" i="6"/>
  <c r="I50" i="6"/>
  <c r="H50" i="6"/>
  <c r="G50" i="6"/>
  <c r="F50" i="6"/>
  <c r="E50" i="6"/>
  <c r="D50" i="6"/>
  <c r="C50" i="6"/>
  <c r="B50" i="6"/>
  <c r="A50" i="6"/>
  <c r="K49" i="6"/>
  <c r="J49" i="6"/>
  <c r="I49" i="6"/>
  <c r="H49" i="6"/>
  <c r="G49" i="6"/>
  <c r="F49" i="6"/>
  <c r="E49" i="6"/>
  <c r="D49" i="6"/>
  <c r="C49" i="6"/>
  <c r="B49" i="6"/>
  <c r="A49" i="6"/>
  <c r="K48" i="6"/>
  <c r="J48" i="6"/>
  <c r="I48" i="6"/>
  <c r="H48" i="6"/>
  <c r="G48" i="6"/>
  <c r="F48" i="6"/>
  <c r="E48" i="6"/>
  <c r="D48" i="6"/>
  <c r="C48" i="6"/>
  <c r="B48" i="6"/>
  <c r="A48" i="6"/>
  <c r="K47" i="6"/>
  <c r="J47" i="6"/>
  <c r="I47" i="6"/>
  <c r="H47" i="6"/>
  <c r="G47" i="6"/>
  <c r="F47" i="6"/>
  <c r="E47" i="6"/>
  <c r="D47" i="6"/>
  <c r="C47" i="6"/>
  <c r="B47" i="6"/>
  <c r="A47" i="6"/>
  <c r="K46" i="6"/>
  <c r="J46" i="6"/>
  <c r="I46" i="6"/>
  <c r="H46" i="6"/>
  <c r="G46" i="6"/>
  <c r="F46" i="6"/>
  <c r="E46" i="6"/>
  <c r="D46" i="6"/>
  <c r="C46" i="6"/>
  <c r="B46" i="6"/>
  <c r="A46" i="6"/>
  <c r="K45" i="6"/>
  <c r="J45" i="6"/>
  <c r="I45" i="6"/>
  <c r="H45" i="6"/>
  <c r="G45" i="6"/>
  <c r="F45" i="6"/>
  <c r="E45" i="6"/>
  <c r="D45" i="6"/>
  <c r="C45" i="6"/>
  <c r="B45" i="6"/>
  <c r="A45" i="6"/>
  <c r="K44" i="6"/>
  <c r="J44" i="6"/>
  <c r="I44" i="6"/>
  <c r="H44" i="6"/>
  <c r="G44" i="6"/>
  <c r="F44" i="6"/>
  <c r="E44" i="6"/>
  <c r="D44" i="6"/>
  <c r="C44" i="6"/>
  <c r="B44" i="6"/>
  <c r="A44" i="6"/>
  <c r="K43" i="6"/>
  <c r="J43" i="6"/>
  <c r="I43" i="6"/>
  <c r="H43" i="6"/>
  <c r="G43" i="6"/>
  <c r="F43" i="6"/>
  <c r="E43" i="6"/>
  <c r="D43" i="6"/>
  <c r="C43" i="6"/>
  <c r="B43" i="6"/>
  <c r="A43" i="6"/>
  <c r="K42" i="6"/>
  <c r="J42" i="6"/>
  <c r="I42" i="6"/>
  <c r="H42" i="6"/>
  <c r="G42" i="6"/>
  <c r="F42" i="6"/>
  <c r="E42" i="6"/>
  <c r="D42" i="6"/>
  <c r="C42" i="6"/>
  <c r="B42" i="6"/>
  <c r="A42" i="6"/>
  <c r="K41" i="6"/>
  <c r="J41" i="6"/>
  <c r="I41" i="6"/>
  <c r="H41" i="6"/>
  <c r="G41" i="6"/>
  <c r="F41" i="6"/>
  <c r="E41" i="6"/>
  <c r="D41" i="6"/>
  <c r="C41" i="6"/>
  <c r="B41" i="6"/>
  <c r="A41" i="6"/>
  <c r="K40" i="6"/>
  <c r="J40" i="6"/>
  <c r="I40" i="6"/>
  <c r="H40" i="6"/>
  <c r="G40" i="6"/>
  <c r="F40" i="6"/>
  <c r="E40" i="6"/>
  <c r="D40" i="6"/>
  <c r="C40" i="6"/>
  <c r="B40" i="6"/>
  <c r="A40" i="6"/>
  <c r="K39" i="6"/>
  <c r="J39" i="6"/>
  <c r="I39" i="6"/>
  <c r="H39" i="6"/>
  <c r="G39" i="6"/>
  <c r="F39" i="6"/>
  <c r="E39" i="6"/>
  <c r="D39" i="6"/>
  <c r="C39" i="6"/>
  <c r="B39" i="6"/>
  <c r="A39" i="6"/>
  <c r="K38" i="6"/>
  <c r="J38" i="6"/>
  <c r="I38" i="6"/>
  <c r="H38" i="6"/>
  <c r="G38" i="6"/>
  <c r="F38" i="6"/>
  <c r="E38" i="6"/>
  <c r="D38" i="6"/>
  <c r="C38" i="6"/>
  <c r="B38" i="6"/>
  <c r="A38" i="6"/>
  <c r="K37" i="6"/>
  <c r="J37" i="6"/>
  <c r="I37" i="6"/>
  <c r="H37" i="6"/>
  <c r="G37" i="6"/>
  <c r="F37" i="6"/>
  <c r="E37" i="6"/>
  <c r="D37" i="6"/>
  <c r="C37" i="6"/>
  <c r="B37" i="6"/>
  <c r="A37" i="6"/>
  <c r="K36" i="6"/>
  <c r="J36" i="6"/>
  <c r="I36" i="6"/>
  <c r="H36" i="6"/>
  <c r="G36" i="6"/>
  <c r="F36" i="6"/>
  <c r="E36" i="6"/>
  <c r="D36" i="6"/>
  <c r="C36" i="6"/>
  <c r="B36" i="6"/>
  <c r="A36" i="6"/>
  <c r="K35" i="6"/>
  <c r="J35" i="6"/>
  <c r="I35" i="6"/>
  <c r="H35" i="6"/>
  <c r="G35" i="6"/>
  <c r="F35" i="6"/>
  <c r="E35" i="6"/>
  <c r="D35" i="6"/>
  <c r="C35" i="6"/>
  <c r="B35" i="6"/>
  <c r="A35" i="6"/>
  <c r="K34" i="6"/>
  <c r="J34" i="6"/>
  <c r="I34" i="6"/>
  <c r="H34" i="6"/>
  <c r="G34" i="6"/>
  <c r="F34" i="6"/>
  <c r="E34" i="6"/>
  <c r="D34" i="6"/>
  <c r="C34" i="6"/>
  <c r="B34" i="6"/>
  <c r="A34" i="6"/>
  <c r="K33" i="6"/>
  <c r="J33" i="6"/>
  <c r="I33" i="6"/>
  <c r="H33" i="6"/>
  <c r="G33" i="6"/>
  <c r="F33" i="6"/>
  <c r="E33" i="6"/>
  <c r="D33" i="6"/>
  <c r="C33" i="6"/>
  <c r="B33" i="6"/>
  <c r="A33" i="6"/>
  <c r="K32" i="6"/>
  <c r="J32" i="6"/>
  <c r="I32" i="6"/>
  <c r="H32" i="6"/>
  <c r="G32" i="6"/>
  <c r="F32" i="6"/>
  <c r="E32" i="6"/>
  <c r="D32" i="6"/>
  <c r="C32" i="6"/>
  <c r="B32" i="6"/>
  <c r="A32" i="6"/>
  <c r="K31" i="6"/>
  <c r="J31" i="6"/>
  <c r="I31" i="6"/>
  <c r="H31" i="6"/>
  <c r="G31" i="6"/>
  <c r="F31" i="6"/>
  <c r="E31" i="6"/>
  <c r="D31" i="6"/>
  <c r="C31" i="6"/>
  <c r="B31" i="6"/>
  <c r="A31" i="6"/>
  <c r="K30" i="6"/>
  <c r="J30" i="6"/>
  <c r="I30" i="6"/>
  <c r="H30" i="6"/>
  <c r="G30" i="6"/>
  <c r="F30" i="6"/>
  <c r="E30" i="6"/>
  <c r="D30" i="6"/>
  <c r="C30" i="6"/>
  <c r="B30" i="6"/>
  <c r="A30" i="6"/>
  <c r="K29" i="6"/>
  <c r="J29" i="6"/>
  <c r="I29" i="6"/>
  <c r="H29" i="6"/>
  <c r="G29" i="6"/>
  <c r="F29" i="6"/>
  <c r="E29" i="6"/>
  <c r="D29" i="6"/>
  <c r="C29" i="6"/>
  <c r="B29" i="6"/>
  <c r="A29" i="6"/>
  <c r="K28" i="6"/>
  <c r="J28" i="6"/>
  <c r="I28" i="6"/>
  <c r="H28" i="6"/>
  <c r="G28" i="6"/>
  <c r="F28" i="6"/>
  <c r="E28" i="6"/>
  <c r="D28" i="6"/>
  <c r="C28" i="6"/>
  <c r="B28" i="6"/>
  <c r="A28" i="6"/>
  <c r="K27" i="6"/>
  <c r="J27" i="6"/>
  <c r="I27" i="6"/>
  <c r="H27" i="6"/>
  <c r="G27" i="6"/>
  <c r="F27" i="6"/>
  <c r="E27" i="6"/>
  <c r="D27" i="6"/>
  <c r="C27" i="6"/>
  <c r="B27" i="6"/>
  <c r="A27" i="6"/>
  <c r="K26" i="6"/>
  <c r="J26" i="6"/>
  <c r="I26" i="6"/>
  <c r="H26" i="6"/>
  <c r="G26" i="6"/>
  <c r="F26" i="6"/>
  <c r="E26" i="6"/>
  <c r="D26" i="6"/>
  <c r="C26" i="6"/>
  <c r="B26" i="6"/>
  <c r="A26" i="6"/>
  <c r="K25" i="6"/>
  <c r="J25" i="6"/>
  <c r="I25" i="6"/>
  <c r="H25" i="6"/>
  <c r="G25" i="6"/>
  <c r="F25" i="6"/>
  <c r="E25" i="6"/>
  <c r="D25" i="6"/>
  <c r="C25" i="6"/>
  <c r="B25" i="6"/>
  <c r="A25" i="6"/>
  <c r="K24" i="6"/>
  <c r="J24" i="6"/>
  <c r="I24" i="6"/>
  <c r="H24" i="6"/>
  <c r="G24" i="6"/>
  <c r="F24" i="6"/>
  <c r="E24" i="6"/>
  <c r="D24" i="6"/>
  <c r="C24" i="6"/>
  <c r="B24" i="6"/>
  <c r="A24" i="6"/>
  <c r="K23" i="6"/>
  <c r="J23" i="6"/>
  <c r="I23" i="6"/>
  <c r="H23" i="6"/>
  <c r="G23" i="6"/>
  <c r="F23" i="6"/>
  <c r="E23" i="6"/>
  <c r="D23" i="6"/>
  <c r="C23" i="6"/>
  <c r="B23" i="6"/>
  <c r="A23" i="6"/>
  <c r="K22" i="6"/>
  <c r="J22" i="6"/>
  <c r="I22" i="6"/>
  <c r="H22" i="6"/>
  <c r="G22" i="6"/>
  <c r="F22" i="6"/>
  <c r="E22" i="6"/>
  <c r="D22" i="6"/>
  <c r="C22" i="6"/>
  <c r="B22" i="6"/>
  <c r="A22" i="6"/>
  <c r="K21" i="6"/>
  <c r="J21" i="6"/>
  <c r="I21" i="6"/>
  <c r="H21" i="6"/>
  <c r="G21" i="6"/>
  <c r="F21" i="6"/>
  <c r="E21" i="6"/>
  <c r="D21" i="6"/>
  <c r="C21" i="6"/>
  <c r="B21" i="6"/>
  <c r="A21" i="6"/>
  <c r="K20" i="6"/>
  <c r="J20" i="6"/>
  <c r="I20" i="6"/>
  <c r="H20" i="6"/>
  <c r="G20" i="6"/>
  <c r="F20" i="6"/>
  <c r="E20" i="6"/>
  <c r="D20" i="6"/>
  <c r="C20" i="6"/>
  <c r="B20" i="6"/>
  <c r="A20" i="6"/>
  <c r="K19" i="6"/>
  <c r="J19" i="6"/>
  <c r="I19" i="6"/>
  <c r="H19" i="6"/>
  <c r="G19" i="6"/>
  <c r="F19" i="6"/>
  <c r="E19" i="6"/>
  <c r="D19" i="6"/>
  <c r="C19" i="6"/>
  <c r="B19" i="6"/>
  <c r="A19" i="6"/>
  <c r="K18" i="6"/>
  <c r="J18" i="6"/>
  <c r="I18" i="6"/>
  <c r="H18" i="6"/>
  <c r="G18" i="6"/>
  <c r="F18" i="6"/>
  <c r="E18" i="6"/>
  <c r="D18" i="6"/>
  <c r="C18" i="6"/>
  <c r="B18" i="6"/>
  <c r="A18" i="6"/>
  <c r="K17" i="6"/>
  <c r="J17" i="6"/>
  <c r="I17" i="6"/>
  <c r="H17" i="6"/>
  <c r="G17" i="6"/>
  <c r="F17" i="6"/>
  <c r="E17" i="6"/>
  <c r="D17" i="6"/>
  <c r="C17" i="6"/>
  <c r="B17" i="6"/>
  <c r="A17" i="6"/>
  <c r="K16" i="6"/>
  <c r="J16" i="6"/>
  <c r="I16" i="6"/>
  <c r="H16" i="6"/>
  <c r="G16" i="6"/>
  <c r="F16" i="6"/>
  <c r="E16" i="6"/>
  <c r="D16" i="6"/>
  <c r="C16" i="6"/>
  <c r="B16" i="6"/>
  <c r="A16" i="6"/>
  <c r="K15" i="6"/>
  <c r="J15" i="6"/>
  <c r="I15" i="6"/>
  <c r="H15" i="6"/>
  <c r="G15" i="6"/>
  <c r="F15" i="6"/>
  <c r="E15" i="6"/>
  <c r="D15" i="6"/>
  <c r="C15" i="6"/>
  <c r="B15" i="6"/>
  <c r="A15" i="6"/>
  <c r="K14" i="6"/>
  <c r="J14" i="6"/>
  <c r="I14" i="6"/>
  <c r="H14" i="6"/>
  <c r="G14" i="6"/>
  <c r="F14" i="6"/>
  <c r="E14" i="6"/>
  <c r="D14" i="6"/>
  <c r="C14" i="6"/>
  <c r="B14" i="6"/>
  <c r="A14" i="6"/>
  <c r="K13" i="6"/>
  <c r="J13" i="6"/>
  <c r="I13" i="6"/>
  <c r="H13" i="6"/>
  <c r="G13" i="6"/>
  <c r="F13" i="6"/>
  <c r="E13" i="6"/>
  <c r="D13" i="6"/>
  <c r="C13" i="6"/>
  <c r="B13" i="6"/>
  <c r="A13" i="6"/>
  <c r="K12" i="6"/>
  <c r="J12" i="6"/>
  <c r="I12" i="6"/>
  <c r="H12" i="6"/>
  <c r="G12" i="6"/>
  <c r="F12" i="6"/>
  <c r="E12" i="6"/>
  <c r="D12" i="6"/>
  <c r="C12" i="6"/>
  <c r="B12" i="6"/>
  <c r="A12" i="6"/>
  <c r="K11" i="6"/>
  <c r="J11" i="6"/>
  <c r="I11" i="6"/>
  <c r="H11" i="6"/>
  <c r="G11" i="6"/>
  <c r="F11" i="6"/>
  <c r="E11" i="6"/>
  <c r="D11" i="6"/>
  <c r="C11" i="6"/>
  <c r="B11" i="6"/>
  <c r="A11" i="6"/>
  <c r="K10" i="6"/>
  <c r="J10" i="6"/>
  <c r="I10" i="6"/>
  <c r="H10" i="6"/>
  <c r="G10" i="6"/>
  <c r="F10" i="6"/>
  <c r="E10" i="6"/>
  <c r="D10" i="6"/>
  <c r="C10" i="6"/>
  <c r="B10" i="6"/>
  <c r="A10" i="6"/>
  <c r="K9" i="6"/>
  <c r="J9" i="6"/>
  <c r="I9" i="6"/>
  <c r="H9" i="6"/>
  <c r="G9" i="6"/>
  <c r="F9" i="6"/>
  <c r="E9" i="6"/>
  <c r="D9" i="6"/>
  <c r="C9" i="6"/>
  <c r="B9" i="6"/>
  <c r="A9" i="6"/>
  <c r="K8" i="6"/>
  <c r="J8" i="6"/>
  <c r="I8" i="6"/>
  <c r="H8" i="6"/>
  <c r="G8" i="6"/>
  <c r="F8" i="6"/>
  <c r="E8" i="6"/>
  <c r="D8" i="6"/>
  <c r="C8" i="6"/>
  <c r="B8" i="6"/>
  <c r="A8" i="6"/>
  <c r="K7" i="6"/>
  <c r="J7" i="6"/>
  <c r="I7" i="6"/>
  <c r="H7" i="6"/>
  <c r="G7" i="6"/>
  <c r="F7" i="6"/>
  <c r="E7" i="6"/>
  <c r="D7" i="6"/>
  <c r="C7" i="6"/>
  <c r="B7" i="6"/>
  <c r="A7" i="6"/>
  <c r="K6" i="6"/>
  <c r="J6" i="6"/>
  <c r="I6" i="6"/>
  <c r="H6" i="6"/>
  <c r="G6" i="6"/>
  <c r="F6" i="6"/>
  <c r="E6" i="6"/>
  <c r="D6" i="6"/>
  <c r="C6" i="6"/>
  <c r="B6" i="6"/>
  <c r="A6" i="6"/>
  <c r="K5" i="6"/>
  <c r="J5" i="6"/>
  <c r="I5" i="6"/>
  <c r="H5" i="6"/>
  <c r="G5" i="6"/>
  <c r="F5" i="6"/>
  <c r="E5" i="6"/>
  <c r="D5" i="6"/>
  <c r="C5" i="6"/>
  <c r="B5" i="6"/>
  <c r="A5" i="6"/>
  <c r="K4" i="6"/>
  <c r="J4" i="6"/>
  <c r="I4" i="6"/>
  <c r="H4" i="6"/>
  <c r="G4" i="6"/>
  <c r="F4" i="6"/>
  <c r="E4" i="6"/>
  <c r="D4" i="6"/>
  <c r="C4" i="6"/>
  <c r="B4" i="6"/>
  <c r="A4" i="6"/>
  <c r="K3" i="6"/>
  <c r="J3" i="6"/>
  <c r="I3" i="6"/>
  <c r="H3" i="6"/>
  <c r="G3" i="6"/>
  <c r="F3" i="6"/>
  <c r="E3" i="6"/>
  <c r="D3" i="6"/>
  <c r="C3" i="6"/>
  <c r="B3" i="6"/>
  <c r="A3" i="6"/>
  <c r="K2" i="6"/>
  <c r="J2" i="6"/>
  <c r="I2" i="6"/>
  <c r="H2" i="6"/>
  <c r="G2" i="6"/>
  <c r="F2" i="6"/>
  <c r="E2" i="6"/>
  <c r="D2" i="6"/>
  <c r="C2" i="6"/>
  <c r="B2" i="6"/>
  <c r="A2" i="6"/>
  <c r="K180" i="5"/>
  <c r="J180" i="5"/>
  <c r="I180" i="5"/>
  <c r="H180" i="5"/>
  <c r="G180" i="5"/>
  <c r="F180" i="5"/>
  <c r="E180" i="5"/>
  <c r="D180" i="5"/>
  <c r="C180" i="5"/>
  <c r="B180" i="5"/>
  <c r="A180" i="5"/>
  <c r="K179" i="5"/>
  <c r="J179" i="5"/>
  <c r="I179" i="5"/>
  <c r="H179" i="5"/>
  <c r="G179" i="5"/>
  <c r="F179" i="5"/>
  <c r="E179" i="5"/>
  <c r="D179" i="5"/>
  <c r="C179" i="5"/>
  <c r="B179" i="5"/>
  <c r="A179" i="5"/>
  <c r="K178" i="5"/>
  <c r="J178" i="5"/>
  <c r="I178" i="5"/>
  <c r="H178" i="5"/>
  <c r="G178" i="5"/>
  <c r="F178" i="5"/>
  <c r="E178" i="5"/>
  <c r="D178" i="5"/>
  <c r="C178" i="5"/>
  <c r="B178" i="5"/>
  <c r="A178" i="5"/>
  <c r="K177" i="5"/>
  <c r="J177" i="5"/>
  <c r="I177" i="5"/>
  <c r="H177" i="5"/>
  <c r="G177" i="5"/>
  <c r="F177" i="5"/>
  <c r="E177" i="5"/>
  <c r="D177" i="5"/>
  <c r="C177" i="5"/>
  <c r="B177" i="5"/>
  <c r="A177" i="5"/>
  <c r="K176" i="5"/>
  <c r="J176" i="5"/>
  <c r="I176" i="5"/>
  <c r="H176" i="5"/>
  <c r="G176" i="5"/>
  <c r="F176" i="5"/>
  <c r="E176" i="5"/>
  <c r="D176" i="5"/>
  <c r="C176" i="5"/>
  <c r="B176" i="5"/>
  <c r="A176" i="5"/>
  <c r="K175" i="5"/>
  <c r="J175" i="5"/>
  <c r="I175" i="5"/>
  <c r="H175" i="5"/>
  <c r="G175" i="5"/>
  <c r="F175" i="5"/>
  <c r="E175" i="5"/>
  <c r="D175" i="5"/>
  <c r="C175" i="5"/>
  <c r="B175" i="5"/>
  <c r="A175" i="5"/>
  <c r="K174" i="5"/>
  <c r="J174" i="5"/>
  <c r="I174" i="5"/>
  <c r="H174" i="5"/>
  <c r="G174" i="5"/>
  <c r="F174" i="5"/>
  <c r="E174" i="5"/>
  <c r="D174" i="5"/>
  <c r="C174" i="5"/>
  <c r="B174" i="5"/>
  <c r="A174" i="5"/>
  <c r="K173" i="5"/>
  <c r="J173" i="5"/>
  <c r="I173" i="5"/>
  <c r="H173" i="5"/>
  <c r="G173" i="5"/>
  <c r="F173" i="5"/>
  <c r="E173" i="5"/>
  <c r="D173" i="5"/>
  <c r="C173" i="5"/>
  <c r="B173" i="5"/>
  <c r="A173" i="5"/>
  <c r="K172" i="5"/>
  <c r="J172" i="5"/>
  <c r="I172" i="5"/>
  <c r="H172" i="5"/>
  <c r="G172" i="5"/>
  <c r="F172" i="5"/>
  <c r="E172" i="5"/>
  <c r="D172" i="5"/>
  <c r="C172" i="5"/>
  <c r="B172" i="5"/>
  <c r="A172" i="5"/>
  <c r="K171" i="5"/>
  <c r="J171" i="5"/>
  <c r="I171" i="5"/>
  <c r="H171" i="5"/>
  <c r="G171" i="5"/>
  <c r="F171" i="5"/>
  <c r="E171" i="5"/>
  <c r="D171" i="5"/>
  <c r="C171" i="5"/>
  <c r="B171" i="5"/>
  <c r="A171" i="5"/>
  <c r="K170" i="5"/>
  <c r="J170" i="5"/>
  <c r="I170" i="5"/>
  <c r="H170" i="5"/>
  <c r="G170" i="5"/>
  <c r="F170" i="5"/>
  <c r="E170" i="5"/>
  <c r="D170" i="5"/>
  <c r="C170" i="5"/>
  <c r="B170" i="5"/>
  <c r="A170" i="5"/>
  <c r="K169" i="5"/>
  <c r="J169" i="5"/>
  <c r="I169" i="5"/>
  <c r="H169" i="5"/>
  <c r="G169" i="5"/>
  <c r="F169" i="5"/>
  <c r="E169" i="5"/>
  <c r="D169" i="5"/>
  <c r="C169" i="5"/>
  <c r="B169" i="5"/>
  <c r="A169" i="5"/>
  <c r="K168" i="5"/>
  <c r="J168" i="5"/>
  <c r="I168" i="5"/>
  <c r="H168" i="5"/>
  <c r="G168" i="5"/>
  <c r="F168" i="5"/>
  <c r="E168" i="5"/>
  <c r="D168" i="5"/>
  <c r="C168" i="5"/>
  <c r="B168" i="5"/>
  <c r="A168" i="5"/>
  <c r="K167" i="5"/>
  <c r="J167" i="5"/>
  <c r="I167" i="5"/>
  <c r="H167" i="5"/>
  <c r="G167" i="5"/>
  <c r="F167" i="5"/>
  <c r="E167" i="5"/>
  <c r="D167" i="5"/>
  <c r="C167" i="5"/>
  <c r="B167" i="5"/>
  <c r="A167" i="5"/>
  <c r="K166" i="5"/>
  <c r="J166" i="5"/>
  <c r="I166" i="5"/>
  <c r="H166" i="5"/>
  <c r="G166" i="5"/>
  <c r="F166" i="5"/>
  <c r="E166" i="5"/>
  <c r="D166" i="5"/>
  <c r="C166" i="5"/>
  <c r="B166" i="5"/>
  <c r="A166" i="5"/>
  <c r="K165" i="5"/>
  <c r="J165" i="5"/>
  <c r="I165" i="5"/>
  <c r="H165" i="5"/>
  <c r="G165" i="5"/>
  <c r="F165" i="5"/>
  <c r="E165" i="5"/>
  <c r="D165" i="5"/>
  <c r="C165" i="5"/>
  <c r="B165" i="5"/>
  <c r="A165" i="5"/>
  <c r="K164" i="5"/>
  <c r="J164" i="5"/>
  <c r="I164" i="5"/>
  <c r="H164" i="5"/>
  <c r="G164" i="5"/>
  <c r="F164" i="5"/>
  <c r="E164" i="5"/>
  <c r="D164" i="5"/>
  <c r="C164" i="5"/>
  <c r="B164" i="5"/>
  <c r="A164" i="5"/>
  <c r="K163" i="5"/>
  <c r="J163" i="5"/>
  <c r="I163" i="5"/>
  <c r="H163" i="5"/>
  <c r="G163" i="5"/>
  <c r="F163" i="5"/>
  <c r="E163" i="5"/>
  <c r="D163" i="5"/>
  <c r="C163" i="5"/>
  <c r="B163" i="5"/>
  <c r="A163" i="5"/>
  <c r="K162" i="5"/>
  <c r="J162" i="5"/>
  <c r="I162" i="5"/>
  <c r="H162" i="5"/>
  <c r="G162" i="5"/>
  <c r="F162" i="5"/>
  <c r="E162" i="5"/>
  <c r="D162" i="5"/>
  <c r="C162" i="5"/>
  <c r="B162" i="5"/>
  <c r="A162" i="5"/>
  <c r="K161" i="5"/>
  <c r="J161" i="5"/>
  <c r="I161" i="5"/>
  <c r="H161" i="5"/>
  <c r="G161" i="5"/>
  <c r="F161" i="5"/>
  <c r="E161" i="5"/>
  <c r="D161" i="5"/>
  <c r="C161" i="5"/>
  <c r="B161" i="5"/>
  <c r="A161" i="5"/>
  <c r="K160" i="5"/>
  <c r="J160" i="5"/>
  <c r="I160" i="5"/>
  <c r="H160" i="5"/>
  <c r="G160" i="5"/>
  <c r="F160" i="5"/>
  <c r="E160" i="5"/>
  <c r="D160" i="5"/>
  <c r="C160" i="5"/>
  <c r="B160" i="5"/>
  <c r="A160" i="5"/>
  <c r="K159" i="5"/>
  <c r="J159" i="5"/>
  <c r="I159" i="5"/>
  <c r="H159" i="5"/>
  <c r="G159" i="5"/>
  <c r="F159" i="5"/>
  <c r="E159" i="5"/>
  <c r="D159" i="5"/>
  <c r="C159" i="5"/>
  <c r="B159" i="5"/>
  <c r="A159" i="5"/>
  <c r="K158" i="5"/>
  <c r="J158" i="5"/>
  <c r="I158" i="5"/>
  <c r="H158" i="5"/>
  <c r="G158" i="5"/>
  <c r="F158" i="5"/>
  <c r="E158" i="5"/>
  <c r="D158" i="5"/>
  <c r="C158" i="5"/>
  <c r="B158" i="5"/>
  <c r="A158" i="5"/>
  <c r="K157" i="5"/>
  <c r="J157" i="5"/>
  <c r="I157" i="5"/>
  <c r="H157" i="5"/>
  <c r="G157" i="5"/>
  <c r="F157" i="5"/>
  <c r="E157" i="5"/>
  <c r="D157" i="5"/>
  <c r="C157" i="5"/>
  <c r="B157" i="5"/>
  <c r="A157" i="5"/>
  <c r="K156" i="5"/>
  <c r="J156" i="5"/>
  <c r="I156" i="5"/>
  <c r="H156" i="5"/>
  <c r="G156" i="5"/>
  <c r="F156" i="5"/>
  <c r="E156" i="5"/>
  <c r="D156" i="5"/>
  <c r="C156" i="5"/>
  <c r="B156" i="5"/>
  <c r="A156" i="5"/>
  <c r="K155" i="5"/>
  <c r="J155" i="5"/>
  <c r="I155" i="5"/>
  <c r="H155" i="5"/>
  <c r="G155" i="5"/>
  <c r="F155" i="5"/>
  <c r="E155" i="5"/>
  <c r="D155" i="5"/>
  <c r="C155" i="5"/>
  <c r="B155" i="5"/>
  <c r="A155" i="5"/>
  <c r="K154" i="5"/>
  <c r="J154" i="5"/>
  <c r="I154" i="5"/>
  <c r="H154" i="5"/>
  <c r="G154" i="5"/>
  <c r="F154" i="5"/>
  <c r="E154" i="5"/>
  <c r="D154" i="5"/>
  <c r="C154" i="5"/>
  <c r="B154" i="5"/>
  <c r="A154" i="5"/>
  <c r="K153" i="5"/>
  <c r="J153" i="5"/>
  <c r="I153" i="5"/>
  <c r="H153" i="5"/>
  <c r="G153" i="5"/>
  <c r="F153" i="5"/>
  <c r="E153" i="5"/>
  <c r="D153" i="5"/>
  <c r="C153" i="5"/>
  <c r="B153" i="5"/>
  <c r="A153" i="5"/>
  <c r="K152" i="5"/>
  <c r="J152" i="5"/>
  <c r="I152" i="5"/>
  <c r="H152" i="5"/>
  <c r="G152" i="5"/>
  <c r="F152" i="5"/>
  <c r="E152" i="5"/>
  <c r="D152" i="5"/>
  <c r="C152" i="5"/>
  <c r="B152" i="5"/>
  <c r="A152" i="5"/>
  <c r="K151" i="5"/>
  <c r="J151" i="5"/>
  <c r="I151" i="5"/>
  <c r="H151" i="5"/>
  <c r="G151" i="5"/>
  <c r="F151" i="5"/>
  <c r="E151" i="5"/>
  <c r="D151" i="5"/>
  <c r="C151" i="5"/>
  <c r="B151" i="5"/>
  <c r="A151" i="5"/>
  <c r="K150" i="5"/>
  <c r="J150" i="5"/>
  <c r="I150" i="5"/>
  <c r="H150" i="5"/>
  <c r="G150" i="5"/>
  <c r="F150" i="5"/>
  <c r="E150" i="5"/>
  <c r="D150" i="5"/>
  <c r="C150" i="5"/>
  <c r="B150" i="5"/>
  <c r="A150" i="5"/>
  <c r="K149" i="5"/>
  <c r="J149" i="5"/>
  <c r="I149" i="5"/>
  <c r="H149" i="5"/>
  <c r="G149" i="5"/>
  <c r="F149" i="5"/>
  <c r="E149" i="5"/>
  <c r="D149" i="5"/>
  <c r="C149" i="5"/>
  <c r="B149" i="5"/>
  <c r="A149" i="5"/>
  <c r="K148" i="5"/>
  <c r="J148" i="5"/>
  <c r="I148" i="5"/>
  <c r="H148" i="5"/>
  <c r="G148" i="5"/>
  <c r="F148" i="5"/>
  <c r="E148" i="5"/>
  <c r="D148" i="5"/>
  <c r="C148" i="5"/>
  <c r="B148" i="5"/>
  <c r="A148" i="5"/>
  <c r="K147" i="5"/>
  <c r="J147" i="5"/>
  <c r="I147" i="5"/>
  <c r="H147" i="5"/>
  <c r="G147" i="5"/>
  <c r="F147" i="5"/>
  <c r="E147" i="5"/>
  <c r="D147" i="5"/>
  <c r="C147" i="5"/>
  <c r="B147" i="5"/>
  <c r="A147" i="5"/>
  <c r="K146" i="5"/>
  <c r="J146" i="5"/>
  <c r="I146" i="5"/>
  <c r="H146" i="5"/>
  <c r="G146" i="5"/>
  <c r="F146" i="5"/>
  <c r="E146" i="5"/>
  <c r="D146" i="5"/>
  <c r="C146" i="5"/>
  <c r="B146" i="5"/>
  <c r="A146" i="5"/>
  <c r="K145" i="5"/>
  <c r="J145" i="5"/>
  <c r="I145" i="5"/>
  <c r="H145" i="5"/>
  <c r="G145" i="5"/>
  <c r="F145" i="5"/>
  <c r="E145" i="5"/>
  <c r="D145" i="5"/>
  <c r="C145" i="5"/>
  <c r="B145" i="5"/>
  <c r="A145" i="5"/>
  <c r="K144" i="5"/>
  <c r="J144" i="5"/>
  <c r="I144" i="5"/>
  <c r="H144" i="5"/>
  <c r="G144" i="5"/>
  <c r="F144" i="5"/>
  <c r="E144" i="5"/>
  <c r="D144" i="5"/>
  <c r="C144" i="5"/>
  <c r="B144" i="5"/>
  <c r="A144" i="5"/>
  <c r="K143" i="5"/>
  <c r="J143" i="5"/>
  <c r="I143" i="5"/>
  <c r="H143" i="5"/>
  <c r="G143" i="5"/>
  <c r="F143" i="5"/>
  <c r="E143" i="5"/>
  <c r="D143" i="5"/>
  <c r="C143" i="5"/>
  <c r="B143" i="5"/>
  <c r="A143" i="5"/>
  <c r="K142" i="5"/>
  <c r="J142" i="5"/>
  <c r="I142" i="5"/>
  <c r="H142" i="5"/>
  <c r="G142" i="5"/>
  <c r="F142" i="5"/>
  <c r="E142" i="5"/>
  <c r="D142" i="5"/>
  <c r="C142" i="5"/>
  <c r="B142" i="5"/>
  <c r="A142" i="5"/>
  <c r="K141" i="5"/>
  <c r="J141" i="5"/>
  <c r="I141" i="5"/>
  <c r="H141" i="5"/>
  <c r="G141" i="5"/>
  <c r="F141" i="5"/>
  <c r="E141" i="5"/>
  <c r="D141" i="5"/>
  <c r="C141" i="5"/>
  <c r="B141" i="5"/>
  <c r="A141" i="5"/>
  <c r="K140" i="5"/>
  <c r="J140" i="5"/>
  <c r="I140" i="5"/>
  <c r="H140" i="5"/>
  <c r="G140" i="5"/>
  <c r="F140" i="5"/>
  <c r="E140" i="5"/>
  <c r="D140" i="5"/>
  <c r="C140" i="5"/>
  <c r="B140" i="5"/>
  <c r="A140" i="5"/>
  <c r="K139" i="5"/>
  <c r="J139" i="5"/>
  <c r="I139" i="5"/>
  <c r="H139" i="5"/>
  <c r="G139" i="5"/>
  <c r="F139" i="5"/>
  <c r="E139" i="5"/>
  <c r="D139" i="5"/>
  <c r="C139" i="5"/>
  <c r="B139" i="5"/>
  <c r="A139" i="5"/>
  <c r="K138" i="5"/>
  <c r="J138" i="5"/>
  <c r="I138" i="5"/>
  <c r="H138" i="5"/>
  <c r="G138" i="5"/>
  <c r="F138" i="5"/>
  <c r="E138" i="5"/>
  <c r="D138" i="5"/>
  <c r="C138" i="5"/>
  <c r="B138" i="5"/>
  <c r="A138" i="5"/>
  <c r="K137" i="5"/>
  <c r="J137" i="5"/>
  <c r="I137" i="5"/>
  <c r="H137" i="5"/>
  <c r="G137" i="5"/>
  <c r="F137" i="5"/>
  <c r="E137" i="5"/>
  <c r="D137" i="5"/>
  <c r="C137" i="5"/>
  <c r="B137" i="5"/>
  <c r="A137" i="5"/>
  <c r="K136" i="5"/>
  <c r="J136" i="5"/>
  <c r="I136" i="5"/>
  <c r="H136" i="5"/>
  <c r="G136" i="5"/>
  <c r="F136" i="5"/>
  <c r="E136" i="5"/>
  <c r="D136" i="5"/>
  <c r="C136" i="5"/>
  <c r="B136" i="5"/>
  <c r="A136" i="5"/>
  <c r="K135" i="5"/>
  <c r="J135" i="5"/>
  <c r="I135" i="5"/>
  <c r="H135" i="5"/>
  <c r="G135" i="5"/>
  <c r="F135" i="5"/>
  <c r="E135" i="5"/>
  <c r="D135" i="5"/>
  <c r="C135" i="5"/>
  <c r="B135" i="5"/>
  <c r="A135" i="5"/>
  <c r="K134" i="5"/>
  <c r="J134" i="5"/>
  <c r="I134" i="5"/>
  <c r="H134" i="5"/>
  <c r="G134" i="5"/>
  <c r="F134" i="5"/>
  <c r="E134" i="5"/>
  <c r="D134" i="5"/>
  <c r="C134" i="5"/>
  <c r="B134" i="5"/>
  <c r="A134" i="5"/>
  <c r="K133" i="5"/>
  <c r="J133" i="5"/>
  <c r="I133" i="5"/>
  <c r="H133" i="5"/>
  <c r="G133" i="5"/>
  <c r="F133" i="5"/>
  <c r="E133" i="5"/>
  <c r="D133" i="5"/>
  <c r="C133" i="5"/>
  <c r="B133" i="5"/>
  <c r="A133" i="5"/>
  <c r="K132" i="5"/>
  <c r="J132" i="5"/>
  <c r="I132" i="5"/>
  <c r="H132" i="5"/>
  <c r="G132" i="5"/>
  <c r="F132" i="5"/>
  <c r="E132" i="5"/>
  <c r="D132" i="5"/>
  <c r="C132" i="5"/>
  <c r="B132" i="5"/>
  <c r="A132" i="5"/>
  <c r="K131" i="5"/>
  <c r="J131" i="5"/>
  <c r="I131" i="5"/>
  <c r="H131" i="5"/>
  <c r="G131" i="5"/>
  <c r="F131" i="5"/>
  <c r="E131" i="5"/>
  <c r="D131" i="5"/>
  <c r="C131" i="5"/>
  <c r="B131" i="5"/>
  <c r="A131" i="5"/>
  <c r="K130" i="5"/>
  <c r="J130" i="5"/>
  <c r="I130" i="5"/>
  <c r="H130" i="5"/>
  <c r="G130" i="5"/>
  <c r="F130" i="5"/>
  <c r="E130" i="5"/>
  <c r="D130" i="5"/>
  <c r="C130" i="5"/>
  <c r="B130" i="5"/>
  <c r="A130" i="5"/>
  <c r="K129" i="5"/>
  <c r="J129" i="5"/>
  <c r="I129" i="5"/>
  <c r="H129" i="5"/>
  <c r="G129" i="5"/>
  <c r="F129" i="5"/>
  <c r="E129" i="5"/>
  <c r="D129" i="5"/>
  <c r="C129" i="5"/>
  <c r="B129" i="5"/>
  <c r="A129" i="5"/>
  <c r="K128" i="5"/>
  <c r="J128" i="5"/>
  <c r="I128" i="5"/>
  <c r="H128" i="5"/>
  <c r="G128" i="5"/>
  <c r="F128" i="5"/>
  <c r="E128" i="5"/>
  <c r="D128" i="5"/>
  <c r="C128" i="5"/>
  <c r="B128" i="5"/>
  <c r="A128" i="5"/>
  <c r="K127" i="5"/>
  <c r="J127" i="5"/>
  <c r="I127" i="5"/>
  <c r="H127" i="5"/>
  <c r="G127" i="5"/>
  <c r="F127" i="5"/>
  <c r="E127" i="5"/>
  <c r="D127" i="5"/>
  <c r="C127" i="5"/>
  <c r="B127" i="5"/>
  <c r="A127" i="5"/>
  <c r="K126" i="5"/>
  <c r="J126" i="5"/>
  <c r="I126" i="5"/>
  <c r="H126" i="5"/>
  <c r="G126" i="5"/>
  <c r="F126" i="5"/>
  <c r="E126" i="5"/>
  <c r="D126" i="5"/>
  <c r="C126" i="5"/>
  <c r="B126" i="5"/>
  <c r="A126" i="5"/>
  <c r="K125" i="5"/>
  <c r="J125" i="5"/>
  <c r="I125" i="5"/>
  <c r="H125" i="5"/>
  <c r="G125" i="5"/>
  <c r="F125" i="5"/>
  <c r="E125" i="5"/>
  <c r="D125" i="5"/>
  <c r="C125" i="5"/>
  <c r="B125" i="5"/>
  <c r="A125" i="5"/>
  <c r="K124" i="5"/>
  <c r="J124" i="5"/>
  <c r="I124" i="5"/>
  <c r="H124" i="5"/>
  <c r="G124" i="5"/>
  <c r="F124" i="5"/>
  <c r="E124" i="5"/>
  <c r="D124" i="5"/>
  <c r="C124" i="5"/>
  <c r="B124" i="5"/>
  <c r="A124" i="5"/>
  <c r="K123" i="5"/>
  <c r="J123" i="5"/>
  <c r="I123" i="5"/>
  <c r="H123" i="5"/>
  <c r="G123" i="5"/>
  <c r="F123" i="5"/>
  <c r="E123" i="5"/>
  <c r="D123" i="5"/>
  <c r="C123" i="5"/>
  <c r="B123" i="5"/>
  <c r="A123" i="5"/>
  <c r="K122" i="5"/>
  <c r="J122" i="5"/>
  <c r="I122" i="5"/>
  <c r="H122" i="5"/>
  <c r="G122" i="5"/>
  <c r="F122" i="5"/>
  <c r="E122" i="5"/>
  <c r="D122" i="5"/>
  <c r="C122" i="5"/>
  <c r="B122" i="5"/>
  <c r="A122" i="5"/>
  <c r="K121" i="5"/>
  <c r="J121" i="5"/>
  <c r="I121" i="5"/>
  <c r="H121" i="5"/>
  <c r="G121" i="5"/>
  <c r="F121" i="5"/>
  <c r="E121" i="5"/>
  <c r="D121" i="5"/>
  <c r="C121" i="5"/>
  <c r="B121" i="5"/>
  <c r="A121" i="5"/>
  <c r="K120" i="5"/>
  <c r="J120" i="5"/>
  <c r="I120" i="5"/>
  <c r="H120" i="5"/>
  <c r="G120" i="5"/>
  <c r="F120" i="5"/>
  <c r="E120" i="5"/>
  <c r="D120" i="5"/>
  <c r="C120" i="5"/>
  <c r="B120" i="5"/>
  <c r="A120" i="5"/>
  <c r="K119" i="5"/>
  <c r="J119" i="5"/>
  <c r="I119" i="5"/>
  <c r="H119" i="5"/>
  <c r="G119" i="5"/>
  <c r="F119" i="5"/>
  <c r="E119" i="5"/>
  <c r="D119" i="5"/>
  <c r="C119" i="5"/>
  <c r="B119" i="5"/>
  <c r="A119" i="5"/>
  <c r="K118" i="5"/>
  <c r="J118" i="5"/>
  <c r="I118" i="5"/>
  <c r="H118" i="5"/>
  <c r="G118" i="5"/>
  <c r="F118" i="5"/>
  <c r="E118" i="5"/>
  <c r="D118" i="5"/>
  <c r="C118" i="5"/>
  <c r="B118" i="5"/>
  <c r="A118" i="5"/>
  <c r="K117" i="5"/>
  <c r="J117" i="5"/>
  <c r="I117" i="5"/>
  <c r="H117" i="5"/>
  <c r="G117" i="5"/>
  <c r="F117" i="5"/>
  <c r="E117" i="5"/>
  <c r="D117" i="5"/>
  <c r="C117" i="5"/>
  <c r="B117" i="5"/>
  <c r="A117" i="5"/>
  <c r="K116" i="5"/>
  <c r="J116" i="5"/>
  <c r="I116" i="5"/>
  <c r="H116" i="5"/>
  <c r="G116" i="5"/>
  <c r="F116" i="5"/>
  <c r="E116" i="5"/>
  <c r="D116" i="5"/>
  <c r="C116" i="5"/>
  <c r="B116" i="5"/>
  <c r="A116" i="5"/>
  <c r="K115" i="5"/>
  <c r="J115" i="5"/>
  <c r="I115" i="5"/>
  <c r="H115" i="5"/>
  <c r="G115" i="5"/>
  <c r="F115" i="5"/>
  <c r="E115" i="5"/>
  <c r="D115" i="5"/>
  <c r="C115" i="5"/>
  <c r="B115" i="5"/>
  <c r="A115" i="5"/>
  <c r="K114" i="5"/>
  <c r="J114" i="5"/>
  <c r="I114" i="5"/>
  <c r="H114" i="5"/>
  <c r="G114" i="5"/>
  <c r="F114" i="5"/>
  <c r="E114" i="5"/>
  <c r="D114" i="5"/>
  <c r="C114" i="5"/>
  <c r="B114" i="5"/>
  <c r="A114" i="5"/>
  <c r="K113" i="5"/>
  <c r="J113" i="5"/>
  <c r="I113" i="5"/>
  <c r="H113" i="5"/>
  <c r="G113" i="5"/>
  <c r="F113" i="5"/>
  <c r="E113" i="5"/>
  <c r="D113" i="5"/>
  <c r="C113" i="5"/>
  <c r="B113" i="5"/>
  <c r="A113" i="5"/>
  <c r="K112" i="5"/>
  <c r="J112" i="5"/>
  <c r="I112" i="5"/>
  <c r="H112" i="5"/>
  <c r="G112" i="5"/>
  <c r="F112" i="5"/>
  <c r="E112" i="5"/>
  <c r="D112" i="5"/>
  <c r="C112" i="5"/>
  <c r="B112" i="5"/>
  <c r="A112" i="5"/>
  <c r="K111" i="5"/>
  <c r="J111" i="5"/>
  <c r="I111" i="5"/>
  <c r="H111" i="5"/>
  <c r="G111" i="5"/>
  <c r="F111" i="5"/>
  <c r="E111" i="5"/>
  <c r="D111" i="5"/>
  <c r="C111" i="5"/>
  <c r="B111" i="5"/>
  <c r="A111" i="5"/>
  <c r="K110" i="5"/>
  <c r="J110" i="5"/>
  <c r="I110" i="5"/>
  <c r="H110" i="5"/>
  <c r="G110" i="5"/>
  <c r="F110" i="5"/>
  <c r="E110" i="5"/>
  <c r="D110" i="5"/>
  <c r="C110" i="5"/>
  <c r="B110" i="5"/>
  <c r="A110" i="5"/>
  <c r="K109" i="5"/>
  <c r="J109" i="5"/>
  <c r="I109" i="5"/>
  <c r="H109" i="5"/>
  <c r="G109" i="5"/>
  <c r="F109" i="5"/>
  <c r="E109" i="5"/>
  <c r="D109" i="5"/>
  <c r="C109" i="5"/>
  <c r="B109" i="5"/>
  <c r="A109" i="5"/>
  <c r="K108" i="5"/>
  <c r="J108" i="5"/>
  <c r="I108" i="5"/>
  <c r="H108" i="5"/>
  <c r="G108" i="5"/>
  <c r="F108" i="5"/>
  <c r="E108" i="5"/>
  <c r="D108" i="5"/>
  <c r="C108" i="5"/>
  <c r="B108" i="5"/>
  <c r="A108" i="5"/>
  <c r="K107" i="5"/>
  <c r="J107" i="5"/>
  <c r="I107" i="5"/>
  <c r="H107" i="5"/>
  <c r="G107" i="5"/>
  <c r="F107" i="5"/>
  <c r="E107" i="5"/>
  <c r="D107" i="5"/>
  <c r="C107" i="5"/>
  <c r="B107" i="5"/>
  <c r="A107" i="5"/>
  <c r="K106" i="5"/>
  <c r="J106" i="5"/>
  <c r="I106" i="5"/>
  <c r="H106" i="5"/>
  <c r="G106" i="5"/>
  <c r="F106" i="5"/>
  <c r="E106" i="5"/>
  <c r="D106" i="5"/>
  <c r="C106" i="5"/>
  <c r="B106" i="5"/>
  <c r="A106" i="5"/>
  <c r="K105" i="5"/>
  <c r="J105" i="5"/>
  <c r="I105" i="5"/>
  <c r="H105" i="5"/>
  <c r="G105" i="5"/>
  <c r="F105" i="5"/>
  <c r="E105" i="5"/>
  <c r="D105" i="5"/>
  <c r="C105" i="5"/>
  <c r="B105" i="5"/>
  <c r="A105" i="5"/>
  <c r="K104" i="5"/>
  <c r="J104" i="5"/>
  <c r="I104" i="5"/>
  <c r="H104" i="5"/>
  <c r="G104" i="5"/>
  <c r="F104" i="5"/>
  <c r="E104" i="5"/>
  <c r="D104" i="5"/>
  <c r="C104" i="5"/>
  <c r="B104" i="5"/>
  <c r="A104" i="5"/>
  <c r="K103" i="5"/>
  <c r="J103" i="5"/>
  <c r="I103" i="5"/>
  <c r="H103" i="5"/>
  <c r="G103" i="5"/>
  <c r="F103" i="5"/>
  <c r="E103" i="5"/>
  <c r="D103" i="5"/>
  <c r="C103" i="5"/>
  <c r="B103" i="5"/>
  <c r="A103" i="5"/>
  <c r="K102" i="5"/>
  <c r="J102" i="5"/>
  <c r="I102" i="5"/>
  <c r="H102" i="5"/>
  <c r="G102" i="5"/>
  <c r="F102" i="5"/>
  <c r="E102" i="5"/>
  <c r="D102" i="5"/>
  <c r="C102" i="5"/>
  <c r="B102" i="5"/>
  <c r="A102" i="5"/>
  <c r="K101" i="5"/>
  <c r="J101" i="5"/>
  <c r="I101" i="5"/>
  <c r="H101" i="5"/>
  <c r="G101" i="5"/>
  <c r="F101" i="5"/>
  <c r="E101" i="5"/>
  <c r="D101" i="5"/>
  <c r="C101" i="5"/>
  <c r="B101" i="5"/>
  <c r="A101" i="5"/>
  <c r="K100" i="5"/>
  <c r="J100" i="5"/>
  <c r="I100" i="5"/>
  <c r="H100" i="5"/>
  <c r="G100" i="5"/>
  <c r="F100" i="5"/>
  <c r="E100" i="5"/>
  <c r="D100" i="5"/>
  <c r="C100" i="5"/>
  <c r="B100" i="5"/>
  <c r="A100" i="5"/>
  <c r="K99" i="5"/>
  <c r="J99" i="5"/>
  <c r="I99" i="5"/>
  <c r="H99" i="5"/>
  <c r="G99" i="5"/>
  <c r="F99" i="5"/>
  <c r="E99" i="5"/>
  <c r="D99" i="5"/>
  <c r="C99" i="5"/>
  <c r="B99" i="5"/>
  <c r="A99" i="5"/>
  <c r="K98" i="5"/>
  <c r="J98" i="5"/>
  <c r="I98" i="5"/>
  <c r="H98" i="5"/>
  <c r="G98" i="5"/>
  <c r="F98" i="5"/>
  <c r="E98" i="5"/>
  <c r="D98" i="5"/>
  <c r="C98" i="5"/>
  <c r="B98" i="5"/>
  <c r="A98" i="5"/>
  <c r="K97" i="5"/>
  <c r="J97" i="5"/>
  <c r="I97" i="5"/>
  <c r="H97" i="5"/>
  <c r="G97" i="5"/>
  <c r="F97" i="5"/>
  <c r="E97" i="5"/>
  <c r="D97" i="5"/>
  <c r="C97" i="5"/>
  <c r="B97" i="5"/>
  <c r="A97" i="5"/>
  <c r="K96" i="5"/>
  <c r="J96" i="5"/>
  <c r="I96" i="5"/>
  <c r="H96" i="5"/>
  <c r="G96" i="5"/>
  <c r="F96" i="5"/>
  <c r="E96" i="5"/>
  <c r="D96" i="5"/>
  <c r="C96" i="5"/>
  <c r="B96" i="5"/>
  <c r="A96" i="5"/>
  <c r="K95" i="5"/>
  <c r="J95" i="5"/>
  <c r="I95" i="5"/>
  <c r="H95" i="5"/>
  <c r="G95" i="5"/>
  <c r="F95" i="5"/>
  <c r="E95" i="5"/>
  <c r="D95" i="5"/>
  <c r="C95" i="5"/>
  <c r="B95" i="5"/>
  <c r="A95" i="5"/>
  <c r="K94" i="5"/>
  <c r="J94" i="5"/>
  <c r="I94" i="5"/>
  <c r="H94" i="5"/>
  <c r="G94" i="5"/>
  <c r="F94" i="5"/>
  <c r="E94" i="5"/>
  <c r="D94" i="5"/>
  <c r="C94" i="5"/>
  <c r="B94" i="5"/>
  <c r="A94" i="5"/>
  <c r="K93" i="5"/>
  <c r="J93" i="5"/>
  <c r="I93" i="5"/>
  <c r="H93" i="5"/>
  <c r="G93" i="5"/>
  <c r="F93" i="5"/>
  <c r="E93" i="5"/>
  <c r="D93" i="5"/>
  <c r="C93" i="5"/>
  <c r="B93" i="5"/>
  <c r="A93" i="5"/>
  <c r="K92" i="5"/>
  <c r="J92" i="5"/>
  <c r="I92" i="5"/>
  <c r="H92" i="5"/>
  <c r="G92" i="5"/>
  <c r="F92" i="5"/>
  <c r="E92" i="5"/>
  <c r="D92" i="5"/>
  <c r="C92" i="5"/>
  <c r="B92" i="5"/>
  <c r="A92" i="5"/>
  <c r="K91" i="5"/>
  <c r="J91" i="5"/>
  <c r="I91" i="5"/>
  <c r="H91" i="5"/>
  <c r="G91" i="5"/>
  <c r="F91" i="5"/>
  <c r="E91" i="5"/>
  <c r="D91" i="5"/>
  <c r="C91" i="5"/>
  <c r="B91" i="5"/>
  <c r="A91" i="5"/>
  <c r="K90" i="5"/>
  <c r="J90" i="5"/>
  <c r="I90" i="5"/>
  <c r="H90" i="5"/>
  <c r="G90" i="5"/>
  <c r="F90" i="5"/>
  <c r="E90" i="5"/>
  <c r="D90" i="5"/>
  <c r="C90" i="5"/>
  <c r="B90" i="5"/>
  <c r="A90" i="5"/>
  <c r="K89" i="5"/>
  <c r="J89" i="5"/>
  <c r="I89" i="5"/>
  <c r="H89" i="5"/>
  <c r="G89" i="5"/>
  <c r="F89" i="5"/>
  <c r="E89" i="5"/>
  <c r="D89" i="5"/>
  <c r="C89" i="5"/>
  <c r="B89" i="5"/>
  <c r="A89" i="5"/>
  <c r="K88" i="5"/>
  <c r="J88" i="5"/>
  <c r="I88" i="5"/>
  <c r="H88" i="5"/>
  <c r="G88" i="5"/>
  <c r="F88" i="5"/>
  <c r="E88" i="5"/>
  <c r="D88" i="5"/>
  <c r="C88" i="5"/>
  <c r="B88" i="5"/>
  <c r="A88" i="5"/>
  <c r="K87" i="5"/>
  <c r="J87" i="5"/>
  <c r="I87" i="5"/>
  <c r="H87" i="5"/>
  <c r="G87" i="5"/>
  <c r="F87" i="5"/>
  <c r="E87" i="5"/>
  <c r="D87" i="5"/>
  <c r="C87" i="5"/>
  <c r="B87" i="5"/>
  <c r="A87" i="5"/>
  <c r="K86" i="5"/>
  <c r="J86" i="5"/>
  <c r="I86" i="5"/>
  <c r="H86" i="5"/>
  <c r="G86" i="5"/>
  <c r="F86" i="5"/>
  <c r="E86" i="5"/>
  <c r="D86" i="5"/>
  <c r="C86" i="5"/>
  <c r="B86" i="5"/>
  <c r="A86" i="5"/>
  <c r="K85" i="5"/>
  <c r="J85" i="5"/>
  <c r="I85" i="5"/>
  <c r="H85" i="5"/>
  <c r="G85" i="5"/>
  <c r="F85" i="5"/>
  <c r="E85" i="5"/>
  <c r="D85" i="5"/>
  <c r="C85" i="5"/>
  <c r="B85" i="5"/>
  <c r="A85" i="5"/>
  <c r="K84" i="5"/>
  <c r="J84" i="5"/>
  <c r="I84" i="5"/>
  <c r="H84" i="5"/>
  <c r="G84" i="5"/>
  <c r="F84" i="5"/>
  <c r="E84" i="5"/>
  <c r="D84" i="5"/>
  <c r="C84" i="5"/>
  <c r="B84" i="5"/>
  <c r="A84" i="5"/>
  <c r="K83" i="5"/>
  <c r="J83" i="5"/>
  <c r="I83" i="5"/>
  <c r="H83" i="5"/>
  <c r="G83" i="5"/>
  <c r="F83" i="5"/>
  <c r="E83" i="5"/>
  <c r="D83" i="5"/>
  <c r="C83" i="5"/>
  <c r="B83" i="5"/>
  <c r="A83" i="5"/>
  <c r="K82" i="5"/>
  <c r="J82" i="5"/>
  <c r="I82" i="5"/>
  <c r="H82" i="5"/>
  <c r="G82" i="5"/>
  <c r="F82" i="5"/>
  <c r="E82" i="5"/>
  <c r="D82" i="5"/>
  <c r="C82" i="5"/>
  <c r="B82" i="5"/>
  <c r="A82" i="5"/>
  <c r="K81" i="5"/>
  <c r="J81" i="5"/>
  <c r="I81" i="5"/>
  <c r="H81" i="5"/>
  <c r="G81" i="5"/>
  <c r="F81" i="5"/>
  <c r="E81" i="5"/>
  <c r="D81" i="5"/>
  <c r="C81" i="5"/>
  <c r="B81" i="5"/>
  <c r="A81" i="5"/>
  <c r="K80" i="5"/>
  <c r="J80" i="5"/>
  <c r="I80" i="5"/>
  <c r="H80" i="5"/>
  <c r="G80" i="5"/>
  <c r="F80" i="5"/>
  <c r="E80" i="5"/>
  <c r="D80" i="5"/>
  <c r="C80" i="5"/>
  <c r="B80" i="5"/>
  <c r="A80" i="5"/>
  <c r="K79" i="5"/>
  <c r="J79" i="5"/>
  <c r="I79" i="5"/>
  <c r="H79" i="5"/>
  <c r="G79" i="5"/>
  <c r="F79" i="5"/>
  <c r="E79" i="5"/>
  <c r="D79" i="5"/>
  <c r="C79" i="5"/>
  <c r="B79" i="5"/>
  <c r="A79" i="5"/>
  <c r="K78" i="5"/>
  <c r="J78" i="5"/>
  <c r="I78" i="5"/>
  <c r="H78" i="5"/>
  <c r="G78" i="5"/>
  <c r="F78" i="5"/>
  <c r="E78" i="5"/>
  <c r="D78" i="5"/>
  <c r="C78" i="5"/>
  <c r="B78" i="5"/>
  <c r="A78" i="5"/>
  <c r="K77" i="5"/>
  <c r="J77" i="5"/>
  <c r="I77" i="5"/>
  <c r="H77" i="5"/>
  <c r="G77" i="5"/>
  <c r="F77" i="5"/>
  <c r="E77" i="5"/>
  <c r="D77" i="5"/>
  <c r="C77" i="5"/>
  <c r="B77" i="5"/>
  <c r="A77" i="5"/>
  <c r="K76" i="5"/>
  <c r="J76" i="5"/>
  <c r="I76" i="5"/>
  <c r="H76" i="5"/>
  <c r="G76" i="5"/>
  <c r="F76" i="5"/>
  <c r="E76" i="5"/>
  <c r="D76" i="5"/>
  <c r="C76" i="5"/>
  <c r="B76" i="5"/>
  <c r="A76" i="5"/>
  <c r="K75" i="5"/>
  <c r="J75" i="5"/>
  <c r="I75" i="5"/>
  <c r="H75" i="5"/>
  <c r="G75" i="5"/>
  <c r="F75" i="5"/>
  <c r="E75" i="5"/>
  <c r="D75" i="5"/>
  <c r="C75" i="5"/>
  <c r="B75" i="5"/>
  <c r="A75" i="5"/>
  <c r="K74" i="5"/>
  <c r="J74" i="5"/>
  <c r="I74" i="5"/>
  <c r="H74" i="5"/>
  <c r="G74" i="5"/>
  <c r="F74" i="5"/>
  <c r="E74" i="5"/>
  <c r="D74" i="5"/>
  <c r="C74" i="5"/>
  <c r="B74" i="5"/>
  <c r="A74" i="5"/>
  <c r="K73" i="5"/>
  <c r="J73" i="5"/>
  <c r="I73" i="5"/>
  <c r="H73" i="5"/>
  <c r="G73" i="5"/>
  <c r="F73" i="5"/>
  <c r="E73" i="5"/>
  <c r="D73" i="5"/>
  <c r="C73" i="5"/>
  <c r="B73" i="5"/>
  <c r="A73" i="5"/>
  <c r="K72" i="5"/>
  <c r="J72" i="5"/>
  <c r="I72" i="5"/>
  <c r="H72" i="5"/>
  <c r="G72" i="5"/>
  <c r="F72" i="5"/>
  <c r="E72" i="5"/>
  <c r="D72" i="5"/>
  <c r="C72" i="5"/>
  <c r="B72" i="5"/>
  <c r="A72" i="5"/>
  <c r="K71" i="5"/>
  <c r="J71" i="5"/>
  <c r="I71" i="5"/>
  <c r="H71" i="5"/>
  <c r="G71" i="5"/>
  <c r="F71" i="5"/>
  <c r="E71" i="5"/>
  <c r="D71" i="5"/>
  <c r="C71" i="5"/>
  <c r="B71" i="5"/>
  <c r="A71" i="5"/>
  <c r="K70" i="5"/>
  <c r="J70" i="5"/>
  <c r="I70" i="5"/>
  <c r="H70" i="5"/>
  <c r="G70" i="5"/>
  <c r="F70" i="5"/>
  <c r="E70" i="5"/>
  <c r="D70" i="5"/>
  <c r="C70" i="5"/>
  <c r="B70" i="5"/>
  <c r="A70" i="5"/>
  <c r="K69" i="5"/>
  <c r="J69" i="5"/>
  <c r="I69" i="5"/>
  <c r="H69" i="5"/>
  <c r="G69" i="5"/>
  <c r="F69" i="5"/>
  <c r="E69" i="5"/>
  <c r="D69" i="5"/>
  <c r="C69" i="5"/>
  <c r="B69" i="5"/>
  <c r="A69" i="5"/>
  <c r="K68" i="5"/>
  <c r="J68" i="5"/>
  <c r="I68" i="5"/>
  <c r="H68" i="5"/>
  <c r="G68" i="5"/>
  <c r="F68" i="5"/>
  <c r="E68" i="5"/>
  <c r="D68" i="5"/>
  <c r="C68" i="5"/>
  <c r="B68" i="5"/>
  <c r="A68" i="5"/>
  <c r="K67" i="5"/>
  <c r="J67" i="5"/>
  <c r="I67" i="5"/>
  <c r="H67" i="5"/>
  <c r="G67" i="5"/>
  <c r="F67" i="5"/>
  <c r="E67" i="5"/>
  <c r="D67" i="5"/>
  <c r="C67" i="5"/>
  <c r="B67" i="5"/>
  <c r="A67" i="5"/>
  <c r="K66" i="5"/>
  <c r="J66" i="5"/>
  <c r="I66" i="5"/>
  <c r="H66" i="5"/>
  <c r="G66" i="5"/>
  <c r="F66" i="5"/>
  <c r="E66" i="5"/>
  <c r="D66" i="5"/>
  <c r="C66" i="5"/>
  <c r="B66" i="5"/>
  <c r="A66" i="5"/>
  <c r="K65" i="5"/>
  <c r="J65" i="5"/>
  <c r="I65" i="5"/>
  <c r="H65" i="5"/>
  <c r="G65" i="5"/>
  <c r="F65" i="5"/>
  <c r="E65" i="5"/>
  <c r="D65" i="5"/>
  <c r="C65" i="5"/>
  <c r="B65" i="5"/>
  <c r="A65" i="5"/>
  <c r="K64" i="5"/>
  <c r="J64" i="5"/>
  <c r="I64" i="5"/>
  <c r="H64" i="5"/>
  <c r="G64" i="5"/>
  <c r="F64" i="5"/>
  <c r="E64" i="5"/>
  <c r="D64" i="5"/>
  <c r="C64" i="5"/>
  <c r="B64" i="5"/>
  <c r="A64" i="5"/>
  <c r="K63" i="5"/>
  <c r="J63" i="5"/>
  <c r="I63" i="5"/>
  <c r="H63" i="5"/>
  <c r="G63" i="5"/>
  <c r="F63" i="5"/>
  <c r="E63" i="5"/>
  <c r="D63" i="5"/>
  <c r="C63" i="5"/>
  <c r="B63" i="5"/>
  <c r="A63" i="5"/>
  <c r="K62" i="5"/>
  <c r="J62" i="5"/>
  <c r="I62" i="5"/>
  <c r="H62" i="5"/>
  <c r="G62" i="5"/>
  <c r="F62" i="5"/>
  <c r="E62" i="5"/>
  <c r="D62" i="5"/>
  <c r="C62" i="5"/>
  <c r="B62" i="5"/>
  <c r="A62" i="5"/>
  <c r="K61" i="5"/>
  <c r="J61" i="5"/>
  <c r="I61" i="5"/>
  <c r="H61" i="5"/>
  <c r="G61" i="5"/>
  <c r="F61" i="5"/>
  <c r="E61" i="5"/>
  <c r="D61" i="5"/>
  <c r="C61" i="5"/>
  <c r="B61" i="5"/>
  <c r="A61" i="5"/>
  <c r="K60" i="5"/>
  <c r="J60" i="5"/>
  <c r="I60" i="5"/>
  <c r="H60" i="5"/>
  <c r="G60" i="5"/>
  <c r="F60" i="5"/>
  <c r="E60" i="5"/>
  <c r="D60" i="5"/>
  <c r="C60" i="5"/>
  <c r="B60" i="5"/>
  <c r="A60" i="5"/>
  <c r="K59" i="5"/>
  <c r="J59" i="5"/>
  <c r="I59" i="5"/>
  <c r="H59" i="5"/>
  <c r="G59" i="5"/>
  <c r="F59" i="5"/>
  <c r="E59" i="5"/>
  <c r="D59" i="5"/>
  <c r="C59" i="5"/>
  <c r="B59" i="5"/>
  <c r="A59" i="5"/>
  <c r="K58" i="5"/>
  <c r="J58" i="5"/>
  <c r="I58" i="5"/>
  <c r="H58" i="5"/>
  <c r="G58" i="5"/>
  <c r="F58" i="5"/>
  <c r="E58" i="5"/>
  <c r="D58" i="5"/>
  <c r="C58" i="5"/>
  <c r="B58" i="5"/>
  <c r="A58" i="5"/>
  <c r="K57" i="5"/>
  <c r="J57" i="5"/>
  <c r="I57" i="5"/>
  <c r="H57" i="5"/>
  <c r="G57" i="5"/>
  <c r="F57" i="5"/>
  <c r="E57" i="5"/>
  <c r="D57" i="5"/>
  <c r="C57" i="5"/>
  <c r="B57" i="5"/>
  <c r="A57" i="5"/>
  <c r="K56" i="5"/>
  <c r="J56" i="5"/>
  <c r="I56" i="5"/>
  <c r="H56" i="5"/>
  <c r="G56" i="5"/>
  <c r="F56" i="5"/>
  <c r="E56" i="5"/>
  <c r="D56" i="5"/>
  <c r="C56" i="5"/>
  <c r="B56" i="5"/>
  <c r="A56" i="5"/>
  <c r="K55" i="5"/>
  <c r="J55" i="5"/>
  <c r="I55" i="5"/>
  <c r="H55" i="5"/>
  <c r="G55" i="5"/>
  <c r="F55" i="5"/>
  <c r="E55" i="5"/>
  <c r="D55" i="5"/>
  <c r="C55" i="5"/>
  <c r="B55" i="5"/>
  <c r="A55" i="5"/>
  <c r="K54" i="5"/>
  <c r="J54" i="5"/>
  <c r="I54" i="5"/>
  <c r="H54" i="5"/>
  <c r="G54" i="5"/>
  <c r="F54" i="5"/>
  <c r="E54" i="5"/>
  <c r="D54" i="5"/>
  <c r="C54" i="5"/>
  <c r="B54" i="5"/>
  <c r="A54" i="5"/>
  <c r="K53" i="5"/>
  <c r="J53" i="5"/>
  <c r="I53" i="5"/>
  <c r="H53" i="5"/>
  <c r="G53" i="5"/>
  <c r="F53" i="5"/>
  <c r="E53" i="5"/>
  <c r="D53" i="5"/>
  <c r="C53" i="5"/>
  <c r="B53" i="5"/>
  <c r="A53" i="5"/>
  <c r="K52" i="5"/>
  <c r="J52" i="5"/>
  <c r="I52" i="5"/>
  <c r="H52" i="5"/>
  <c r="G52" i="5"/>
  <c r="F52" i="5"/>
  <c r="E52" i="5"/>
  <c r="D52" i="5"/>
  <c r="C52" i="5"/>
  <c r="B52" i="5"/>
  <c r="A52" i="5"/>
  <c r="K51" i="5"/>
  <c r="J51" i="5"/>
  <c r="I51" i="5"/>
  <c r="H51" i="5"/>
  <c r="G51" i="5"/>
  <c r="F51" i="5"/>
  <c r="E51" i="5"/>
  <c r="D51" i="5"/>
  <c r="C51" i="5"/>
  <c r="B51" i="5"/>
  <c r="A51" i="5"/>
  <c r="K50" i="5"/>
  <c r="J50" i="5"/>
  <c r="I50" i="5"/>
  <c r="H50" i="5"/>
  <c r="G50" i="5"/>
  <c r="F50" i="5"/>
  <c r="E50" i="5"/>
  <c r="D50" i="5"/>
  <c r="C50" i="5"/>
  <c r="B50" i="5"/>
  <c r="A50" i="5"/>
  <c r="K49" i="5"/>
  <c r="J49" i="5"/>
  <c r="I49" i="5"/>
  <c r="H49" i="5"/>
  <c r="G49" i="5"/>
  <c r="F49" i="5"/>
  <c r="E49" i="5"/>
  <c r="D49" i="5"/>
  <c r="C49" i="5"/>
  <c r="B49" i="5"/>
  <c r="A49" i="5"/>
  <c r="K48" i="5"/>
  <c r="J48" i="5"/>
  <c r="I48" i="5"/>
  <c r="H48" i="5"/>
  <c r="G48" i="5"/>
  <c r="F48" i="5"/>
  <c r="E48" i="5"/>
  <c r="D48" i="5"/>
  <c r="C48" i="5"/>
  <c r="B48" i="5"/>
  <c r="A48" i="5"/>
  <c r="K47" i="5"/>
  <c r="J47" i="5"/>
  <c r="I47" i="5"/>
  <c r="H47" i="5"/>
  <c r="G47" i="5"/>
  <c r="F47" i="5"/>
  <c r="E47" i="5"/>
  <c r="D47" i="5"/>
  <c r="C47" i="5"/>
  <c r="B47" i="5"/>
  <c r="A47" i="5"/>
  <c r="K46" i="5"/>
  <c r="J46" i="5"/>
  <c r="I46" i="5"/>
  <c r="H46" i="5"/>
  <c r="G46" i="5"/>
  <c r="F46" i="5"/>
  <c r="E46" i="5"/>
  <c r="D46" i="5"/>
  <c r="C46" i="5"/>
  <c r="B46" i="5"/>
  <c r="A46" i="5"/>
  <c r="K45" i="5"/>
  <c r="J45" i="5"/>
  <c r="I45" i="5"/>
  <c r="H45" i="5"/>
  <c r="G45" i="5"/>
  <c r="F45" i="5"/>
  <c r="E45" i="5"/>
  <c r="D45" i="5"/>
  <c r="C45" i="5"/>
  <c r="B45" i="5"/>
  <c r="A45" i="5"/>
  <c r="K44" i="5"/>
  <c r="J44" i="5"/>
  <c r="I44" i="5"/>
  <c r="H44" i="5"/>
  <c r="G44" i="5"/>
  <c r="F44" i="5"/>
  <c r="E44" i="5"/>
  <c r="D44" i="5"/>
  <c r="C44" i="5"/>
  <c r="B44" i="5"/>
  <c r="A44" i="5"/>
  <c r="K43" i="5"/>
  <c r="J43" i="5"/>
  <c r="I43" i="5"/>
  <c r="H43" i="5"/>
  <c r="G43" i="5"/>
  <c r="F43" i="5"/>
  <c r="E43" i="5"/>
  <c r="D43" i="5"/>
  <c r="C43" i="5"/>
  <c r="B43" i="5"/>
  <c r="A43" i="5"/>
  <c r="K42" i="5"/>
  <c r="J42" i="5"/>
  <c r="I42" i="5"/>
  <c r="H42" i="5"/>
  <c r="G42" i="5"/>
  <c r="F42" i="5"/>
  <c r="E42" i="5"/>
  <c r="D42" i="5"/>
  <c r="C42" i="5"/>
  <c r="B42" i="5"/>
  <c r="A42" i="5"/>
  <c r="K41" i="5"/>
  <c r="J41" i="5"/>
  <c r="I41" i="5"/>
  <c r="H41" i="5"/>
  <c r="G41" i="5"/>
  <c r="F41" i="5"/>
  <c r="E41" i="5"/>
  <c r="D41" i="5"/>
  <c r="C41" i="5"/>
  <c r="B41" i="5"/>
  <c r="A41" i="5"/>
  <c r="K40" i="5"/>
  <c r="J40" i="5"/>
  <c r="I40" i="5"/>
  <c r="H40" i="5"/>
  <c r="G40" i="5"/>
  <c r="F40" i="5"/>
  <c r="E40" i="5"/>
  <c r="D40" i="5"/>
  <c r="C40" i="5"/>
  <c r="B40" i="5"/>
  <c r="A40" i="5"/>
  <c r="K39" i="5"/>
  <c r="J39" i="5"/>
  <c r="I39" i="5"/>
  <c r="H39" i="5"/>
  <c r="G39" i="5"/>
  <c r="F39" i="5"/>
  <c r="E39" i="5"/>
  <c r="D39" i="5"/>
  <c r="C39" i="5"/>
  <c r="B39" i="5"/>
  <c r="A39" i="5"/>
  <c r="K38" i="5"/>
  <c r="J38" i="5"/>
  <c r="I38" i="5"/>
  <c r="H38" i="5"/>
  <c r="G38" i="5"/>
  <c r="F38" i="5"/>
  <c r="E38" i="5"/>
  <c r="D38" i="5"/>
  <c r="C38" i="5"/>
  <c r="B38" i="5"/>
  <c r="A38" i="5"/>
  <c r="K37" i="5"/>
  <c r="J37" i="5"/>
  <c r="I37" i="5"/>
  <c r="H37" i="5"/>
  <c r="G37" i="5"/>
  <c r="F37" i="5"/>
  <c r="E37" i="5"/>
  <c r="D37" i="5"/>
  <c r="C37" i="5"/>
  <c r="B37" i="5"/>
  <c r="A37" i="5"/>
  <c r="K36" i="5"/>
  <c r="J36" i="5"/>
  <c r="I36" i="5"/>
  <c r="H36" i="5"/>
  <c r="G36" i="5"/>
  <c r="F36" i="5"/>
  <c r="E36" i="5"/>
  <c r="D36" i="5"/>
  <c r="C36" i="5"/>
  <c r="B36" i="5"/>
  <c r="A36" i="5"/>
  <c r="K35" i="5"/>
  <c r="J35" i="5"/>
  <c r="I35" i="5"/>
  <c r="H35" i="5"/>
  <c r="G35" i="5"/>
  <c r="F35" i="5"/>
  <c r="E35" i="5"/>
  <c r="D35" i="5"/>
  <c r="C35" i="5"/>
  <c r="B35" i="5"/>
  <c r="A35" i="5"/>
  <c r="K34" i="5"/>
  <c r="J34" i="5"/>
  <c r="I34" i="5"/>
  <c r="H34" i="5"/>
  <c r="G34" i="5"/>
  <c r="F34" i="5"/>
  <c r="E34" i="5"/>
  <c r="D34" i="5"/>
  <c r="C34" i="5"/>
  <c r="B34" i="5"/>
  <c r="A34" i="5"/>
  <c r="K33" i="5"/>
  <c r="J33" i="5"/>
  <c r="I33" i="5"/>
  <c r="H33" i="5"/>
  <c r="G33" i="5"/>
  <c r="F33" i="5"/>
  <c r="E33" i="5"/>
  <c r="D33" i="5"/>
  <c r="C33" i="5"/>
  <c r="B33" i="5"/>
  <c r="A33" i="5"/>
  <c r="K32" i="5"/>
  <c r="J32" i="5"/>
  <c r="I32" i="5"/>
  <c r="H32" i="5"/>
  <c r="G32" i="5"/>
  <c r="F32" i="5"/>
  <c r="E32" i="5"/>
  <c r="D32" i="5"/>
  <c r="C32" i="5"/>
  <c r="B32" i="5"/>
  <c r="A32" i="5"/>
  <c r="K31" i="5"/>
  <c r="J31" i="5"/>
  <c r="I31" i="5"/>
  <c r="H31" i="5"/>
  <c r="G31" i="5"/>
  <c r="F31" i="5"/>
  <c r="E31" i="5"/>
  <c r="D31" i="5"/>
  <c r="C31" i="5"/>
  <c r="B31" i="5"/>
  <c r="A31" i="5"/>
  <c r="K30" i="5"/>
  <c r="J30" i="5"/>
  <c r="I30" i="5"/>
  <c r="H30" i="5"/>
  <c r="G30" i="5"/>
  <c r="F30" i="5"/>
  <c r="E30" i="5"/>
  <c r="D30" i="5"/>
  <c r="C30" i="5"/>
  <c r="B30" i="5"/>
  <c r="A30" i="5"/>
  <c r="K29" i="5"/>
  <c r="J29" i="5"/>
  <c r="I29" i="5"/>
  <c r="H29" i="5"/>
  <c r="G29" i="5"/>
  <c r="F29" i="5"/>
  <c r="E29" i="5"/>
  <c r="D29" i="5"/>
  <c r="C29" i="5"/>
  <c r="B29" i="5"/>
  <c r="A29" i="5"/>
  <c r="K28" i="5"/>
  <c r="J28" i="5"/>
  <c r="I28" i="5"/>
  <c r="H28" i="5"/>
  <c r="G28" i="5"/>
  <c r="F28" i="5"/>
  <c r="E28" i="5"/>
  <c r="D28" i="5"/>
  <c r="C28" i="5"/>
  <c r="B28" i="5"/>
  <c r="A28" i="5"/>
  <c r="K27" i="5"/>
  <c r="J27" i="5"/>
  <c r="I27" i="5"/>
  <c r="H27" i="5"/>
  <c r="G27" i="5"/>
  <c r="F27" i="5"/>
  <c r="E27" i="5"/>
  <c r="D27" i="5"/>
  <c r="C27" i="5"/>
  <c r="B27" i="5"/>
  <c r="A27" i="5"/>
  <c r="K26" i="5"/>
  <c r="J26" i="5"/>
  <c r="I26" i="5"/>
  <c r="H26" i="5"/>
  <c r="G26" i="5"/>
  <c r="F26" i="5"/>
  <c r="E26" i="5"/>
  <c r="D26" i="5"/>
  <c r="C26" i="5"/>
  <c r="B26" i="5"/>
  <c r="A26" i="5"/>
  <c r="K25" i="5"/>
  <c r="J25" i="5"/>
  <c r="I25" i="5"/>
  <c r="H25" i="5"/>
  <c r="G25" i="5"/>
  <c r="F25" i="5"/>
  <c r="E25" i="5"/>
  <c r="D25" i="5"/>
  <c r="C25" i="5"/>
  <c r="B25" i="5"/>
  <c r="A25" i="5"/>
  <c r="K24" i="5"/>
  <c r="J24" i="5"/>
  <c r="I24" i="5"/>
  <c r="H24" i="5"/>
  <c r="G24" i="5"/>
  <c r="F24" i="5"/>
  <c r="E24" i="5"/>
  <c r="D24" i="5"/>
  <c r="C24" i="5"/>
  <c r="B24" i="5"/>
  <c r="A24" i="5"/>
  <c r="K23" i="5"/>
  <c r="J23" i="5"/>
  <c r="I23" i="5"/>
  <c r="H23" i="5"/>
  <c r="G23" i="5"/>
  <c r="F23" i="5"/>
  <c r="E23" i="5"/>
  <c r="D23" i="5"/>
  <c r="C23" i="5"/>
  <c r="B23" i="5"/>
  <c r="A23" i="5"/>
  <c r="K22" i="5"/>
  <c r="J22" i="5"/>
  <c r="I22" i="5"/>
  <c r="H22" i="5"/>
  <c r="G22" i="5"/>
  <c r="F22" i="5"/>
  <c r="E22" i="5"/>
  <c r="D22" i="5"/>
  <c r="C22" i="5"/>
  <c r="B22" i="5"/>
  <c r="A22" i="5"/>
  <c r="K21" i="5"/>
  <c r="J21" i="5"/>
  <c r="I21" i="5"/>
  <c r="H21" i="5"/>
  <c r="G21" i="5"/>
  <c r="F21" i="5"/>
  <c r="E21" i="5"/>
  <c r="D21" i="5"/>
  <c r="C21" i="5"/>
  <c r="B21" i="5"/>
  <c r="A21" i="5"/>
  <c r="K20" i="5"/>
  <c r="J20" i="5"/>
  <c r="I20" i="5"/>
  <c r="H20" i="5"/>
  <c r="G20" i="5"/>
  <c r="F20" i="5"/>
  <c r="E20" i="5"/>
  <c r="D20" i="5"/>
  <c r="C20" i="5"/>
  <c r="B20" i="5"/>
  <c r="A20" i="5"/>
  <c r="K19" i="5"/>
  <c r="J19" i="5"/>
  <c r="I19" i="5"/>
  <c r="H19" i="5"/>
  <c r="G19" i="5"/>
  <c r="F19" i="5"/>
  <c r="E19" i="5"/>
  <c r="D19" i="5"/>
  <c r="C19" i="5"/>
  <c r="B19" i="5"/>
  <c r="A19" i="5"/>
  <c r="K18" i="5"/>
  <c r="J18" i="5"/>
  <c r="I18" i="5"/>
  <c r="H18" i="5"/>
  <c r="G18" i="5"/>
  <c r="F18" i="5"/>
  <c r="E18" i="5"/>
  <c r="D18" i="5"/>
  <c r="C18" i="5"/>
  <c r="B18" i="5"/>
  <c r="A18" i="5"/>
  <c r="K17" i="5"/>
  <c r="J17" i="5"/>
  <c r="I17" i="5"/>
  <c r="H17" i="5"/>
  <c r="G17" i="5"/>
  <c r="F17" i="5"/>
  <c r="E17" i="5"/>
  <c r="D17" i="5"/>
  <c r="C17" i="5"/>
  <c r="B17" i="5"/>
  <c r="A17" i="5"/>
  <c r="K16" i="5"/>
  <c r="J16" i="5"/>
  <c r="I16" i="5"/>
  <c r="H16" i="5"/>
  <c r="G16" i="5"/>
  <c r="F16" i="5"/>
  <c r="E16" i="5"/>
  <c r="D16" i="5"/>
  <c r="C16" i="5"/>
  <c r="B16" i="5"/>
  <c r="A16" i="5"/>
  <c r="K15" i="5"/>
  <c r="J15" i="5"/>
  <c r="I15" i="5"/>
  <c r="H15" i="5"/>
  <c r="G15" i="5"/>
  <c r="F15" i="5"/>
  <c r="E15" i="5"/>
  <c r="D15" i="5"/>
  <c r="C15" i="5"/>
  <c r="B15" i="5"/>
  <c r="A15" i="5"/>
  <c r="K14" i="5"/>
  <c r="J14" i="5"/>
  <c r="I14" i="5"/>
  <c r="H14" i="5"/>
  <c r="G14" i="5"/>
  <c r="F14" i="5"/>
  <c r="E14" i="5"/>
  <c r="D14" i="5"/>
  <c r="C14" i="5"/>
  <c r="B14" i="5"/>
  <c r="A14" i="5"/>
  <c r="K13" i="5"/>
  <c r="J13" i="5"/>
  <c r="I13" i="5"/>
  <c r="H13" i="5"/>
  <c r="G13" i="5"/>
  <c r="F13" i="5"/>
  <c r="E13" i="5"/>
  <c r="D13" i="5"/>
  <c r="C13" i="5"/>
  <c r="B13" i="5"/>
  <c r="A13" i="5"/>
  <c r="K12" i="5"/>
  <c r="J12" i="5"/>
  <c r="I12" i="5"/>
  <c r="H12" i="5"/>
  <c r="G12" i="5"/>
  <c r="F12" i="5"/>
  <c r="E12" i="5"/>
  <c r="D12" i="5"/>
  <c r="C12" i="5"/>
  <c r="B12" i="5"/>
  <c r="A12" i="5"/>
  <c r="K11" i="5"/>
  <c r="J11" i="5"/>
  <c r="I11" i="5"/>
  <c r="H11" i="5"/>
  <c r="G11" i="5"/>
  <c r="F11" i="5"/>
  <c r="E11" i="5"/>
  <c r="D11" i="5"/>
  <c r="C11" i="5"/>
  <c r="B11" i="5"/>
  <c r="A11" i="5"/>
  <c r="K10" i="5"/>
  <c r="J10" i="5"/>
  <c r="I10" i="5"/>
  <c r="H10" i="5"/>
  <c r="G10" i="5"/>
  <c r="F10" i="5"/>
  <c r="E10" i="5"/>
  <c r="D10" i="5"/>
  <c r="C10" i="5"/>
  <c r="B10" i="5"/>
  <c r="A10" i="5"/>
  <c r="K9" i="5"/>
  <c r="J9" i="5"/>
  <c r="I9" i="5"/>
  <c r="H9" i="5"/>
  <c r="G9" i="5"/>
  <c r="F9" i="5"/>
  <c r="E9" i="5"/>
  <c r="D9" i="5"/>
  <c r="C9" i="5"/>
  <c r="B9" i="5"/>
  <c r="A9" i="5"/>
  <c r="K8" i="5"/>
  <c r="J8" i="5"/>
  <c r="I8" i="5"/>
  <c r="H8" i="5"/>
  <c r="G8" i="5"/>
  <c r="F8" i="5"/>
  <c r="E8" i="5"/>
  <c r="D8" i="5"/>
  <c r="C8" i="5"/>
  <c r="B8" i="5"/>
  <c r="A8" i="5"/>
  <c r="K7" i="5"/>
  <c r="J7" i="5"/>
  <c r="I7" i="5"/>
  <c r="H7" i="5"/>
  <c r="G7" i="5"/>
  <c r="F7" i="5"/>
  <c r="E7" i="5"/>
  <c r="D7" i="5"/>
  <c r="C7" i="5"/>
  <c r="B7" i="5"/>
  <c r="A7" i="5"/>
  <c r="K6" i="5"/>
  <c r="J6" i="5"/>
  <c r="I6" i="5"/>
  <c r="H6" i="5"/>
  <c r="G6" i="5"/>
  <c r="F6" i="5"/>
  <c r="E6" i="5"/>
  <c r="D6" i="5"/>
  <c r="C6" i="5"/>
  <c r="B6" i="5"/>
  <c r="A6" i="5"/>
  <c r="K5" i="5"/>
  <c r="J5" i="5"/>
  <c r="I5" i="5"/>
  <c r="H5" i="5"/>
  <c r="G5" i="5"/>
  <c r="F5" i="5"/>
  <c r="E5" i="5"/>
  <c r="D5" i="5"/>
  <c r="C5" i="5"/>
  <c r="B5" i="5"/>
  <c r="A5" i="5"/>
  <c r="K4" i="5"/>
  <c r="J4" i="5"/>
  <c r="I4" i="5"/>
  <c r="H4" i="5"/>
  <c r="G4" i="5"/>
  <c r="F4" i="5"/>
  <c r="E4" i="5"/>
  <c r="D4" i="5"/>
  <c r="C4" i="5"/>
  <c r="B4" i="5"/>
  <c r="A4" i="5"/>
  <c r="K3" i="5"/>
  <c r="J3" i="5"/>
  <c r="I3" i="5"/>
  <c r="H3" i="5"/>
  <c r="G3" i="5"/>
  <c r="F3" i="5"/>
  <c r="E3" i="5"/>
  <c r="D3" i="5"/>
  <c r="C3" i="5"/>
  <c r="B3" i="5"/>
  <c r="A3" i="5"/>
  <c r="K2" i="5"/>
  <c r="J2" i="5"/>
  <c r="I2" i="5"/>
  <c r="H2" i="5"/>
  <c r="G2" i="5"/>
  <c r="F2" i="5"/>
  <c r="E2" i="5"/>
  <c r="D2" i="5"/>
  <c r="C2" i="5"/>
  <c r="B2" i="5"/>
  <c r="A2" i="5"/>
  <c r="K180" i="4"/>
  <c r="J180" i="4"/>
  <c r="I180" i="4"/>
  <c r="H180" i="4"/>
  <c r="G180" i="4"/>
  <c r="F180" i="4"/>
  <c r="E180" i="4"/>
  <c r="D180" i="4"/>
  <c r="C180" i="4"/>
  <c r="B180" i="4"/>
  <c r="A180" i="4"/>
  <c r="K179" i="4"/>
  <c r="J179" i="4"/>
  <c r="I179" i="4"/>
  <c r="H179" i="4"/>
  <c r="G179" i="4"/>
  <c r="F179" i="4"/>
  <c r="E179" i="4"/>
  <c r="D179" i="4"/>
  <c r="C179" i="4"/>
  <c r="B179" i="4"/>
  <c r="A179" i="4"/>
  <c r="K178" i="4"/>
  <c r="J178" i="4"/>
  <c r="I178" i="4"/>
  <c r="H178" i="4"/>
  <c r="G178" i="4"/>
  <c r="F178" i="4"/>
  <c r="E178" i="4"/>
  <c r="D178" i="4"/>
  <c r="C178" i="4"/>
  <c r="B178" i="4"/>
  <c r="A178" i="4"/>
  <c r="K177" i="4"/>
  <c r="J177" i="4"/>
  <c r="I177" i="4"/>
  <c r="H177" i="4"/>
  <c r="G177" i="4"/>
  <c r="F177" i="4"/>
  <c r="E177" i="4"/>
  <c r="D177" i="4"/>
  <c r="C177" i="4"/>
  <c r="B177" i="4"/>
  <c r="A177" i="4"/>
  <c r="K176" i="4"/>
  <c r="J176" i="4"/>
  <c r="I176" i="4"/>
  <c r="H176" i="4"/>
  <c r="G176" i="4"/>
  <c r="F176" i="4"/>
  <c r="E176" i="4"/>
  <c r="D176" i="4"/>
  <c r="C176" i="4"/>
  <c r="B176" i="4"/>
  <c r="A176" i="4"/>
  <c r="K175" i="4"/>
  <c r="J175" i="4"/>
  <c r="I175" i="4"/>
  <c r="H175" i="4"/>
  <c r="G175" i="4"/>
  <c r="F175" i="4"/>
  <c r="E175" i="4"/>
  <c r="D175" i="4"/>
  <c r="C175" i="4"/>
  <c r="B175" i="4"/>
  <c r="A175" i="4"/>
  <c r="K174" i="4"/>
  <c r="J174" i="4"/>
  <c r="I174" i="4"/>
  <c r="H174" i="4"/>
  <c r="G174" i="4"/>
  <c r="F174" i="4"/>
  <c r="E174" i="4"/>
  <c r="D174" i="4"/>
  <c r="C174" i="4"/>
  <c r="B174" i="4"/>
  <c r="A174" i="4"/>
  <c r="K173" i="4"/>
  <c r="J173" i="4"/>
  <c r="I173" i="4"/>
  <c r="H173" i="4"/>
  <c r="G173" i="4"/>
  <c r="F173" i="4"/>
  <c r="E173" i="4"/>
  <c r="D173" i="4"/>
  <c r="C173" i="4"/>
  <c r="B173" i="4"/>
  <c r="A173" i="4"/>
  <c r="K172" i="4"/>
  <c r="J172" i="4"/>
  <c r="I172" i="4"/>
  <c r="H172" i="4"/>
  <c r="G172" i="4"/>
  <c r="F172" i="4"/>
  <c r="E172" i="4"/>
  <c r="D172" i="4"/>
  <c r="C172" i="4"/>
  <c r="B172" i="4"/>
  <c r="A172" i="4"/>
  <c r="K171" i="4"/>
  <c r="J171" i="4"/>
  <c r="I171" i="4"/>
  <c r="H171" i="4"/>
  <c r="G171" i="4"/>
  <c r="F171" i="4"/>
  <c r="E171" i="4"/>
  <c r="D171" i="4"/>
  <c r="C171" i="4"/>
  <c r="B171" i="4"/>
  <c r="A171" i="4"/>
  <c r="K170" i="4"/>
  <c r="J170" i="4"/>
  <c r="I170" i="4"/>
  <c r="H170" i="4"/>
  <c r="G170" i="4"/>
  <c r="F170" i="4"/>
  <c r="E170" i="4"/>
  <c r="D170" i="4"/>
  <c r="C170" i="4"/>
  <c r="B170" i="4"/>
  <c r="A170" i="4"/>
  <c r="K169" i="4"/>
  <c r="J169" i="4"/>
  <c r="I169" i="4"/>
  <c r="H169" i="4"/>
  <c r="G169" i="4"/>
  <c r="F169" i="4"/>
  <c r="E169" i="4"/>
  <c r="D169" i="4"/>
  <c r="C169" i="4"/>
  <c r="B169" i="4"/>
  <c r="A169" i="4"/>
  <c r="K168" i="4"/>
  <c r="J168" i="4"/>
  <c r="I168" i="4"/>
  <c r="H168" i="4"/>
  <c r="G168" i="4"/>
  <c r="F168" i="4"/>
  <c r="E168" i="4"/>
  <c r="D168" i="4"/>
  <c r="C168" i="4"/>
  <c r="B168" i="4"/>
  <c r="A168" i="4"/>
  <c r="K167" i="4"/>
  <c r="J167" i="4"/>
  <c r="I167" i="4"/>
  <c r="H167" i="4"/>
  <c r="G167" i="4"/>
  <c r="F167" i="4"/>
  <c r="E167" i="4"/>
  <c r="D167" i="4"/>
  <c r="C167" i="4"/>
  <c r="B167" i="4"/>
  <c r="A167" i="4"/>
  <c r="K166" i="4"/>
  <c r="J166" i="4"/>
  <c r="I166" i="4"/>
  <c r="H166" i="4"/>
  <c r="G166" i="4"/>
  <c r="F166" i="4"/>
  <c r="E166" i="4"/>
  <c r="D166" i="4"/>
  <c r="C166" i="4"/>
  <c r="B166" i="4"/>
  <c r="A166" i="4"/>
  <c r="K165" i="4"/>
  <c r="J165" i="4"/>
  <c r="I165" i="4"/>
  <c r="H165" i="4"/>
  <c r="G165" i="4"/>
  <c r="F165" i="4"/>
  <c r="E165" i="4"/>
  <c r="D165" i="4"/>
  <c r="C165" i="4"/>
  <c r="B165" i="4"/>
  <c r="A165" i="4"/>
  <c r="K164" i="4"/>
  <c r="J164" i="4"/>
  <c r="I164" i="4"/>
  <c r="H164" i="4"/>
  <c r="G164" i="4"/>
  <c r="F164" i="4"/>
  <c r="E164" i="4"/>
  <c r="D164" i="4"/>
  <c r="C164" i="4"/>
  <c r="B164" i="4"/>
  <c r="A164" i="4"/>
  <c r="K163" i="4"/>
  <c r="J163" i="4"/>
  <c r="I163" i="4"/>
  <c r="H163" i="4"/>
  <c r="G163" i="4"/>
  <c r="F163" i="4"/>
  <c r="E163" i="4"/>
  <c r="D163" i="4"/>
  <c r="C163" i="4"/>
  <c r="B163" i="4"/>
  <c r="A163" i="4"/>
  <c r="K162" i="4"/>
  <c r="J162" i="4"/>
  <c r="I162" i="4"/>
  <c r="H162" i="4"/>
  <c r="G162" i="4"/>
  <c r="F162" i="4"/>
  <c r="E162" i="4"/>
  <c r="D162" i="4"/>
  <c r="C162" i="4"/>
  <c r="B162" i="4"/>
  <c r="A162" i="4"/>
  <c r="K161" i="4"/>
  <c r="J161" i="4"/>
  <c r="I161" i="4"/>
  <c r="H161" i="4"/>
  <c r="G161" i="4"/>
  <c r="F161" i="4"/>
  <c r="E161" i="4"/>
  <c r="D161" i="4"/>
  <c r="C161" i="4"/>
  <c r="B161" i="4"/>
  <c r="A161" i="4"/>
  <c r="K160" i="4"/>
  <c r="J160" i="4"/>
  <c r="I160" i="4"/>
  <c r="H160" i="4"/>
  <c r="G160" i="4"/>
  <c r="F160" i="4"/>
  <c r="E160" i="4"/>
  <c r="D160" i="4"/>
  <c r="C160" i="4"/>
  <c r="B160" i="4"/>
  <c r="A160" i="4"/>
  <c r="K159" i="4"/>
  <c r="J159" i="4"/>
  <c r="I159" i="4"/>
  <c r="H159" i="4"/>
  <c r="G159" i="4"/>
  <c r="F159" i="4"/>
  <c r="E159" i="4"/>
  <c r="D159" i="4"/>
  <c r="C159" i="4"/>
  <c r="B159" i="4"/>
  <c r="A159" i="4"/>
  <c r="K158" i="4"/>
  <c r="J158" i="4"/>
  <c r="I158" i="4"/>
  <c r="H158" i="4"/>
  <c r="G158" i="4"/>
  <c r="F158" i="4"/>
  <c r="E158" i="4"/>
  <c r="D158" i="4"/>
  <c r="C158" i="4"/>
  <c r="B158" i="4"/>
  <c r="A158" i="4"/>
  <c r="K157" i="4"/>
  <c r="J157" i="4"/>
  <c r="I157" i="4"/>
  <c r="H157" i="4"/>
  <c r="G157" i="4"/>
  <c r="F157" i="4"/>
  <c r="E157" i="4"/>
  <c r="D157" i="4"/>
  <c r="C157" i="4"/>
  <c r="B157" i="4"/>
  <c r="A157" i="4"/>
  <c r="K156" i="4"/>
  <c r="J156" i="4"/>
  <c r="I156" i="4"/>
  <c r="H156" i="4"/>
  <c r="G156" i="4"/>
  <c r="F156" i="4"/>
  <c r="E156" i="4"/>
  <c r="D156" i="4"/>
  <c r="C156" i="4"/>
  <c r="B156" i="4"/>
  <c r="A156" i="4"/>
  <c r="K155" i="4"/>
  <c r="J155" i="4"/>
  <c r="I155" i="4"/>
  <c r="H155" i="4"/>
  <c r="G155" i="4"/>
  <c r="F155" i="4"/>
  <c r="E155" i="4"/>
  <c r="D155" i="4"/>
  <c r="C155" i="4"/>
  <c r="B155" i="4"/>
  <c r="A155" i="4"/>
  <c r="K154" i="4"/>
  <c r="J154" i="4"/>
  <c r="I154" i="4"/>
  <c r="H154" i="4"/>
  <c r="G154" i="4"/>
  <c r="F154" i="4"/>
  <c r="E154" i="4"/>
  <c r="D154" i="4"/>
  <c r="C154" i="4"/>
  <c r="B154" i="4"/>
  <c r="A154" i="4"/>
  <c r="K153" i="4"/>
  <c r="J153" i="4"/>
  <c r="I153" i="4"/>
  <c r="H153" i="4"/>
  <c r="G153" i="4"/>
  <c r="F153" i="4"/>
  <c r="E153" i="4"/>
  <c r="D153" i="4"/>
  <c r="C153" i="4"/>
  <c r="B153" i="4"/>
  <c r="A153" i="4"/>
  <c r="K152" i="4"/>
  <c r="J152" i="4"/>
  <c r="I152" i="4"/>
  <c r="H152" i="4"/>
  <c r="G152" i="4"/>
  <c r="F152" i="4"/>
  <c r="E152" i="4"/>
  <c r="D152" i="4"/>
  <c r="C152" i="4"/>
  <c r="B152" i="4"/>
  <c r="A152" i="4"/>
  <c r="K151" i="4"/>
  <c r="J151" i="4"/>
  <c r="I151" i="4"/>
  <c r="H151" i="4"/>
  <c r="G151" i="4"/>
  <c r="F151" i="4"/>
  <c r="E151" i="4"/>
  <c r="D151" i="4"/>
  <c r="C151" i="4"/>
  <c r="B151" i="4"/>
  <c r="A151" i="4"/>
  <c r="K150" i="4"/>
  <c r="J150" i="4"/>
  <c r="I150" i="4"/>
  <c r="H150" i="4"/>
  <c r="G150" i="4"/>
  <c r="F150" i="4"/>
  <c r="E150" i="4"/>
  <c r="D150" i="4"/>
  <c r="C150" i="4"/>
  <c r="B150" i="4"/>
  <c r="A150" i="4"/>
  <c r="K149" i="4"/>
  <c r="J149" i="4"/>
  <c r="I149" i="4"/>
  <c r="H149" i="4"/>
  <c r="G149" i="4"/>
  <c r="F149" i="4"/>
  <c r="E149" i="4"/>
  <c r="D149" i="4"/>
  <c r="C149" i="4"/>
  <c r="B149" i="4"/>
  <c r="A149" i="4"/>
  <c r="K148" i="4"/>
  <c r="J148" i="4"/>
  <c r="I148" i="4"/>
  <c r="H148" i="4"/>
  <c r="G148" i="4"/>
  <c r="F148" i="4"/>
  <c r="E148" i="4"/>
  <c r="D148" i="4"/>
  <c r="C148" i="4"/>
  <c r="B148" i="4"/>
  <c r="A148" i="4"/>
  <c r="K147" i="4"/>
  <c r="J147" i="4"/>
  <c r="I147" i="4"/>
  <c r="H147" i="4"/>
  <c r="G147" i="4"/>
  <c r="F147" i="4"/>
  <c r="E147" i="4"/>
  <c r="D147" i="4"/>
  <c r="C147" i="4"/>
  <c r="B147" i="4"/>
  <c r="A147" i="4"/>
  <c r="K146" i="4"/>
  <c r="J146" i="4"/>
  <c r="I146" i="4"/>
  <c r="H146" i="4"/>
  <c r="G146" i="4"/>
  <c r="F146" i="4"/>
  <c r="E146" i="4"/>
  <c r="D146" i="4"/>
  <c r="C146" i="4"/>
  <c r="B146" i="4"/>
  <c r="A146" i="4"/>
  <c r="K145" i="4"/>
  <c r="J145" i="4"/>
  <c r="I145" i="4"/>
  <c r="H145" i="4"/>
  <c r="G145" i="4"/>
  <c r="F145" i="4"/>
  <c r="E145" i="4"/>
  <c r="D145" i="4"/>
  <c r="C145" i="4"/>
  <c r="B145" i="4"/>
  <c r="A145" i="4"/>
  <c r="K144" i="4"/>
  <c r="J144" i="4"/>
  <c r="I144" i="4"/>
  <c r="H144" i="4"/>
  <c r="G144" i="4"/>
  <c r="F144" i="4"/>
  <c r="E144" i="4"/>
  <c r="D144" i="4"/>
  <c r="C144" i="4"/>
  <c r="B144" i="4"/>
  <c r="A144" i="4"/>
  <c r="K143" i="4"/>
  <c r="J143" i="4"/>
  <c r="I143" i="4"/>
  <c r="H143" i="4"/>
  <c r="G143" i="4"/>
  <c r="F143" i="4"/>
  <c r="E143" i="4"/>
  <c r="D143" i="4"/>
  <c r="C143" i="4"/>
  <c r="B143" i="4"/>
  <c r="A143" i="4"/>
  <c r="K142" i="4"/>
  <c r="J142" i="4"/>
  <c r="I142" i="4"/>
  <c r="H142" i="4"/>
  <c r="G142" i="4"/>
  <c r="F142" i="4"/>
  <c r="E142" i="4"/>
  <c r="D142" i="4"/>
  <c r="C142" i="4"/>
  <c r="B142" i="4"/>
  <c r="A142" i="4"/>
  <c r="K141" i="4"/>
  <c r="J141" i="4"/>
  <c r="I141" i="4"/>
  <c r="H141" i="4"/>
  <c r="G141" i="4"/>
  <c r="F141" i="4"/>
  <c r="E141" i="4"/>
  <c r="D141" i="4"/>
  <c r="C141" i="4"/>
  <c r="B141" i="4"/>
  <c r="A141" i="4"/>
  <c r="K140" i="4"/>
  <c r="J140" i="4"/>
  <c r="I140" i="4"/>
  <c r="H140" i="4"/>
  <c r="G140" i="4"/>
  <c r="F140" i="4"/>
  <c r="E140" i="4"/>
  <c r="D140" i="4"/>
  <c r="C140" i="4"/>
  <c r="B140" i="4"/>
  <c r="A140" i="4"/>
  <c r="K139" i="4"/>
  <c r="J139" i="4"/>
  <c r="I139" i="4"/>
  <c r="H139" i="4"/>
  <c r="G139" i="4"/>
  <c r="F139" i="4"/>
  <c r="E139" i="4"/>
  <c r="D139" i="4"/>
  <c r="C139" i="4"/>
  <c r="B139" i="4"/>
  <c r="A139" i="4"/>
  <c r="K138" i="4"/>
  <c r="J138" i="4"/>
  <c r="I138" i="4"/>
  <c r="H138" i="4"/>
  <c r="G138" i="4"/>
  <c r="F138" i="4"/>
  <c r="E138" i="4"/>
  <c r="D138" i="4"/>
  <c r="C138" i="4"/>
  <c r="B138" i="4"/>
  <c r="A138" i="4"/>
  <c r="K137" i="4"/>
  <c r="J137" i="4"/>
  <c r="I137" i="4"/>
  <c r="H137" i="4"/>
  <c r="G137" i="4"/>
  <c r="F137" i="4"/>
  <c r="E137" i="4"/>
  <c r="D137" i="4"/>
  <c r="C137" i="4"/>
  <c r="B137" i="4"/>
  <c r="A137" i="4"/>
  <c r="K136" i="4"/>
  <c r="J136" i="4"/>
  <c r="I136" i="4"/>
  <c r="H136" i="4"/>
  <c r="G136" i="4"/>
  <c r="F136" i="4"/>
  <c r="E136" i="4"/>
  <c r="D136" i="4"/>
  <c r="C136" i="4"/>
  <c r="B136" i="4"/>
  <c r="A136" i="4"/>
  <c r="K135" i="4"/>
  <c r="J135" i="4"/>
  <c r="I135" i="4"/>
  <c r="H135" i="4"/>
  <c r="G135" i="4"/>
  <c r="F135" i="4"/>
  <c r="E135" i="4"/>
  <c r="D135" i="4"/>
  <c r="C135" i="4"/>
  <c r="B135" i="4"/>
  <c r="A135" i="4"/>
  <c r="K134" i="4"/>
  <c r="J134" i="4"/>
  <c r="I134" i="4"/>
  <c r="H134" i="4"/>
  <c r="G134" i="4"/>
  <c r="F134" i="4"/>
  <c r="E134" i="4"/>
  <c r="D134" i="4"/>
  <c r="C134" i="4"/>
  <c r="B134" i="4"/>
  <c r="A134" i="4"/>
  <c r="K133" i="4"/>
  <c r="J133" i="4"/>
  <c r="I133" i="4"/>
  <c r="H133" i="4"/>
  <c r="G133" i="4"/>
  <c r="F133" i="4"/>
  <c r="E133" i="4"/>
  <c r="D133" i="4"/>
  <c r="C133" i="4"/>
  <c r="B133" i="4"/>
  <c r="A133" i="4"/>
  <c r="K132" i="4"/>
  <c r="J132" i="4"/>
  <c r="I132" i="4"/>
  <c r="H132" i="4"/>
  <c r="G132" i="4"/>
  <c r="F132" i="4"/>
  <c r="E132" i="4"/>
  <c r="D132" i="4"/>
  <c r="C132" i="4"/>
  <c r="B132" i="4"/>
  <c r="A132" i="4"/>
  <c r="K131" i="4"/>
  <c r="J131" i="4"/>
  <c r="I131" i="4"/>
  <c r="H131" i="4"/>
  <c r="G131" i="4"/>
  <c r="F131" i="4"/>
  <c r="E131" i="4"/>
  <c r="D131" i="4"/>
  <c r="C131" i="4"/>
  <c r="B131" i="4"/>
  <c r="A131" i="4"/>
  <c r="K130" i="4"/>
  <c r="J130" i="4"/>
  <c r="I130" i="4"/>
  <c r="H130" i="4"/>
  <c r="G130" i="4"/>
  <c r="F130" i="4"/>
  <c r="E130" i="4"/>
  <c r="D130" i="4"/>
  <c r="C130" i="4"/>
  <c r="B130" i="4"/>
  <c r="A130" i="4"/>
  <c r="K129" i="4"/>
  <c r="J129" i="4"/>
  <c r="I129" i="4"/>
  <c r="H129" i="4"/>
  <c r="G129" i="4"/>
  <c r="F129" i="4"/>
  <c r="E129" i="4"/>
  <c r="D129" i="4"/>
  <c r="C129" i="4"/>
  <c r="B129" i="4"/>
  <c r="A129" i="4"/>
  <c r="K128" i="4"/>
  <c r="J128" i="4"/>
  <c r="I128" i="4"/>
  <c r="H128" i="4"/>
  <c r="G128" i="4"/>
  <c r="F128" i="4"/>
  <c r="E128" i="4"/>
  <c r="D128" i="4"/>
  <c r="C128" i="4"/>
  <c r="B128" i="4"/>
  <c r="A128" i="4"/>
  <c r="K127" i="4"/>
  <c r="J127" i="4"/>
  <c r="I127" i="4"/>
  <c r="H127" i="4"/>
  <c r="G127" i="4"/>
  <c r="F127" i="4"/>
  <c r="E127" i="4"/>
  <c r="D127" i="4"/>
  <c r="C127" i="4"/>
  <c r="B127" i="4"/>
  <c r="A127" i="4"/>
  <c r="K126" i="4"/>
  <c r="J126" i="4"/>
  <c r="I126" i="4"/>
  <c r="H126" i="4"/>
  <c r="G126" i="4"/>
  <c r="F126" i="4"/>
  <c r="E126" i="4"/>
  <c r="D126" i="4"/>
  <c r="C126" i="4"/>
  <c r="B126" i="4"/>
  <c r="A126" i="4"/>
  <c r="K125" i="4"/>
  <c r="J125" i="4"/>
  <c r="I125" i="4"/>
  <c r="H125" i="4"/>
  <c r="G125" i="4"/>
  <c r="F125" i="4"/>
  <c r="E125" i="4"/>
  <c r="D125" i="4"/>
  <c r="C125" i="4"/>
  <c r="B125" i="4"/>
  <c r="A125" i="4"/>
  <c r="K124" i="4"/>
  <c r="J124" i="4"/>
  <c r="I124" i="4"/>
  <c r="H124" i="4"/>
  <c r="G124" i="4"/>
  <c r="F124" i="4"/>
  <c r="E124" i="4"/>
  <c r="D124" i="4"/>
  <c r="C124" i="4"/>
  <c r="B124" i="4"/>
  <c r="A124" i="4"/>
  <c r="K123" i="4"/>
  <c r="J123" i="4"/>
  <c r="I123" i="4"/>
  <c r="H123" i="4"/>
  <c r="G123" i="4"/>
  <c r="F123" i="4"/>
  <c r="E123" i="4"/>
  <c r="D123" i="4"/>
  <c r="C123" i="4"/>
  <c r="B123" i="4"/>
  <c r="A123" i="4"/>
  <c r="K122" i="4"/>
  <c r="J122" i="4"/>
  <c r="I122" i="4"/>
  <c r="H122" i="4"/>
  <c r="G122" i="4"/>
  <c r="F122" i="4"/>
  <c r="E122" i="4"/>
  <c r="D122" i="4"/>
  <c r="C122" i="4"/>
  <c r="B122" i="4"/>
  <c r="A122" i="4"/>
  <c r="K121" i="4"/>
  <c r="J121" i="4"/>
  <c r="I121" i="4"/>
  <c r="H121" i="4"/>
  <c r="G121" i="4"/>
  <c r="F121" i="4"/>
  <c r="E121" i="4"/>
  <c r="D121" i="4"/>
  <c r="C121" i="4"/>
  <c r="B121" i="4"/>
  <c r="A121" i="4"/>
  <c r="K120" i="4"/>
  <c r="J120" i="4"/>
  <c r="I120" i="4"/>
  <c r="H120" i="4"/>
  <c r="G120" i="4"/>
  <c r="F120" i="4"/>
  <c r="E120" i="4"/>
  <c r="D120" i="4"/>
  <c r="C120" i="4"/>
  <c r="B120" i="4"/>
  <c r="A120" i="4"/>
  <c r="K119" i="4"/>
  <c r="J119" i="4"/>
  <c r="I119" i="4"/>
  <c r="H119" i="4"/>
  <c r="G119" i="4"/>
  <c r="F119" i="4"/>
  <c r="E119" i="4"/>
  <c r="D119" i="4"/>
  <c r="C119" i="4"/>
  <c r="B119" i="4"/>
  <c r="A119" i="4"/>
  <c r="K118" i="4"/>
  <c r="J118" i="4"/>
  <c r="I118" i="4"/>
  <c r="H118" i="4"/>
  <c r="G118" i="4"/>
  <c r="F118" i="4"/>
  <c r="E118" i="4"/>
  <c r="D118" i="4"/>
  <c r="C118" i="4"/>
  <c r="B118" i="4"/>
  <c r="A118" i="4"/>
  <c r="K117" i="4"/>
  <c r="J117" i="4"/>
  <c r="I117" i="4"/>
  <c r="H117" i="4"/>
  <c r="G117" i="4"/>
  <c r="F117" i="4"/>
  <c r="E117" i="4"/>
  <c r="D117" i="4"/>
  <c r="C117" i="4"/>
  <c r="B117" i="4"/>
  <c r="A117" i="4"/>
  <c r="K116" i="4"/>
  <c r="J116" i="4"/>
  <c r="I116" i="4"/>
  <c r="H116" i="4"/>
  <c r="G116" i="4"/>
  <c r="F116" i="4"/>
  <c r="E116" i="4"/>
  <c r="D116" i="4"/>
  <c r="C116" i="4"/>
  <c r="B116" i="4"/>
  <c r="A116" i="4"/>
  <c r="K115" i="4"/>
  <c r="J115" i="4"/>
  <c r="I115" i="4"/>
  <c r="H115" i="4"/>
  <c r="G115" i="4"/>
  <c r="F115" i="4"/>
  <c r="E115" i="4"/>
  <c r="D115" i="4"/>
  <c r="C115" i="4"/>
  <c r="B115" i="4"/>
  <c r="A115" i="4"/>
  <c r="K114" i="4"/>
  <c r="J114" i="4"/>
  <c r="I114" i="4"/>
  <c r="H114" i="4"/>
  <c r="G114" i="4"/>
  <c r="F114" i="4"/>
  <c r="E114" i="4"/>
  <c r="D114" i="4"/>
  <c r="C114" i="4"/>
  <c r="B114" i="4"/>
  <c r="A114" i="4"/>
  <c r="K113" i="4"/>
  <c r="J113" i="4"/>
  <c r="I113" i="4"/>
  <c r="H113" i="4"/>
  <c r="G113" i="4"/>
  <c r="F113" i="4"/>
  <c r="E113" i="4"/>
  <c r="D113" i="4"/>
  <c r="C113" i="4"/>
  <c r="B113" i="4"/>
  <c r="A113" i="4"/>
  <c r="K112" i="4"/>
  <c r="J112" i="4"/>
  <c r="I112" i="4"/>
  <c r="H112" i="4"/>
  <c r="G112" i="4"/>
  <c r="F112" i="4"/>
  <c r="E112" i="4"/>
  <c r="D112" i="4"/>
  <c r="C112" i="4"/>
  <c r="B112" i="4"/>
  <c r="A112" i="4"/>
  <c r="K111" i="4"/>
  <c r="J111" i="4"/>
  <c r="I111" i="4"/>
  <c r="H111" i="4"/>
  <c r="G111" i="4"/>
  <c r="F111" i="4"/>
  <c r="E111" i="4"/>
  <c r="D111" i="4"/>
  <c r="C111" i="4"/>
  <c r="B111" i="4"/>
  <c r="A111" i="4"/>
  <c r="K110" i="4"/>
  <c r="J110" i="4"/>
  <c r="I110" i="4"/>
  <c r="H110" i="4"/>
  <c r="G110" i="4"/>
  <c r="F110" i="4"/>
  <c r="E110" i="4"/>
  <c r="D110" i="4"/>
  <c r="C110" i="4"/>
  <c r="B110" i="4"/>
  <c r="A110" i="4"/>
  <c r="K109" i="4"/>
  <c r="J109" i="4"/>
  <c r="I109" i="4"/>
  <c r="H109" i="4"/>
  <c r="G109" i="4"/>
  <c r="F109" i="4"/>
  <c r="E109" i="4"/>
  <c r="D109" i="4"/>
  <c r="C109" i="4"/>
  <c r="B109" i="4"/>
  <c r="A109" i="4"/>
  <c r="K108" i="4"/>
  <c r="J108" i="4"/>
  <c r="I108" i="4"/>
  <c r="H108" i="4"/>
  <c r="G108" i="4"/>
  <c r="F108" i="4"/>
  <c r="E108" i="4"/>
  <c r="D108" i="4"/>
  <c r="C108" i="4"/>
  <c r="B108" i="4"/>
  <c r="A108" i="4"/>
  <c r="K107" i="4"/>
  <c r="J107" i="4"/>
  <c r="I107" i="4"/>
  <c r="H107" i="4"/>
  <c r="G107" i="4"/>
  <c r="F107" i="4"/>
  <c r="E107" i="4"/>
  <c r="D107" i="4"/>
  <c r="C107" i="4"/>
  <c r="B107" i="4"/>
  <c r="A107" i="4"/>
  <c r="K106" i="4"/>
  <c r="J106" i="4"/>
  <c r="I106" i="4"/>
  <c r="H106" i="4"/>
  <c r="G106" i="4"/>
  <c r="F106" i="4"/>
  <c r="E106" i="4"/>
  <c r="D106" i="4"/>
  <c r="C106" i="4"/>
  <c r="B106" i="4"/>
  <c r="A106" i="4"/>
  <c r="K105" i="4"/>
  <c r="J105" i="4"/>
  <c r="I105" i="4"/>
  <c r="H105" i="4"/>
  <c r="G105" i="4"/>
  <c r="F105" i="4"/>
  <c r="E105" i="4"/>
  <c r="D105" i="4"/>
  <c r="C105" i="4"/>
  <c r="B105" i="4"/>
  <c r="A105" i="4"/>
  <c r="K104" i="4"/>
  <c r="J104" i="4"/>
  <c r="I104" i="4"/>
  <c r="H104" i="4"/>
  <c r="G104" i="4"/>
  <c r="F104" i="4"/>
  <c r="E104" i="4"/>
  <c r="D104" i="4"/>
  <c r="C104" i="4"/>
  <c r="B104" i="4"/>
  <c r="A104" i="4"/>
  <c r="K103" i="4"/>
  <c r="J103" i="4"/>
  <c r="I103" i="4"/>
  <c r="H103" i="4"/>
  <c r="G103" i="4"/>
  <c r="F103" i="4"/>
  <c r="E103" i="4"/>
  <c r="D103" i="4"/>
  <c r="C103" i="4"/>
  <c r="B103" i="4"/>
  <c r="A103" i="4"/>
  <c r="K102" i="4"/>
  <c r="J102" i="4"/>
  <c r="I102" i="4"/>
  <c r="H102" i="4"/>
  <c r="G102" i="4"/>
  <c r="F102" i="4"/>
  <c r="E102" i="4"/>
  <c r="D102" i="4"/>
  <c r="C102" i="4"/>
  <c r="B102" i="4"/>
  <c r="A102" i="4"/>
  <c r="K101" i="4"/>
  <c r="J101" i="4"/>
  <c r="I101" i="4"/>
  <c r="H101" i="4"/>
  <c r="G101" i="4"/>
  <c r="F101" i="4"/>
  <c r="E101" i="4"/>
  <c r="D101" i="4"/>
  <c r="C101" i="4"/>
  <c r="B101" i="4"/>
  <c r="A101" i="4"/>
  <c r="K100" i="4"/>
  <c r="J100" i="4"/>
  <c r="I100" i="4"/>
  <c r="H100" i="4"/>
  <c r="G100" i="4"/>
  <c r="F100" i="4"/>
  <c r="E100" i="4"/>
  <c r="D100" i="4"/>
  <c r="C100" i="4"/>
  <c r="B100" i="4"/>
  <c r="A100" i="4"/>
  <c r="K99" i="4"/>
  <c r="J99" i="4"/>
  <c r="I99" i="4"/>
  <c r="H99" i="4"/>
  <c r="G99" i="4"/>
  <c r="F99" i="4"/>
  <c r="E99" i="4"/>
  <c r="D99" i="4"/>
  <c r="C99" i="4"/>
  <c r="B99" i="4"/>
  <c r="A99" i="4"/>
  <c r="K98" i="4"/>
  <c r="J98" i="4"/>
  <c r="I98" i="4"/>
  <c r="H98" i="4"/>
  <c r="G98" i="4"/>
  <c r="F98" i="4"/>
  <c r="E98" i="4"/>
  <c r="D98" i="4"/>
  <c r="C98" i="4"/>
  <c r="B98" i="4"/>
  <c r="A98" i="4"/>
  <c r="K97" i="4"/>
  <c r="J97" i="4"/>
  <c r="I97" i="4"/>
  <c r="H97" i="4"/>
  <c r="G97" i="4"/>
  <c r="F97" i="4"/>
  <c r="E97" i="4"/>
  <c r="D97" i="4"/>
  <c r="C97" i="4"/>
  <c r="B97" i="4"/>
  <c r="A97" i="4"/>
  <c r="K96" i="4"/>
  <c r="J96" i="4"/>
  <c r="I96" i="4"/>
  <c r="H96" i="4"/>
  <c r="G96" i="4"/>
  <c r="F96" i="4"/>
  <c r="E96" i="4"/>
  <c r="D96" i="4"/>
  <c r="C96" i="4"/>
  <c r="B96" i="4"/>
  <c r="A96" i="4"/>
  <c r="K95" i="4"/>
  <c r="J95" i="4"/>
  <c r="I95" i="4"/>
  <c r="H95" i="4"/>
  <c r="G95" i="4"/>
  <c r="F95" i="4"/>
  <c r="E95" i="4"/>
  <c r="D95" i="4"/>
  <c r="C95" i="4"/>
  <c r="B95" i="4"/>
  <c r="A95" i="4"/>
  <c r="K94" i="4"/>
  <c r="J94" i="4"/>
  <c r="I94" i="4"/>
  <c r="H94" i="4"/>
  <c r="G94" i="4"/>
  <c r="F94" i="4"/>
  <c r="E94" i="4"/>
  <c r="D94" i="4"/>
  <c r="C94" i="4"/>
  <c r="B94" i="4"/>
  <c r="A94" i="4"/>
  <c r="K93" i="4"/>
  <c r="J93" i="4"/>
  <c r="I93" i="4"/>
  <c r="H93" i="4"/>
  <c r="G93" i="4"/>
  <c r="F93" i="4"/>
  <c r="E93" i="4"/>
  <c r="D93" i="4"/>
  <c r="C93" i="4"/>
  <c r="B93" i="4"/>
  <c r="A93" i="4"/>
  <c r="K92" i="4"/>
  <c r="J92" i="4"/>
  <c r="I92" i="4"/>
  <c r="H92" i="4"/>
  <c r="G92" i="4"/>
  <c r="F92" i="4"/>
  <c r="E92" i="4"/>
  <c r="D92" i="4"/>
  <c r="C92" i="4"/>
  <c r="B92" i="4"/>
  <c r="A92" i="4"/>
  <c r="K91" i="4"/>
  <c r="J91" i="4"/>
  <c r="I91" i="4"/>
  <c r="H91" i="4"/>
  <c r="G91" i="4"/>
  <c r="F91" i="4"/>
  <c r="E91" i="4"/>
  <c r="D91" i="4"/>
  <c r="C91" i="4"/>
  <c r="B91" i="4"/>
  <c r="A91" i="4"/>
  <c r="K90" i="4"/>
  <c r="J90" i="4"/>
  <c r="I90" i="4"/>
  <c r="H90" i="4"/>
  <c r="G90" i="4"/>
  <c r="F90" i="4"/>
  <c r="E90" i="4"/>
  <c r="D90" i="4"/>
  <c r="C90" i="4"/>
  <c r="B90" i="4"/>
  <c r="A90" i="4"/>
  <c r="K89" i="4"/>
  <c r="J89" i="4"/>
  <c r="I89" i="4"/>
  <c r="H89" i="4"/>
  <c r="G89" i="4"/>
  <c r="F89" i="4"/>
  <c r="E89" i="4"/>
  <c r="D89" i="4"/>
  <c r="C89" i="4"/>
  <c r="B89" i="4"/>
  <c r="A89" i="4"/>
  <c r="K88" i="4"/>
  <c r="J88" i="4"/>
  <c r="I88" i="4"/>
  <c r="H88" i="4"/>
  <c r="G88" i="4"/>
  <c r="F88" i="4"/>
  <c r="E88" i="4"/>
  <c r="D88" i="4"/>
  <c r="C88" i="4"/>
  <c r="B88" i="4"/>
  <c r="A88" i="4"/>
  <c r="K87" i="4"/>
  <c r="J87" i="4"/>
  <c r="I87" i="4"/>
  <c r="H87" i="4"/>
  <c r="G87" i="4"/>
  <c r="F87" i="4"/>
  <c r="E87" i="4"/>
  <c r="D87" i="4"/>
  <c r="C87" i="4"/>
  <c r="B87" i="4"/>
  <c r="A87" i="4"/>
  <c r="K86" i="4"/>
  <c r="J86" i="4"/>
  <c r="I86" i="4"/>
  <c r="H86" i="4"/>
  <c r="G86" i="4"/>
  <c r="F86" i="4"/>
  <c r="E86" i="4"/>
  <c r="D86" i="4"/>
  <c r="C86" i="4"/>
  <c r="B86" i="4"/>
  <c r="A86" i="4"/>
  <c r="K85" i="4"/>
  <c r="J85" i="4"/>
  <c r="I85" i="4"/>
  <c r="H85" i="4"/>
  <c r="G85" i="4"/>
  <c r="F85" i="4"/>
  <c r="E85" i="4"/>
  <c r="D85" i="4"/>
  <c r="C85" i="4"/>
  <c r="B85" i="4"/>
  <c r="A85" i="4"/>
  <c r="K84" i="4"/>
  <c r="J84" i="4"/>
  <c r="I84" i="4"/>
  <c r="H84" i="4"/>
  <c r="G84" i="4"/>
  <c r="F84" i="4"/>
  <c r="E84" i="4"/>
  <c r="D84" i="4"/>
  <c r="C84" i="4"/>
  <c r="B84" i="4"/>
  <c r="A84" i="4"/>
  <c r="K83" i="4"/>
  <c r="J83" i="4"/>
  <c r="I83" i="4"/>
  <c r="H83" i="4"/>
  <c r="G83" i="4"/>
  <c r="F83" i="4"/>
  <c r="E83" i="4"/>
  <c r="D83" i="4"/>
  <c r="C83" i="4"/>
  <c r="B83" i="4"/>
  <c r="A83" i="4"/>
  <c r="K82" i="4"/>
  <c r="J82" i="4"/>
  <c r="I82" i="4"/>
  <c r="H82" i="4"/>
  <c r="G82" i="4"/>
  <c r="F82" i="4"/>
  <c r="E82" i="4"/>
  <c r="D82" i="4"/>
  <c r="C82" i="4"/>
  <c r="B82" i="4"/>
  <c r="A82" i="4"/>
  <c r="K81" i="4"/>
  <c r="J81" i="4"/>
  <c r="I81" i="4"/>
  <c r="H81" i="4"/>
  <c r="G81" i="4"/>
  <c r="F81" i="4"/>
  <c r="E81" i="4"/>
  <c r="D81" i="4"/>
  <c r="C81" i="4"/>
  <c r="B81" i="4"/>
  <c r="A81" i="4"/>
  <c r="K80" i="4"/>
  <c r="J80" i="4"/>
  <c r="I80" i="4"/>
  <c r="H80" i="4"/>
  <c r="G80" i="4"/>
  <c r="F80" i="4"/>
  <c r="E80" i="4"/>
  <c r="D80" i="4"/>
  <c r="C80" i="4"/>
  <c r="B80" i="4"/>
  <c r="A80" i="4"/>
  <c r="K79" i="4"/>
  <c r="J79" i="4"/>
  <c r="I79" i="4"/>
  <c r="H79" i="4"/>
  <c r="G79" i="4"/>
  <c r="F79" i="4"/>
  <c r="E79" i="4"/>
  <c r="D79" i="4"/>
  <c r="C79" i="4"/>
  <c r="B79" i="4"/>
  <c r="A79" i="4"/>
  <c r="K78" i="4"/>
  <c r="J78" i="4"/>
  <c r="I78" i="4"/>
  <c r="H78" i="4"/>
  <c r="G78" i="4"/>
  <c r="F78" i="4"/>
  <c r="E78" i="4"/>
  <c r="D78" i="4"/>
  <c r="C78" i="4"/>
  <c r="B78" i="4"/>
  <c r="A78" i="4"/>
  <c r="K77" i="4"/>
  <c r="J77" i="4"/>
  <c r="I77" i="4"/>
  <c r="H77" i="4"/>
  <c r="G77" i="4"/>
  <c r="F77" i="4"/>
  <c r="E77" i="4"/>
  <c r="D77" i="4"/>
  <c r="C77" i="4"/>
  <c r="B77" i="4"/>
  <c r="A77" i="4"/>
  <c r="K76" i="4"/>
  <c r="J76" i="4"/>
  <c r="I76" i="4"/>
  <c r="H76" i="4"/>
  <c r="G76" i="4"/>
  <c r="F76" i="4"/>
  <c r="E76" i="4"/>
  <c r="D76" i="4"/>
  <c r="C76" i="4"/>
  <c r="B76" i="4"/>
  <c r="A76" i="4"/>
  <c r="K75" i="4"/>
  <c r="J75" i="4"/>
  <c r="I75" i="4"/>
  <c r="H75" i="4"/>
  <c r="G75" i="4"/>
  <c r="F75" i="4"/>
  <c r="E75" i="4"/>
  <c r="D75" i="4"/>
  <c r="C75" i="4"/>
  <c r="B75" i="4"/>
  <c r="A75" i="4"/>
  <c r="K74" i="4"/>
  <c r="J74" i="4"/>
  <c r="I74" i="4"/>
  <c r="H74" i="4"/>
  <c r="G74" i="4"/>
  <c r="F74" i="4"/>
  <c r="E74" i="4"/>
  <c r="D74" i="4"/>
  <c r="C74" i="4"/>
  <c r="B74" i="4"/>
  <c r="A74" i="4"/>
  <c r="K73" i="4"/>
  <c r="J73" i="4"/>
  <c r="I73" i="4"/>
  <c r="H73" i="4"/>
  <c r="G73" i="4"/>
  <c r="F73" i="4"/>
  <c r="E73" i="4"/>
  <c r="D73" i="4"/>
  <c r="C73" i="4"/>
  <c r="B73" i="4"/>
  <c r="A73" i="4"/>
  <c r="K72" i="4"/>
  <c r="J72" i="4"/>
  <c r="I72" i="4"/>
  <c r="H72" i="4"/>
  <c r="G72" i="4"/>
  <c r="F72" i="4"/>
  <c r="E72" i="4"/>
  <c r="D72" i="4"/>
  <c r="C72" i="4"/>
  <c r="B72" i="4"/>
  <c r="A72" i="4"/>
  <c r="K71" i="4"/>
  <c r="J71" i="4"/>
  <c r="I71" i="4"/>
  <c r="H71" i="4"/>
  <c r="G71" i="4"/>
  <c r="F71" i="4"/>
  <c r="E71" i="4"/>
  <c r="D71" i="4"/>
  <c r="C71" i="4"/>
  <c r="B71" i="4"/>
  <c r="A71" i="4"/>
  <c r="K70" i="4"/>
  <c r="J70" i="4"/>
  <c r="I70" i="4"/>
  <c r="H70" i="4"/>
  <c r="G70" i="4"/>
  <c r="F70" i="4"/>
  <c r="E70" i="4"/>
  <c r="D70" i="4"/>
  <c r="C70" i="4"/>
  <c r="B70" i="4"/>
  <c r="A70" i="4"/>
  <c r="K69" i="4"/>
  <c r="J69" i="4"/>
  <c r="I69" i="4"/>
  <c r="H69" i="4"/>
  <c r="G69" i="4"/>
  <c r="F69" i="4"/>
  <c r="E69" i="4"/>
  <c r="D69" i="4"/>
  <c r="C69" i="4"/>
  <c r="B69" i="4"/>
  <c r="A69" i="4"/>
  <c r="K68" i="4"/>
  <c r="J68" i="4"/>
  <c r="I68" i="4"/>
  <c r="H68" i="4"/>
  <c r="G68" i="4"/>
  <c r="F68" i="4"/>
  <c r="E68" i="4"/>
  <c r="D68" i="4"/>
  <c r="C68" i="4"/>
  <c r="B68" i="4"/>
  <c r="A68" i="4"/>
  <c r="K67" i="4"/>
  <c r="J67" i="4"/>
  <c r="I67" i="4"/>
  <c r="H67" i="4"/>
  <c r="G67" i="4"/>
  <c r="F67" i="4"/>
  <c r="E67" i="4"/>
  <c r="D67" i="4"/>
  <c r="C67" i="4"/>
  <c r="B67" i="4"/>
  <c r="A67" i="4"/>
  <c r="K66" i="4"/>
  <c r="J66" i="4"/>
  <c r="I66" i="4"/>
  <c r="H66" i="4"/>
  <c r="G66" i="4"/>
  <c r="F66" i="4"/>
  <c r="E66" i="4"/>
  <c r="D66" i="4"/>
  <c r="C66" i="4"/>
  <c r="B66" i="4"/>
  <c r="A66" i="4"/>
  <c r="K65" i="4"/>
  <c r="J65" i="4"/>
  <c r="I65" i="4"/>
  <c r="H65" i="4"/>
  <c r="G65" i="4"/>
  <c r="F65" i="4"/>
  <c r="E65" i="4"/>
  <c r="D65" i="4"/>
  <c r="C65" i="4"/>
  <c r="B65" i="4"/>
  <c r="A65" i="4"/>
  <c r="K64" i="4"/>
  <c r="J64" i="4"/>
  <c r="I64" i="4"/>
  <c r="H64" i="4"/>
  <c r="G64" i="4"/>
  <c r="F64" i="4"/>
  <c r="E64" i="4"/>
  <c r="D64" i="4"/>
  <c r="C64" i="4"/>
  <c r="B64" i="4"/>
  <c r="A64" i="4"/>
  <c r="K63" i="4"/>
  <c r="J63" i="4"/>
  <c r="I63" i="4"/>
  <c r="H63" i="4"/>
  <c r="G63" i="4"/>
  <c r="F63" i="4"/>
  <c r="E63" i="4"/>
  <c r="D63" i="4"/>
  <c r="C63" i="4"/>
  <c r="B63" i="4"/>
  <c r="A63" i="4"/>
  <c r="K62" i="4"/>
  <c r="J62" i="4"/>
  <c r="I62" i="4"/>
  <c r="H62" i="4"/>
  <c r="G62" i="4"/>
  <c r="F62" i="4"/>
  <c r="E62" i="4"/>
  <c r="D62" i="4"/>
  <c r="C62" i="4"/>
  <c r="B62" i="4"/>
  <c r="A62" i="4"/>
  <c r="K61" i="4"/>
  <c r="J61" i="4"/>
  <c r="I61" i="4"/>
  <c r="H61" i="4"/>
  <c r="G61" i="4"/>
  <c r="F61" i="4"/>
  <c r="E61" i="4"/>
  <c r="D61" i="4"/>
  <c r="C61" i="4"/>
  <c r="B61" i="4"/>
  <c r="A61" i="4"/>
  <c r="K60" i="4"/>
  <c r="J60" i="4"/>
  <c r="I60" i="4"/>
  <c r="H60" i="4"/>
  <c r="G60" i="4"/>
  <c r="F60" i="4"/>
  <c r="E60" i="4"/>
  <c r="D60" i="4"/>
  <c r="C60" i="4"/>
  <c r="B60" i="4"/>
  <c r="A60" i="4"/>
  <c r="K59" i="4"/>
  <c r="J59" i="4"/>
  <c r="I59" i="4"/>
  <c r="H59" i="4"/>
  <c r="G59" i="4"/>
  <c r="F59" i="4"/>
  <c r="E59" i="4"/>
  <c r="D59" i="4"/>
  <c r="C59" i="4"/>
  <c r="B59" i="4"/>
  <c r="A59" i="4"/>
  <c r="K58" i="4"/>
  <c r="J58" i="4"/>
  <c r="I58" i="4"/>
  <c r="H58" i="4"/>
  <c r="G58" i="4"/>
  <c r="F58" i="4"/>
  <c r="E58" i="4"/>
  <c r="D58" i="4"/>
  <c r="C58" i="4"/>
  <c r="B58" i="4"/>
  <c r="A58" i="4"/>
  <c r="K57" i="4"/>
  <c r="J57" i="4"/>
  <c r="I57" i="4"/>
  <c r="H57" i="4"/>
  <c r="G57" i="4"/>
  <c r="F57" i="4"/>
  <c r="E57" i="4"/>
  <c r="D57" i="4"/>
  <c r="C57" i="4"/>
  <c r="B57" i="4"/>
  <c r="A57" i="4"/>
  <c r="K56" i="4"/>
  <c r="J56" i="4"/>
  <c r="I56" i="4"/>
  <c r="H56" i="4"/>
  <c r="G56" i="4"/>
  <c r="F56" i="4"/>
  <c r="E56" i="4"/>
  <c r="D56" i="4"/>
  <c r="C56" i="4"/>
  <c r="B56" i="4"/>
  <c r="A56" i="4"/>
  <c r="K55" i="4"/>
  <c r="J55" i="4"/>
  <c r="I55" i="4"/>
  <c r="H55" i="4"/>
  <c r="G55" i="4"/>
  <c r="F55" i="4"/>
  <c r="E55" i="4"/>
  <c r="D55" i="4"/>
  <c r="C55" i="4"/>
  <c r="B55" i="4"/>
  <c r="A55" i="4"/>
  <c r="K54" i="4"/>
  <c r="J54" i="4"/>
  <c r="I54" i="4"/>
  <c r="H54" i="4"/>
  <c r="G54" i="4"/>
  <c r="F54" i="4"/>
  <c r="E54" i="4"/>
  <c r="D54" i="4"/>
  <c r="C54" i="4"/>
  <c r="B54" i="4"/>
  <c r="A54" i="4"/>
  <c r="K53" i="4"/>
  <c r="J53" i="4"/>
  <c r="I53" i="4"/>
  <c r="H53" i="4"/>
  <c r="G53" i="4"/>
  <c r="F53" i="4"/>
  <c r="E53" i="4"/>
  <c r="D53" i="4"/>
  <c r="C53" i="4"/>
  <c r="B53" i="4"/>
  <c r="A53" i="4"/>
  <c r="K52" i="4"/>
  <c r="J52" i="4"/>
  <c r="I52" i="4"/>
  <c r="H52" i="4"/>
  <c r="G52" i="4"/>
  <c r="F52" i="4"/>
  <c r="E52" i="4"/>
  <c r="D52" i="4"/>
  <c r="C52" i="4"/>
  <c r="B52" i="4"/>
  <c r="A52" i="4"/>
  <c r="K51" i="4"/>
  <c r="J51" i="4"/>
  <c r="I51" i="4"/>
  <c r="H51" i="4"/>
  <c r="G51" i="4"/>
  <c r="F51" i="4"/>
  <c r="E51" i="4"/>
  <c r="D51" i="4"/>
  <c r="C51" i="4"/>
  <c r="B51" i="4"/>
  <c r="A51" i="4"/>
  <c r="K50" i="4"/>
  <c r="J50" i="4"/>
  <c r="I50" i="4"/>
  <c r="H50" i="4"/>
  <c r="G50" i="4"/>
  <c r="F50" i="4"/>
  <c r="E50" i="4"/>
  <c r="D50" i="4"/>
  <c r="C50" i="4"/>
  <c r="B50" i="4"/>
  <c r="A50" i="4"/>
  <c r="K49" i="4"/>
  <c r="J49" i="4"/>
  <c r="I49" i="4"/>
  <c r="H49" i="4"/>
  <c r="G49" i="4"/>
  <c r="F49" i="4"/>
  <c r="E49" i="4"/>
  <c r="D49" i="4"/>
  <c r="C49" i="4"/>
  <c r="B49" i="4"/>
  <c r="A49" i="4"/>
  <c r="K48" i="4"/>
  <c r="J48" i="4"/>
  <c r="I48" i="4"/>
  <c r="H48" i="4"/>
  <c r="G48" i="4"/>
  <c r="F48" i="4"/>
  <c r="E48" i="4"/>
  <c r="D48" i="4"/>
  <c r="C48" i="4"/>
  <c r="B48" i="4"/>
  <c r="A48" i="4"/>
  <c r="K47" i="4"/>
  <c r="J47" i="4"/>
  <c r="I47" i="4"/>
  <c r="H47" i="4"/>
  <c r="G47" i="4"/>
  <c r="F47" i="4"/>
  <c r="E47" i="4"/>
  <c r="D47" i="4"/>
  <c r="C47" i="4"/>
  <c r="B47" i="4"/>
  <c r="A47" i="4"/>
  <c r="K46" i="4"/>
  <c r="J46" i="4"/>
  <c r="I46" i="4"/>
  <c r="H46" i="4"/>
  <c r="G46" i="4"/>
  <c r="F46" i="4"/>
  <c r="E46" i="4"/>
  <c r="D46" i="4"/>
  <c r="C46" i="4"/>
  <c r="B46" i="4"/>
  <c r="A46" i="4"/>
  <c r="K45" i="4"/>
  <c r="J45" i="4"/>
  <c r="I45" i="4"/>
  <c r="H45" i="4"/>
  <c r="G45" i="4"/>
  <c r="F45" i="4"/>
  <c r="E45" i="4"/>
  <c r="D45" i="4"/>
  <c r="C45" i="4"/>
  <c r="B45" i="4"/>
  <c r="A45" i="4"/>
  <c r="K44" i="4"/>
  <c r="J44" i="4"/>
  <c r="I44" i="4"/>
  <c r="H44" i="4"/>
  <c r="G44" i="4"/>
  <c r="F44" i="4"/>
  <c r="E44" i="4"/>
  <c r="D44" i="4"/>
  <c r="C44" i="4"/>
  <c r="B44" i="4"/>
  <c r="A44" i="4"/>
  <c r="K43" i="4"/>
  <c r="J43" i="4"/>
  <c r="I43" i="4"/>
  <c r="H43" i="4"/>
  <c r="G43" i="4"/>
  <c r="F43" i="4"/>
  <c r="E43" i="4"/>
  <c r="D43" i="4"/>
  <c r="C43" i="4"/>
  <c r="B43" i="4"/>
  <c r="A43" i="4"/>
  <c r="K42" i="4"/>
  <c r="J42" i="4"/>
  <c r="I42" i="4"/>
  <c r="H42" i="4"/>
  <c r="G42" i="4"/>
  <c r="F42" i="4"/>
  <c r="E42" i="4"/>
  <c r="D42" i="4"/>
  <c r="C42" i="4"/>
  <c r="B42" i="4"/>
  <c r="A42" i="4"/>
  <c r="K41" i="4"/>
  <c r="J41" i="4"/>
  <c r="I41" i="4"/>
  <c r="H41" i="4"/>
  <c r="G41" i="4"/>
  <c r="F41" i="4"/>
  <c r="E41" i="4"/>
  <c r="D41" i="4"/>
  <c r="C41" i="4"/>
  <c r="B41" i="4"/>
  <c r="A41" i="4"/>
  <c r="K40" i="4"/>
  <c r="J40" i="4"/>
  <c r="I40" i="4"/>
  <c r="H40" i="4"/>
  <c r="G40" i="4"/>
  <c r="F40" i="4"/>
  <c r="E40" i="4"/>
  <c r="D40" i="4"/>
  <c r="C40" i="4"/>
  <c r="B40" i="4"/>
  <c r="A40" i="4"/>
  <c r="K39" i="4"/>
  <c r="J39" i="4"/>
  <c r="I39" i="4"/>
  <c r="H39" i="4"/>
  <c r="G39" i="4"/>
  <c r="F39" i="4"/>
  <c r="E39" i="4"/>
  <c r="D39" i="4"/>
  <c r="C39" i="4"/>
  <c r="B39" i="4"/>
  <c r="A39" i="4"/>
  <c r="K38" i="4"/>
  <c r="J38" i="4"/>
  <c r="I38" i="4"/>
  <c r="H38" i="4"/>
  <c r="G38" i="4"/>
  <c r="F38" i="4"/>
  <c r="E38" i="4"/>
  <c r="D38" i="4"/>
  <c r="C38" i="4"/>
  <c r="B38" i="4"/>
  <c r="A38" i="4"/>
  <c r="K37" i="4"/>
  <c r="J37" i="4"/>
  <c r="I37" i="4"/>
  <c r="H37" i="4"/>
  <c r="G37" i="4"/>
  <c r="F37" i="4"/>
  <c r="E37" i="4"/>
  <c r="D37" i="4"/>
  <c r="C37" i="4"/>
  <c r="B37" i="4"/>
  <c r="A37" i="4"/>
  <c r="K36" i="4"/>
  <c r="J36" i="4"/>
  <c r="I36" i="4"/>
  <c r="H36" i="4"/>
  <c r="G36" i="4"/>
  <c r="F36" i="4"/>
  <c r="E36" i="4"/>
  <c r="D36" i="4"/>
  <c r="C36" i="4"/>
  <c r="B36" i="4"/>
  <c r="A36" i="4"/>
  <c r="K35" i="4"/>
  <c r="J35" i="4"/>
  <c r="I35" i="4"/>
  <c r="H35" i="4"/>
  <c r="G35" i="4"/>
  <c r="F35" i="4"/>
  <c r="E35" i="4"/>
  <c r="D35" i="4"/>
  <c r="C35" i="4"/>
  <c r="B35" i="4"/>
  <c r="A35" i="4"/>
  <c r="K34" i="4"/>
  <c r="J34" i="4"/>
  <c r="I34" i="4"/>
  <c r="H34" i="4"/>
  <c r="G34" i="4"/>
  <c r="F34" i="4"/>
  <c r="E34" i="4"/>
  <c r="D34" i="4"/>
  <c r="C34" i="4"/>
  <c r="B34" i="4"/>
  <c r="A34" i="4"/>
  <c r="K33" i="4"/>
  <c r="J33" i="4"/>
  <c r="I33" i="4"/>
  <c r="H33" i="4"/>
  <c r="G33" i="4"/>
  <c r="F33" i="4"/>
  <c r="E33" i="4"/>
  <c r="D33" i="4"/>
  <c r="C33" i="4"/>
  <c r="B33" i="4"/>
  <c r="A33" i="4"/>
  <c r="K32" i="4"/>
  <c r="J32" i="4"/>
  <c r="I32" i="4"/>
  <c r="H32" i="4"/>
  <c r="G32" i="4"/>
  <c r="F32" i="4"/>
  <c r="E32" i="4"/>
  <c r="D32" i="4"/>
  <c r="C32" i="4"/>
  <c r="B32" i="4"/>
  <c r="A32" i="4"/>
  <c r="K31" i="4"/>
  <c r="J31" i="4"/>
  <c r="I31" i="4"/>
  <c r="H31" i="4"/>
  <c r="G31" i="4"/>
  <c r="F31" i="4"/>
  <c r="E31" i="4"/>
  <c r="D31" i="4"/>
  <c r="C31" i="4"/>
  <c r="B31" i="4"/>
  <c r="A31" i="4"/>
  <c r="K30" i="4"/>
  <c r="J30" i="4"/>
  <c r="I30" i="4"/>
  <c r="H30" i="4"/>
  <c r="G30" i="4"/>
  <c r="F30" i="4"/>
  <c r="E30" i="4"/>
  <c r="D30" i="4"/>
  <c r="C30" i="4"/>
  <c r="B30" i="4"/>
  <c r="A30" i="4"/>
  <c r="K29" i="4"/>
  <c r="J29" i="4"/>
  <c r="I29" i="4"/>
  <c r="H29" i="4"/>
  <c r="G29" i="4"/>
  <c r="F29" i="4"/>
  <c r="E29" i="4"/>
  <c r="D29" i="4"/>
  <c r="C29" i="4"/>
  <c r="B29" i="4"/>
  <c r="A29" i="4"/>
  <c r="K28" i="4"/>
  <c r="J28" i="4"/>
  <c r="I28" i="4"/>
  <c r="H28" i="4"/>
  <c r="G28" i="4"/>
  <c r="F28" i="4"/>
  <c r="E28" i="4"/>
  <c r="D28" i="4"/>
  <c r="C28" i="4"/>
  <c r="B28" i="4"/>
  <c r="A28" i="4"/>
  <c r="K27" i="4"/>
  <c r="J27" i="4"/>
  <c r="I27" i="4"/>
  <c r="H27" i="4"/>
  <c r="G27" i="4"/>
  <c r="F27" i="4"/>
  <c r="E27" i="4"/>
  <c r="D27" i="4"/>
  <c r="C27" i="4"/>
  <c r="B27" i="4"/>
  <c r="A27" i="4"/>
  <c r="K26" i="4"/>
  <c r="J26" i="4"/>
  <c r="I26" i="4"/>
  <c r="H26" i="4"/>
  <c r="G26" i="4"/>
  <c r="F26" i="4"/>
  <c r="E26" i="4"/>
  <c r="D26" i="4"/>
  <c r="C26" i="4"/>
  <c r="B26" i="4"/>
  <c r="A26" i="4"/>
  <c r="K25" i="4"/>
  <c r="J25" i="4"/>
  <c r="I25" i="4"/>
  <c r="H25" i="4"/>
  <c r="G25" i="4"/>
  <c r="F25" i="4"/>
  <c r="E25" i="4"/>
  <c r="D25" i="4"/>
  <c r="C25" i="4"/>
  <c r="B25" i="4"/>
  <c r="A25" i="4"/>
  <c r="K24" i="4"/>
  <c r="J24" i="4"/>
  <c r="I24" i="4"/>
  <c r="H24" i="4"/>
  <c r="G24" i="4"/>
  <c r="F24" i="4"/>
  <c r="E24" i="4"/>
  <c r="D24" i="4"/>
  <c r="C24" i="4"/>
  <c r="B24" i="4"/>
  <c r="A24" i="4"/>
  <c r="K23" i="4"/>
  <c r="J23" i="4"/>
  <c r="I23" i="4"/>
  <c r="H23" i="4"/>
  <c r="G23" i="4"/>
  <c r="F23" i="4"/>
  <c r="E23" i="4"/>
  <c r="D23" i="4"/>
  <c r="C23" i="4"/>
  <c r="B23" i="4"/>
  <c r="A23" i="4"/>
  <c r="K22" i="4"/>
  <c r="J22" i="4"/>
  <c r="I22" i="4"/>
  <c r="H22" i="4"/>
  <c r="G22" i="4"/>
  <c r="F22" i="4"/>
  <c r="E22" i="4"/>
  <c r="D22" i="4"/>
  <c r="C22" i="4"/>
  <c r="B22" i="4"/>
  <c r="A22" i="4"/>
  <c r="K21" i="4"/>
  <c r="J21" i="4"/>
  <c r="I21" i="4"/>
  <c r="H21" i="4"/>
  <c r="G21" i="4"/>
  <c r="F21" i="4"/>
  <c r="E21" i="4"/>
  <c r="D21" i="4"/>
  <c r="C21" i="4"/>
  <c r="B21" i="4"/>
  <c r="A21" i="4"/>
  <c r="K20" i="4"/>
  <c r="J20" i="4"/>
  <c r="I20" i="4"/>
  <c r="H20" i="4"/>
  <c r="G20" i="4"/>
  <c r="F20" i="4"/>
  <c r="E20" i="4"/>
  <c r="D20" i="4"/>
  <c r="C20" i="4"/>
  <c r="B20" i="4"/>
  <c r="A20" i="4"/>
  <c r="K19" i="4"/>
  <c r="J19" i="4"/>
  <c r="I19" i="4"/>
  <c r="H19" i="4"/>
  <c r="G19" i="4"/>
  <c r="F19" i="4"/>
  <c r="E19" i="4"/>
  <c r="D19" i="4"/>
  <c r="C19" i="4"/>
  <c r="B19" i="4"/>
  <c r="A19" i="4"/>
  <c r="K18" i="4"/>
  <c r="J18" i="4"/>
  <c r="I18" i="4"/>
  <c r="H18" i="4"/>
  <c r="G18" i="4"/>
  <c r="F18" i="4"/>
  <c r="E18" i="4"/>
  <c r="D18" i="4"/>
  <c r="C18" i="4"/>
  <c r="B18" i="4"/>
  <c r="A18" i="4"/>
  <c r="K17" i="4"/>
  <c r="J17" i="4"/>
  <c r="I17" i="4"/>
  <c r="H17" i="4"/>
  <c r="G17" i="4"/>
  <c r="F17" i="4"/>
  <c r="E17" i="4"/>
  <c r="D17" i="4"/>
  <c r="C17" i="4"/>
  <c r="B17" i="4"/>
  <c r="A17" i="4"/>
  <c r="K16" i="4"/>
  <c r="J16" i="4"/>
  <c r="I16" i="4"/>
  <c r="H16" i="4"/>
  <c r="G16" i="4"/>
  <c r="F16" i="4"/>
  <c r="E16" i="4"/>
  <c r="D16" i="4"/>
  <c r="C16" i="4"/>
  <c r="B16" i="4"/>
  <c r="A16" i="4"/>
  <c r="K15" i="4"/>
  <c r="J15" i="4"/>
  <c r="I15" i="4"/>
  <c r="H15" i="4"/>
  <c r="G15" i="4"/>
  <c r="F15" i="4"/>
  <c r="E15" i="4"/>
  <c r="D15" i="4"/>
  <c r="C15" i="4"/>
  <c r="B15" i="4"/>
  <c r="A15" i="4"/>
  <c r="K14" i="4"/>
  <c r="J14" i="4"/>
  <c r="I14" i="4"/>
  <c r="H14" i="4"/>
  <c r="G14" i="4"/>
  <c r="F14" i="4"/>
  <c r="E14" i="4"/>
  <c r="D14" i="4"/>
  <c r="C14" i="4"/>
  <c r="B14" i="4"/>
  <c r="A14" i="4"/>
  <c r="K13" i="4"/>
  <c r="J13" i="4"/>
  <c r="I13" i="4"/>
  <c r="H13" i="4"/>
  <c r="G13" i="4"/>
  <c r="F13" i="4"/>
  <c r="E13" i="4"/>
  <c r="D13" i="4"/>
  <c r="C13" i="4"/>
  <c r="B13" i="4"/>
  <c r="A13" i="4"/>
  <c r="K12" i="4"/>
  <c r="J12" i="4"/>
  <c r="I12" i="4"/>
  <c r="H12" i="4"/>
  <c r="G12" i="4"/>
  <c r="F12" i="4"/>
  <c r="E12" i="4"/>
  <c r="D12" i="4"/>
  <c r="C12" i="4"/>
  <c r="B12" i="4"/>
  <c r="A12" i="4"/>
  <c r="K11" i="4"/>
  <c r="J11" i="4"/>
  <c r="I11" i="4"/>
  <c r="H11" i="4"/>
  <c r="G11" i="4"/>
  <c r="F11" i="4"/>
  <c r="E11" i="4"/>
  <c r="D11" i="4"/>
  <c r="C11" i="4"/>
  <c r="B11" i="4"/>
  <c r="A11" i="4"/>
  <c r="K10" i="4"/>
  <c r="J10" i="4"/>
  <c r="I10" i="4"/>
  <c r="H10" i="4"/>
  <c r="G10" i="4"/>
  <c r="F10" i="4"/>
  <c r="E10" i="4"/>
  <c r="D10" i="4"/>
  <c r="C10" i="4"/>
  <c r="B10" i="4"/>
  <c r="A10" i="4"/>
  <c r="K9" i="4"/>
  <c r="J9" i="4"/>
  <c r="I9" i="4"/>
  <c r="H9" i="4"/>
  <c r="G9" i="4"/>
  <c r="F9" i="4"/>
  <c r="E9" i="4"/>
  <c r="D9" i="4"/>
  <c r="C9" i="4"/>
  <c r="B9" i="4"/>
  <c r="A9" i="4"/>
  <c r="K8" i="4"/>
  <c r="J8" i="4"/>
  <c r="I8" i="4"/>
  <c r="H8" i="4"/>
  <c r="G8" i="4"/>
  <c r="F8" i="4"/>
  <c r="E8" i="4"/>
  <c r="D8" i="4"/>
  <c r="C8" i="4"/>
  <c r="B8" i="4"/>
  <c r="A8" i="4"/>
  <c r="K7" i="4"/>
  <c r="J7" i="4"/>
  <c r="I7" i="4"/>
  <c r="H7" i="4"/>
  <c r="G7" i="4"/>
  <c r="F7" i="4"/>
  <c r="E7" i="4"/>
  <c r="D7" i="4"/>
  <c r="C7" i="4"/>
  <c r="B7" i="4"/>
  <c r="A7" i="4"/>
  <c r="K6" i="4"/>
  <c r="J6" i="4"/>
  <c r="I6" i="4"/>
  <c r="H6" i="4"/>
  <c r="G6" i="4"/>
  <c r="F6" i="4"/>
  <c r="E6" i="4"/>
  <c r="D6" i="4"/>
  <c r="C6" i="4"/>
  <c r="B6" i="4"/>
  <c r="A6" i="4"/>
  <c r="K5" i="4"/>
  <c r="J5" i="4"/>
  <c r="I5" i="4"/>
  <c r="H5" i="4"/>
  <c r="G5" i="4"/>
  <c r="F5" i="4"/>
  <c r="E5" i="4"/>
  <c r="D5" i="4"/>
  <c r="C5" i="4"/>
  <c r="B5" i="4"/>
  <c r="A5" i="4"/>
  <c r="K4" i="4"/>
  <c r="J4" i="4"/>
  <c r="I4" i="4"/>
  <c r="H4" i="4"/>
  <c r="G4" i="4"/>
  <c r="F4" i="4"/>
  <c r="E4" i="4"/>
  <c r="D4" i="4"/>
  <c r="C4" i="4"/>
  <c r="B4" i="4"/>
  <c r="A4" i="4"/>
  <c r="K3" i="4"/>
  <c r="J3" i="4"/>
  <c r="I3" i="4"/>
  <c r="H3" i="4"/>
  <c r="G3" i="4"/>
  <c r="F3" i="4"/>
  <c r="E3" i="4"/>
  <c r="D3" i="4"/>
  <c r="C3" i="4"/>
  <c r="B3" i="4"/>
  <c r="A3" i="4"/>
  <c r="K2" i="4"/>
  <c r="J2" i="4"/>
  <c r="I2" i="4"/>
  <c r="H2" i="4"/>
  <c r="G2" i="4"/>
  <c r="F2" i="4"/>
  <c r="E2" i="4"/>
  <c r="D2" i="4"/>
  <c r="C2" i="4"/>
  <c r="B2" i="4"/>
  <c r="A2" i="4"/>
  <c r="K180" i="3"/>
  <c r="J180" i="3"/>
  <c r="I180" i="3"/>
  <c r="H180" i="3"/>
  <c r="G180" i="3"/>
  <c r="F180" i="3"/>
  <c r="E180" i="3"/>
  <c r="D180" i="3"/>
  <c r="C180" i="3"/>
  <c r="B180" i="3"/>
  <c r="A180" i="3"/>
  <c r="K179" i="3"/>
  <c r="J179" i="3"/>
  <c r="I179" i="3"/>
  <c r="H179" i="3"/>
  <c r="G179" i="3"/>
  <c r="F179" i="3"/>
  <c r="E179" i="3"/>
  <c r="D179" i="3"/>
  <c r="C179" i="3"/>
  <c r="B179" i="3"/>
  <c r="A179" i="3"/>
  <c r="K178" i="3"/>
  <c r="J178" i="3"/>
  <c r="I178" i="3"/>
  <c r="H178" i="3"/>
  <c r="G178" i="3"/>
  <c r="F178" i="3"/>
  <c r="E178" i="3"/>
  <c r="D178" i="3"/>
  <c r="C178" i="3"/>
  <c r="B178" i="3"/>
  <c r="A178" i="3"/>
  <c r="K177" i="3"/>
  <c r="J177" i="3"/>
  <c r="I177" i="3"/>
  <c r="H177" i="3"/>
  <c r="G177" i="3"/>
  <c r="F177" i="3"/>
  <c r="E177" i="3"/>
  <c r="D177" i="3"/>
  <c r="C177" i="3"/>
  <c r="B177" i="3"/>
  <c r="A177" i="3"/>
  <c r="K176" i="3"/>
  <c r="J176" i="3"/>
  <c r="I176" i="3"/>
  <c r="H176" i="3"/>
  <c r="G176" i="3"/>
  <c r="F176" i="3"/>
  <c r="E176" i="3"/>
  <c r="D176" i="3"/>
  <c r="C176" i="3"/>
  <c r="B176" i="3"/>
  <c r="A176" i="3"/>
  <c r="K175" i="3"/>
  <c r="J175" i="3"/>
  <c r="I175" i="3"/>
  <c r="H175" i="3"/>
  <c r="G175" i="3"/>
  <c r="F175" i="3"/>
  <c r="E175" i="3"/>
  <c r="D175" i="3"/>
  <c r="C175" i="3"/>
  <c r="B175" i="3"/>
  <c r="A175" i="3"/>
  <c r="K174" i="3"/>
  <c r="J174" i="3"/>
  <c r="I174" i="3"/>
  <c r="H174" i="3"/>
  <c r="G174" i="3"/>
  <c r="F174" i="3"/>
  <c r="E174" i="3"/>
  <c r="D174" i="3"/>
  <c r="C174" i="3"/>
  <c r="B174" i="3"/>
  <c r="A174" i="3"/>
  <c r="K173" i="3"/>
  <c r="J173" i="3"/>
  <c r="I173" i="3"/>
  <c r="H173" i="3"/>
  <c r="G173" i="3"/>
  <c r="F173" i="3"/>
  <c r="E173" i="3"/>
  <c r="D173" i="3"/>
  <c r="C173" i="3"/>
  <c r="B173" i="3"/>
  <c r="A173" i="3"/>
  <c r="K172" i="3"/>
  <c r="J172" i="3"/>
  <c r="I172" i="3"/>
  <c r="H172" i="3"/>
  <c r="G172" i="3"/>
  <c r="F172" i="3"/>
  <c r="E172" i="3"/>
  <c r="D172" i="3"/>
  <c r="C172" i="3"/>
  <c r="B172" i="3"/>
  <c r="A172" i="3"/>
  <c r="K171" i="3"/>
  <c r="J171" i="3"/>
  <c r="I171" i="3"/>
  <c r="H171" i="3"/>
  <c r="G171" i="3"/>
  <c r="F171" i="3"/>
  <c r="E171" i="3"/>
  <c r="D171" i="3"/>
  <c r="C171" i="3"/>
  <c r="B171" i="3"/>
  <c r="A171" i="3"/>
  <c r="K170" i="3"/>
  <c r="J170" i="3"/>
  <c r="I170" i="3"/>
  <c r="H170" i="3"/>
  <c r="G170" i="3"/>
  <c r="F170" i="3"/>
  <c r="E170" i="3"/>
  <c r="D170" i="3"/>
  <c r="C170" i="3"/>
  <c r="B170" i="3"/>
  <c r="A170" i="3"/>
  <c r="K169" i="3"/>
  <c r="J169" i="3"/>
  <c r="I169" i="3"/>
  <c r="H169" i="3"/>
  <c r="G169" i="3"/>
  <c r="F169" i="3"/>
  <c r="E169" i="3"/>
  <c r="D169" i="3"/>
  <c r="C169" i="3"/>
  <c r="B169" i="3"/>
  <c r="A169" i="3"/>
  <c r="K168" i="3"/>
  <c r="J168" i="3"/>
  <c r="I168" i="3"/>
  <c r="H168" i="3"/>
  <c r="G168" i="3"/>
  <c r="F168" i="3"/>
  <c r="E168" i="3"/>
  <c r="D168" i="3"/>
  <c r="C168" i="3"/>
  <c r="B168" i="3"/>
  <c r="A168" i="3"/>
  <c r="K167" i="3"/>
  <c r="J167" i="3"/>
  <c r="I167" i="3"/>
  <c r="H167" i="3"/>
  <c r="G167" i="3"/>
  <c r="F167" i="3"/>
  <c r="E167" i="3"/>
  <c r="D167" i="3"/>
  <c r="C167" i="3"/>
  <c r="B167" i="3"/>
  <c r="A167" i="3"/>
  <c r="K166" i="3"/>
  <c r="J166" i="3"/>
  <c r="I166" i="3"/>
  <c r="H166" i="3"/>
  <c r="G166" i="3"/>
  <c r="F166" i="3"/>
  <c r="E166" i="3"/>
  <c r="D166" i="3"/>
  <c r="C166" i="3"/>
  <c r="B166" i="3"/>
  <c r="A166" i="3"/>
  <c r="K165" i="3"/>
  <c r="J165" i="3"/>
  <c r="I165" i="3"/>
  <c r="H165" i="3"/>
  <c r="G165" i="3"/>
  <c r="F165" i="3"/>
  <c r="E165" i="3"/>
  <c r="D165" i="3"/>
  <c r="C165" i="3"/>
  <c r="B165" i="3"/>
  <c r="A165" i="3"/>
  <c r="K164" i="3"/>
  <c r="J164" i="3"/>
  <c r="I164" i="3"/>
  <c r="H164" i="3"/>
  <c r="G164" i="3"/>
  <c r="F164" i="3"/>
  <c r="E164" i="3"/>
  <c r="D164" i="3"/>
  <c r="C164" i="3"/>
  <c r="B164" i="3"/>
  <c r="A164" i="3"/>
  <c r="K163" i="3"/>
  <c r="J163" i="3"/>
  <c r="I163" i="3"/>
  <c r="H163" i="3"/>
  <c r="G163" i="3"/>
  <c r="F163" i="3"/>
  <c r="E163" i="3"/>
  <c r="D163" i="3"/>
  <c r="C163" i="3"/>
  <c r="B163" i="3"/>
  <c r="A163" i="3"/>
  <c r="K162" i="3"/>
  <c r="J162" i="3"/>
  <c r="I162" i="3"/>
  <c r="H162" i="3"/>
  <c r="G162" i="3"/>
  <c r="F162" i="3"/>
  <c r="E162" i="3"/>
  <c r="D162" i="3"/>
  <c r="C162" i="3"/>
  <c r="B162" i="3"/>
  <c r="A162" i="3"/>
  <c r="K161" i="3"/>
  <c r="J161" i="3"/>
  <c r="I161" i="3"/>
  <c r="H161" i="3"/>
  <c r="G161" i="3"/>
  <c r="F161" i="3"/>
  <c r="E161" i="3"/>
  <c r="D161" i="3"/>
  <c r="C161" i="3"/>
  <c r="B161" i="3"/>
  <c r="A161" i="3"/>
  <c r="K160" i="3"/>
  <c r="J160" i="3"/>
  <c r="I160" i="3"/>
  <c r="H160" i="3"/>
  <c r="G160" i="3"/>
  <c r="F160" i="3"/>
  <c r="E160" i="3"/>
  <c r="D160" i="3"/>
  <c r="C160" i="3"/>
  <c r="B160" i="3"/>
  <c r="A160" i="3"/>
  <c r="K159" i="3"/>
  <c r="J159" i="3"/>
  <c r="I159" i="3"/>
  <c r="H159" i="3"/>
  <c r="G159" i="3"/>
  <c r="F159" i="3"/>
  <c r="E159" i="3"/>
  <c r="D159" i="3"/>
  <c r="C159" i="3"/>
  <c r="B159" i="3"/>
  <c r="A159" i="3"/>
  <c r="K158" i="3"/>
  <c r="J158" i="3"/>
  <c r="I158" i="3"/>
  <c r="H158" i="3"/>
  <c r="G158" i="3"/>
  <c r="F158" i="3"/>
  <c r="E158" i="3"/>
  <c r="D158" i="3"/>
  <c r="C158" i="3"/>
  <c r="B158" i="3"/>
  <c r="A158" i="3"/>
  <c r="K157" i="3"/>
  <c r="J157" i="3"/>
  <c r="I157" i="3"/>
  <c r="H157" i="3"/>
  <c r="G157" i="3"/>
  <c r="F157" i="3"/>
  <c r="E157" i="3"/>
  <c r="D157" i="3"/>
  <c r="C157" i="3"/>
  <c r="B157" i="3"/>
  <c r="A157" i="3"/>
  <c r="K156" i="3"/>
  <c r="J156" i="3"/>
  <c r="I156" i="3"/>
  <c r="H156" i="3"/>
  <c r="G156" i="3"/>
  <c r="F156" i="3"/>
  <c r="E156" i="3"/>
  <c r="D156" i="3"/>
  <c r="C156" i="3"/>
  <c r="B156" i="3"/>
  <c r="A156" i="3"/>
  <c r="K155" i="3"/>
  <c r="J155" i="3"/>
  <c r="I155" i="3"/>
  <c r="H155" i="3"/>
  <c r="G155" i="3"/>
  <c r="F155" i="3"/>
  <c r="E155" i="3"/>
  <c r="D155" i="3"/>
  <c r="C155" i="3"/>
  <c r="B155" i="3"/>
  <c r="A155" i="3"/>
  <c r="K154" i="3"/>
  <c r="J154" i="3"/>
  <c r="I154" i="3"/>
  <c r="H154" i="3"/>
  <c r="G154" i="3"/>
  <c r="F154" i="3"/>
  <c r="E154" i="3"/>
  <c r="D154" i="3"/>
  <c r="C154" i="3"/>
  <c r="B154" i="3"/>
  <c r="A154" i="3"/>
  <c r="K153" i="3"/>
  <c r="J153" i="3"/>
  <c r="I153" i="3"/>
  <c r="H153" i="3"/>
  <c r="G153" i="3"/>
  <c r="F153" i="3"/>
  <c r="E153" i="3"/>
  <c r="D153" i="3"/>
  <c r="C153" i="3"/>
  <c r="B153" i="3"/>
  <c r="A153" i="3"/>
  <c r="K152" i="3"/>
  <c r="J152" i="3"/>
  <c r="I152" i="3"/>
  <c r="H152" i="3"/>
  <c r="G152" i="3"/>
  <c r="F152" i="3"/>
  <c r="E152" i="3"/>
  <c r="D152" i="3"/>
  <c r="C152" i="3"/>
  <c r="B152" i="3"/>
  <c r="A152" i="3"/>
  <c r="K151" i="3"/>
  <c r="J151" i="3"/>
  <c r="I151" i="3"/>
  <c r="H151" i="3"/>
  <c r="G151" i="3"/>
  <c r="F151" i="3"/>
  <c r="E151" i="3"/>
  <c r="D151" i="3"/>
  <c r="C151" i="3"/>
  <c r="B151" i="3"/>
  <c r="A151" i="3"/>
  <c r="K150" i="3"/>
  <c r="J150" i="3"/>
  <c r="I150" i="3"/>
  <c r="H150" i="3"/>
  <c r="G150" i="3"/>
  <c r="F150" i="3"/>
  <c r="E150" i="3"/>
  <c r="D150" i="3"/>
  <c r="C150" i="3"/>
  <c r="B150" i="3"/>
  <c r="A150" i="3"/>
  <c r="K149" i="3"/>
  <c r="J149" i="3"/>
  <c r="I149" i="3"/>
  <c r="H149" i="3"/>
  <c r="G149" i="3"/>
  <c r="F149" i="3"/>
  <c r="E149" i="3"/>
  <c r="D149" i="3"/>
  <c r="C149" i="3"/>
  <c r="B149" i="3"/>
  <c r="A149" i="3"/>
  <c r="K148" i="3"/>
  <c r="J148" i="3"/>
  <c r="I148" i="3"/>
  <c r="H148" i="3"/>
  <c r="G148" i="3"/>
  <c r="F148" i="3"/>
  <c r="E148" i="3"/>
  <c r="D148" i="3"/>
  <c r="C148" i="3"/>
  <c r="B148" i="3"/>
  <c r="A148" i="3"/>
  <c r="K147" i="3"/>
  <c r="J147" i="3"/>
  <c r="I147" i="3"/>
  <c r="H147" i="3"/>
  <c r="G147" i="3"/>
  <c r="F147" i="3"/>
  <c r="E147" i="3"/>
  <c r="D147" i="3"/>
  <c r="C147" i="3"/>
  <c r="B147" i="3"/>
  <c r="A147" i="3"/>
  <c r="K146" i="3"/>
  <c r="J146" i="3"/>
  <c r="I146" i="3"/>
  <c r="H146" i="3"/>
  <c r="G146" i="3"/>
  <c r="F146" i="3"/>
  <c r="E146" i="3"/>
  <c r="D146" i="3"/>
  <c r="C146" i="3"/>
  <c r="B146" i="3"/>
  <c r="A146" i="3"/>
  <c r="K145" i="3"/>
  <c r="J145" i="3"/>
  <c r="I145" i="3"/>
  <c r="H145" i="3"/>
  <c r="G145" i="3"/>
  <c r="F145" i="3"/>
  <c r="E145" i="3"/>
  <c r="D145" i="3"/>
  <c r="C145" i="3"/>
  <c r="B145" i="3"/>
  <c r="A145" i="3"/>
  <c r="K144" i="3"/>
  <c r="J144" i="3"/>
  <c r="I144" i="3"/>
  <c r="H144" i="3"/>
  <c r="G144" i="3"/>
  <c r="F144" i="3"/>
  <c r="E144" i="3"/>
  <c r="D144" i="3"/>
  <c r="C144" i="3"/>
  <c r="B144" i="3"/>
  <c r="A144" i="3"/>
  <c r="K143" i="3"/>
  <c r="J143" i="3"/>
  <c r="I143" i="3"/>
  <c r="H143" i="3"/>
  <c r="G143" i="3"/>
  <c r="F143" i="3"/>
  <c r="E143" i="3"/>
  <c r="D143" i="3"/>
  <c r="C143" i="3"/>
  <c r="B143" i="3"/>
  <c r="A143" i="3"/>
  <c r="K142" i="3"/>
  <c r="J142" i="3"/>
  <c r="I142" i="3"/>
  <c r="H142" i="3"/>
  <c r="G142" i="3"/>
  <c r="F142" i="3"/>
  <c r="E142" i="3"/>
  <c r="D142" i="3"/>
  <c r="C142" i="3"/>
  <c r="B142" i="3"/>
  <c r="A142" i="3"/>
  <c r="K141" i="3"/>
  <c r="J141" i="3"/>
  <c r="I141" i="3"/>
  <c r="H141" i="3"/>
  <c r="G141" i="3"/>
  <c r="F141" i="3"/>
  <c r="E141" i="3"/>
  <c r="D141" i="3"/>
  <c r="C141" i="3"/>
  <c r="B141" i="3"/>
  <c r="A141" i="3"/>
  <c r="K140" i="3"/>
  <c r="J140" i="3"/>
  <c r="I140" i="3"/>
  <c r="H140" i="3"/>
  <c r="G140" i="3"/>
  <c r="F140" i="3"/>
  <c r="E140" i="3"/>
  <c r="D140" i="3"/>
  <c r="C140" i="3"/>
  <c r="B140" i="3"/>
  <c r="A140" i="3"/>
  <c r="K139" i="3"/>
  <c r="J139" i="3"/>
  <c r="I139" i="3"/>
  <c r="H139" i="3"/>
  <c r="G139" i="3"/>
  <c r="F139" i="3"/>
  <c r="E139" i="3"/>
  <c r="D139" i="3"/>
  <c r="C139" i="3"/>
  <c r="B139" i="3"/>
  <c r="A139" i="3"/>
  <c r="K138" i="3"/>
  <c r="J138" i="3"/>
  <c r="I138" i="3"/>
  <c r="H138" i="3"/>
  <c r="G138" i="3"/>
  <c r="F138" i="3"/>
  <c r="E138" i="3"/>
  <c r="D138" i="3"/>
  <c r="C138" i="3"/>
  <c r="B138" i="3"/>
  <c r="A138" i="3"/>
  <c r="K137" i="3"/>
  <c r="J137" i="3"/>
  <c r="I137" i="3"/>
  <c r="H137" i="3"/>
  <c r="G137" i="3"/>
  <c r="F137" i="3"/>
  <c r="E137" i="3"/>
  <c r="D137" i="3"/>
  <c r="C137" i="3"/>
  <c r="B137" i="3"/>
  <c r="A137" i="3"/>
  <c r="K136" i="3"/>
  <c r="J136" i="3"/>
  <c r="I136" i="3"/>
  <c r="H136" i="3"/>
  <c r="G136" i="3"/>
  <c r="F136" i="3"/>
  <c r="E136" i="3"/>
  <c r="D136" i="3"/>
  <c r="C136" i="3"/>
  <c r="B136" i="3"/>
  <c r="A136" i="3"/>
  <c r="K135" i="3"/>
  <c r="J135" i="3"/>
  <c r="I135" i="3"/>
  <c r="H135" i="3"/>
  <c r="G135" i="3"/>
  <c r="F135" i="3"/>
  <c r="E135" i="3"/>
  <c r="D135" i="3"/>
  <c r="C135" i="3"/>
  <c r="B135" i="3"/>
  <c r="A135" i="3"/>
  <c r="K134" i="3"/>
  <c r="J134" i="3"/>
  <c r="I134" i="3"/>
  <c r="H134" i="3"/>
  <c r="G134" i="3"/>
  <c r="F134" i="3"/>
  <c r="E134" i="3"/>
  <c r="D134" i="3"/>
  <c r="C134" i="3"/>
  <c r="B134" i="3"/>
  <c r="A134" i="3"/>
  <c r="K133" i="3"/>
  <c r="J133" i="3"/>
  <c r="I133" i="3"/>
  <c r="H133" i="3"/>
  <c r="G133" i="3"/>
  <c r="F133" i="3"/>
  <c r="E133" i="3"/>
  <c r="D133" i="3"/>
  <c r="C133" i="3"/>
  <c r="B133" i="3"/>
  <c r="A133" i="3"/>
  <c r="K132" i="3"/>
  <c r="J132" i="3"/>
  <c r="I132" i="3"/>
  <c r="H132" i="3"/>
  <c r="G132" i="3"/>
  <c r="F132" i="3"/>
  <c r="E132" i="3"/>
  <c r="D132" i="3"/>
  <c r="C132" i="3"/>
  <c r="B132" i="3"/>
  <c r="A132" i="3"/>
  <c r="K131" i="3"/>
  <c r="J131" i="3"/>
  <c r="I131" i="3"/>
  <c r="H131" i="3"/>
  <c r="G131" i="3"/>
  <c r="F131" i="3"/>
  <c r="E131" i="3"/>
  <c r="D131" i="3"/>
  <c r="C131" i="3"/>
  <c r="B131" i="3"/>
  <c r="A131" i="3"/>
  <c r="K130" i="3"/>
  <c r="J130" i="3"/>
  <c r="I130" i="3"/>
  <c r="H130" i="3"/>
  <c r="G130" i="3"/>
  <c r="F130" i="3"/>
  <c r="E130" i="3"/>
  <c r="D130" i="3"/>
  <c r="C130" i="3"/>
  <c r="B130" i="3"/>
  <c r="A130" i="3"/>
  <c r="K129" i="3"/>
  <c r="J129" i="3"/>
  <c r="I129" i="3"/>
  <c r="H129" i="3"/>
  <c r="G129" i="3"/>
  <c r="F129" i="3"/>
  <c r="E129" i="3"/>
  <c r="D129" i="3"/>
  <c r="C129" i="3"/>
  <c r="B129" i="3"/>
  <c r="A129" i="3"/>
  <c r="K128" i="3"/>
  <c r="J128" i="3"/>
  <c r="I128" i="3"/>
  <c r="H128" i="3"/>
  <c r="G128" i="3"/>
  <c r="F128" i="3"/>
  <c r="E128" i="3"/>
  <c r="D128" i="3"/>
  <c r="C128" i="3"/>
  <c r="B128" i="3"/>
  <c r="A128" i="3"/>
  <c r="K127" i="3"/>
  <c r="J127" i="3"/>
  <c r="I127" i="3"/>
  <c r="H127" i="3"/>
  <c r="G127" i="3"/>
  <c r="F127" i="3"/>
  <c r="E127" i="3"/>
  <c r="D127" i="3"/>
  <c r="C127" i="3"/>
  <c r="B127" i="3"/>
  <c r="A127" i="3"/>
  <c r="K126" i="3"/>
  <c r="J126" i="3"/>
  <c r="I126" i="3"/>
  <c r="H126" i="3"/>
  <c r="G126" i="3"/>
  <c r="F126" i="3"/>
  <c r="E126" i="3"/>
  <c r="D126" i="3"/>
  <c r="C126" i="3"/>
  <c r="B126" i="3"/>
  <c r="A126" i="3"/>
  <c r="K125" i="3"/>
  <c r="J125" i="3"/>
  <c r="I125" i="3"/>
  <c r="H125" i="3"/>
  <c r="G125" i="3"/>
  <c r="F125" i="3"/>
  <c r="E125" i="3"/>
  <c r="D125" i="3"/>
  <c r="C125" i="3"/>
  <c r="B125" i="3"/>
  <c r="A125" i="3"/>
  <c r="K124" i="3"/>
  <c r="J124" i="3"/>
  <c r="I124" i="3"/>
  <c r="H124" i="3"/>
  <c r="G124" i="3"/>
  <c r="F124" i="3"/>
  <c r="E124" i="3"/>
  <c r="D124" i="3"/>
  <c r="C124" i="3"/>
  <c r="B124" i="3"/>
  <c r="A124" i="3"/>
  <c r="K123" i="3"/>
  <c r="J123" i="3"/>
  <c r="I123" i="3"/>
  <c r="H123" i="3"/>
  <c r="G123" i="3"/>
  <c r="F123" i="3"/>
  <c r="E123" i="3"/>
  <c r="D123" i="3"/>
  <c r="C123" i="3"/>
  <c r="B123" i="3"/>
  <c r="A123" i="3"/>
  <c r="K122" i="3"/>
  <c r="J122" i="3"/>
  <c r="I122" i="3"/>
  <c r="H122" i="3"/>
  <c r="G122" i="3"/>
  <c r="F122" i="3"/>
  <c r="E122" i="3"/>
  <c r="D122" i="3"/>
  <c r="C122" i="3"/>
  <c r="B122" i="3"/>
  <c r="A122" i="3"/>
  <c r="K121" i="3"/>
  <c r="J121" i="3"/>
  <c r="I121" i="3"/>
  <c r="H121" i="3"/>
  <c r="G121" i="3"/>
  <c r="F121" i="3"/>
  <c r="E121" i="3"/>
  <c r="D121" i="3"/>
  <c r="C121" i="3"/>
  <c r="B121" i="3"/>
  <c r="A121" i="3"/>
  <c r="K120" i="3"/>
  <c r="J120" i="3"/>
  <c r="I120" i="3"/>
  <c r="H120" i="3"/>
  <c r="G120" i="3"/>
  <c r="F120" i="3"/>
  <c r="E120" i="3"/>
  <c r="D120" i="3"/>
  <c r="C120" i="3"/>
  <c r="B120" i="3"/>
  <c r="A120" i="3"/>
  <c r="K119" i="3"/>
  <c r="J119" i="3"/>
  <c r="I119" i="3"/>
  <c r="H119" i="3"/>
  <c r="G119" i="3"/>
  <c r="F119" i="3"/>
  <c r="E119" i="3"/>
  <c r="D119" i="3"/>
  <c r="C119" i="3"/>
  <c r="B119" i="3"/>
  <c r="A119" i="3"/>
  <c r="K118" i="3"/>
  <c r="J118" i="3"/>
  <c r="I118" i="3"/>
  <c r="H118" i="3"/>
  <c r="G118" i="3"/>
  <c r="F118" i="3"/>
  <c r="E118" i="3"/>
  <c r="D118" i="3"/>
  <c r="C118" i="3"/>
  <c r="B118" i="3"/>
  <c r="A118" i="3"/>
  <c r="K117" i="3"/>
  <c r="J117" i="3"/>
  <c r="I117" i="3"/>
  <c r="H117" i="3"/>
  <c r="G117" i="3"/>
  <c r="F117" i="3"/>
  <c r="E117" i="3"/>
  <c r="D117" i="3"/>
  <c r="C117" i="3"/>
  <c r="B117" i="3"/>
  <c r="A117" i="3"/>
  <c r="K116" i="3"/>
  <c r="J116" i="3"/>
  <c r="I116" i="3"/>
  <c r="H116" i="3"/>
  <c r="G116" i="3"/>
  <c r="F116" i="3"/>
  <c r="E116" i="3"/>
  <c r="D116" i="3"/>
  <c r="C116" i="3"/>
  <c r="B116" i="3"/>
  <c r="A116" i="3"/>
  <c r="K115" i="3"/>
  <c r="J115" i="3"/>
  <c r="I115" i="3"/>
  <c r="H115" i="3"/>
  <c r="G115" i="3"/>
  <c r="F115" i="3"/>
  <c r="E115" i="3"/>
  <c r="D115" i="3"/>
  <c r="C115" i="3"/>
  <c r="B115" i="3"/>
  <c r="A115" i="3"/>
  <c r="K114" i="3"/>
  <c r="J114" i="3"/>
  <c r="I114" i="3"/>
  <c r="H114" i="3"/>
  <c r="G114" i="3"/>
  <c r="F114" i="3"/>
  <c r="E114" i="3"/>
  <c r="D114" i="3"/>
  <c r="C114" i="3"/>
  <c r="B114" i="3"/>
  <c r="A114" i="3"/>
  <c r="K113" i="3"/>
  <c r="J113" i="3"/>
  <c r="I113" i="3"/>
  <c r="H113" i="3"/>
  <c r="G113" i="3"/>
  <c r="F113" i="3"/>
  <c r="E113" i="3"/>
  <c r="D113" i="3"/>
  <c r="C113" i="3"/>
  <c r="B113" i="3"/>
  <c r="A113" i="3"/>
  <c r="K112" i="3"/>
  <c r="J112" i="3"/>
  <c r="I112" i="3"/>
  <c r="H112" i="3"/>
  <c r="G112" i="3"/>
  <c r="F112" i="3"/>
  <c r="E112" i="3"/>
  <c r="D112" i="3"/>
  <c r="C112" i="3"/>
  <c r="B112" i="3"/>
  <c r="A112" i="3"/>
  <c r="K111" i="3"/>
  <c r="J111" i="3"/>
  <c r="I111" i="3"/>
  <c r="H111" i="3"/>
  <c r="G111" i="3"/>
  <c r="F111" i="3"/>
  <c r="E111" i="3"/>
  <c r="D111" i="3"/>
  <c r="C111" i="3"/>
  <c r="B111" i="3"/>
  <c r="A111" i="3"/>
  <c r="K110" i="3"/>
  <c r="J110" i="3"/>
  <c r="I110" i="3"/>
  <c r="H110" i="3"/>
  <c r="G110" i="3"/>
  <c r="F110" i="3"/>
  <c r="E110" i="3"/>
  <c r="D110" i="3"/>
  <c r="C110" i="3"/>
  <c r="B110" i="3"/>
  <c r="A110" i="3"/>
  <c r="K109" i="3"/>
  <c r="J109" i="3"/>
  <c r="I109" i="3"/>
  <c r="H109" i="3"/>
  <c r="G109" i="3"/>
  <c r="F109" i="3"/>
  <c r="E109" i="3"/>
  <c r="D109" i="3"/>
  <c r="C109" i="3"/>
  <c r="B109" i="3"/>
  <c r="A109" i="3"/>
  <c r="K108" i="3"/>
  <c r="J108" i="3"/>
  <c r="I108" i="3"/>
  <c r="H108" i="3"/>
  <c r="G108" i="3"/>
  <c r="F108" i="3"/>
  <c r="E108" i="3"/>
  <c r="D108" i="3"/>
  <c r="C108" i="3"/>
  <c r="B108" i="3"/>
  <c r="A108" i="3"/>
  <c r="K107" i="3"/>
  <c r="J107" i="3"/>
  <c r="I107" i="3"/>
  <c r="H107" i="3"/>
  <c r="G107" i="3"/>
  <c r="F107" i="3"/>
  <c r="E107" i="3"/>
  <c r="D107" i="3"/>
  <c r="C107" i="3"/>
  <c r="B107" i="3"/>
  <c r="A107" i="3"/>
  <c r="K106" i="3"/>
  <c r="J106" i="3"/>
  <c r="I106" i="3"/>
  <c r="H106" i="3"/>
  <c r="G106" i="3"/>
  <c r="F106" i="3"/>
  <c r="E106" i="3"/>
  <c r="D106" i="3"/>
  <c r="C106" i="3"/>
  <c r="B106" i="3"/>
  <c r="A106" i="3"/>
  <c r="K105" i="3"/>
  <c r="J105" i="3"/>
  <c r="I105" i="3"/>
  <c r="H105" i="3"/>
  <c r="G105" i="3"/>
  <c r="F105" i="3"/>
  <c r="E105" i="3"/>
  <c r="D105" i="3"/>
  <c r="C105" i="3"/>
  <c r="B105" i="3"/>
  <c r="A105" i="3"/>
  <c r="K104" i="3"/>
  <c r="J104" i="3"/>
  <c r="I104" i="3"/>
  <c r="H104" i="3"/>
  <c r="G104" i="3"/>
  <c r="F104" i="3"/>
  <c r="E104" i="3"/>
  <c r="D104" i="3"/>
  <c r="C104" i="3"/>
  <c r="B104" i="3"/>
  <c r="A104" i="3"/>
  <c r="K103" i="3"/>
  <c r="J103" i="3"/>
  <c r="I103" i="3"/>
  <c r="H103" i="3"/>
  <c r="G103" i="3"/>
  <c r="F103" i="3"/>
  <c r="E103" i="3"/>
  <c r="D103" i="3"/>
  <c r="C103" i="3"/>
  <c r="B103" i="3"/>
  <c r="A103" i="3"/>
  <c r="K102" i="3"/>
  <c r="J102" i="3"/>
  <c r="I102" i="3"/>
  <c r="H102" i="3"/>
  <c r="G102" i="3"/>
  <c r="F102" i="3"/>
  <c r="E102" i="3"/>
  <c r="D102" i="3"/>
  <c r="C102" i="3"/>
  <c r="B102" i="3"/>
  <c r="A102" i="3"/>
  <c r="K101" i="3"/>
  <c r="J101" i="3"/>
  <c r="I101" i="3"/>
  <c r="H101" i="3"/>
  <c r="G101" i="3"/>
  <c r="F101" i="3"/>
  <c r="E101" i="3"/>
  <c r="D101" i="3"/>
  <c r="C101" i="3"/>
  <c r="B101" i="3"/>
  <c r="A101" i="3"/>
  <c r="K100" i="3"/>
  <c r="J100" i="3"/>
  <c r="I100" i="3"/>
  <c r="H100" i="3"/>
  <c r="G100" i="3"/>
  <c r="F100" i="3"/>
  <c r="E100" i="3"/>
  <c r="D100" i="3"/>
  <c r="C100" i="3"/>
  <c r="B100" i="3"/>
  <c r="A100" i="3"/>
  <c r="K99" i="3"/>
  <c r="J99" i="3"/>
  <c r="I99" i="3"/>
  <c r="H99" i="3"/>
  <c r="G99" i="3"/>
  <c r="F99" i="3"/>
  <c r="E99" i="3"/>
  <c r="D99" i="3"/>
  <c r="C99" i="3"/>
  <c r="B99" i="3"/>
  <c r="A99" i="3"/>
  <c r="K98" i="3"/>
  <c r="J98" i="3"/>
  <c r="I98" i="3"/>
  <c r="H98" i="3"/>
  <c r="G98" i="3"/>
  <c r="F98" i="3"/>
  <c r="E98" i="3"/>
  <c r="D98" i="3"/>
  <c r="C98" i="3"/>
  <c r="B98" i="3"/>
  <c r="A98" i="3"/>
  <c r="K97" i="3"/>
  <c r="J97" i="3"/>
  <c r="I97" i="3"/>
  <c r="H97" i="3"/>
  <c r="G97" i="3"/>
  <c r="F97" i="3"/>
  <c r="E97" i="3"/>
  <c r="D97" i="3"/>
  <c r="C97" i="3"/>
  <c r="B97" i="3"/>
  <c r="A97" i="3"/>
  <c r="K96" i="3"/>
  <c r="J96" i="3"/>
  <c r="I96" i="3"/>
  <c r="H96" i="3"/>
  <c r="G96" i="3"/>
  <c r="F96" i="3"/>
  <c r="E96" i="3"/>
  <c r="D96" i="3"/>
  <c r="C96" i="3"/>
  <c r="B96" i="3"/>
  <c r="A96" i="3"/>
  <c r="K95" i="3"/>
  <c r="J95" i="3"/>
  <c r="I95" i="3"/>
  <c r="H95" i="3"/>
  <c r="G95" i="3"/>
  <c r="F95" i="3"/>
  <c r="E95" i="3"/>
  <c r="D95" i="3"/>
  <c r="C95" i="3"/>
  <c r="B95" i="3"/>
  <c r="A95" i="3"/>
  <c r="K94" i="3"/>
  <c r="J94" i="3"/>
  <c r="I94" i="3"/>
  <c r="H94" i="3"/>
  <c r="G94" i="3"/>
  <c r="F94" i="3"/>
  <c r="E94" i="3"/>
  <c r="D94" i="3"/>
  <c r="C94" i="3"/>
  <c r="B94" i="3"/>
  <c r="A94" i="3"/>
  <c r="K93" i="3"/>
  <c r="J93" i="3"/>
  <c r="I93" i="3"/>
  <c r="H93" i="3"/>
  <c r="G93" i="3"/>
  <c r="F93" i="3"/>
  <c r="E93" i="3"/>
  <c r="D93" i="3"/>
  <c r="C93" i="3"/>
  <c r="B93" i="3"/>
  <c r="A93" i="3"/>
  <c r="K92" i="3"/>
  <c r="J92" i="3"/>
  <c r="I92" i="3"/>
  <c r="H92" i="3"/>
  <c r="G92" i="3"/>
  <c r="F92" i="3"/>
  <c r="E92" i="3"/>
  <c r="D92" i="3"/>
  <c r="C92" i="3"/>
  <c r="B92" i="3"/>
  <c r="A92" i="3"/>
  <c r="K91" i="3"/>
  <c r="J91" i="3"/>
  <c r="I91" i="3"/>
  <c r="H91" i="3"/>
  <c r="G91" i="3"/>
  <c r="F91" i="3"/>
  <c r="E91" i="3"/>
  <c r="D91" i="3"/>
  <c r="C91" i="3"/>
  <c r="B91" i="3"/>
  <c r="A91" i="3"/>
  <c r="K90" i="3"/>
  <c r="J90" i="3"/>
  <c r="I90" i="3"/>
  <c r="H90" i="3"/>
  <c r="G90" i="3"/>
  <c r="F90" i="3"/>
  <c r="E90" i="3"/>
  <c r="D90" i="3"/>
  <c r="C90" i="3"/>
  <c r="B90" i="3"/>
  <c r="A90" i="3"/>
  <c r="K89" i="3"/>
  <c r="J89" i="3"/>
  <c r="I89" i="3"/>
  <c r="H89" i="3"/>
  <c r="G89" i="3"/>
  <c r="F89" i="3"/>
  <c r="E89" i="3"/>
  <c r="D89" i="3"/>
  <c r="C89" i="3"/>
  <c r="B89" i="3"/>
  <c r="A89" i="3"/>
  <c r="K88" i="3"/>
  <c r="J88" i="3"/>
  <c r="I88" i="3"/>
  <c r="H88" i="3"/>
  <c r="G88" i="3"/>
  <c r="F88" i="3"/>
  <c r="E88" i="3"/>
  <c r="D88" i="3"/>
  <c r="C88" i="3"/>
  <c r="B88" i="3"/>
  <c r="A88" i="3"/>
  <c r="K87" i="3"/>
  <c r="J87" i="3"/>
  <c r="I87" i="3"/>
  <c r="H87" i="3"/>
  <c r="G87" i="3"/>
  <c r="F87" i="3"/>
  <c r="E87" i="3"/>
  <c r="D87" i="3"/>
  <c r="C87" i="3"/>
  <c r="B87" i="3"/>
  <c r="A87" i="3"/>
  <c r="K86" i="3"/>
  <c r="J86" i="3"/>
  <c r="I86" i="3"/>
  <c r="H86" i="3"/>
  <c r="G86" i="3"/>
  <c r="F86" i="3"/>
  <c r="E86" i="3"/>
  <c r="D86" i="3"/>
  <c r="C86" i="3"/>
  <c r="B86" i="3"/>
  <c r="A86" i="3"/>
  <c r="K85" i="3"/>
  <c r="J85" i="3"/>
  <c r="I85" i="3"/>
  <c r="H85" i="3"/>
  <c r="G85" i="3"/>
  <c r="F85" i="3"/>
  <c r="E85" i="3"/>
  <c r="D85" i="3"/>
  <c r="C85" i="3"/>
  <c r="B85" i="3"/>
  <c r="A85" i="3"/>
  <c r="K84" i="3"/>
  <c r="J84" i="3"/>
  <c r="I84" i="3"/>
  <c r="H84" i="3"/>
  <c r="G84" i="3"/>
  <c r="F84" i="3"/>
  <c r="E84" i="3"/>
  <c r="D84" i="3"/>
  <c r="C84" i="3"/>
  <c r="B84" i="3"/>
  <c r="A84" i="3"/>
  <c r="K83" i="3"/>
  <c r="J83" i="3"/>
  <c r="I83" i="3"/>
  <c r="H83" i="3"/>
  <c r="G83" i="3"/>
  <c r="F83" i="3"/>
  <c r="E83" i="3"/>
  <c r="D83" i="3"/>
  <c r="C83" i="3"/>
  <c r="B83" i="3"/>
  <c r="A83" i="3"/>
  <c r="K82" i="3"/>
  <c r="J82" i="3"/>
  <c r="I82" i="3"/>
  <c r="H82" i="3"/>
  <c r="G82" i="3"/>
  <c r="F82" i="3"/>
  <c r="E82" i="3"/>
  <c r="D82" i="3"/>
  <c r="C82" i="3"/>
  <c r="B82" i="3"/>
  <c r="A82" i="3"/>
  <c r="K81" i="3"/>
  <c r="J81" i="3"/>
  <c r="I81" i="3"/>
  <c r="H81" i="3"/>
  <c r="G81" i="3"/>
  <c r="F81" i="3"/>
  <c r="E81" i="3"/>
  <c r="D81" i="3"/>
  <c r="C81" i="3"/>
  <c r="B81" i="3"/>
  <c r="A81" i="3"/>
  <c r="K80" i="3"/>
  <c r="J80" i="3"/>
  <c r="I80" i="3"/>
  <c r="H80" i="3"/>
  <c r="G80" i="3"/>
  <c r="F80" i="3"/>
  <c r="E80" i="3"/>
  <c r="D80" i="3"/>
  <c r="C80" i="3"/>
  <c r="B80" i="3"/>
  <c r="A80" i="3"/>
  <c r="K79" i="3"/>
  <c r="J79" i="3"/>
  <c r="I79" i="3"/>
  <c r="H79" i="3"/>
  <c r="G79" i="3"/>
  <c r="F79" i="3"/>
  <c r="E79" i="3"/>
  <c r="D79" i="3"/>
  <c r="C79" i="3"/>
  <c r="B79" i="3"/>
  <c r="A79" i="3"/>
  <c r="K78" i="3"/>
  <c r="J78" i="3"/>
  <c r="I78" i="3"/>
  <c r="H78" i="3"/>
  <c r="G78" i="3"/>
  <c r="F78" i="3"/>
  <c r="E78" i="3"/>
  <c r="D78" i="3"/>
  <c r="C78" i="3"/>
  <c r="B78" i="3"/>
  <c r="A78" i="3"/>
  <c r="K77" i="3"/>
  <c r="J77" i="3"/>
  <c r="I77" i="3"/>
  <c r="H77" i="3"/>
  <c r="G77" i="3"/>
  <c r="F77" i="3"/>
  <c r="E77" i="3"/>
  <c r="D77" i="3"/>
  <c r="C77" i="3"/>
  <c r="B77" i="3"/>
  <c r="A77" i="3"/>
  <c r="K76" i="3"/>
  <c r="J76" i="3"/>
  <c r="I76" i="3"/>
  <c r="H76" i="3"/>
  <c r="G76" i="3"/>
  <c r="F76" i="3"/>
  <c r="E76" i="3"/>
  <c r="D76" i="3"/>
  <c r="C76" i="3"/>
  <c r="B76" i="3"/>
  <c r="A76" i="3"/>
  <c r="K75" i="3"/>
  <c r="J75" i="3"/>
  <c r="I75" i="3"/>
  <c r="H75" i="3"/>
  <c r="G75" i="3"/>
  <c r="F75" i="3"/>
  <c r="E75" i="3"/>
  <c r="D75" i="3"/>
  <c r="C75" i="3"/>
  <c r="B75" i="3"/>
  <c r="A75" i="3"/>
  <c r="K74" i="3"/>
  <c r="J74" i="3"/>
  <c r="I74" i="3"/>
  <c r="H74" i="3"/>
  <c r="G74" i="3"/>
  <c r="F74" i="3"/>
  <c r="E74" i="3"/>
  <c r="D74" i="3"/>
  <c r="C74" i="3"/>
  <c r="B74" i="3"/>
  <c r="A74" i="3"/>
  <c r="K73" i="3"/>
  <c r="J73" i="3"/>
  <c r="I73" i="3"/>
  <c r="H73" i="3"/>
  <c r="G73" i="3"/>
  <c r="F73" i="3"/>
  <c r="E73" i="3"/>
  <c r="D73" i="3"/>
  <c r="C73" i="3"/>
  <c r="B73" i="3"/>
  <c r="A73" i="3"/>
  <c r="K72" i="3"/>
  <c r="J72" i="3"/>
  <c r="I72" i="3"/>
  <c r="H72" i="3"/>
  <c r="G72" i="3"/>
  <c r="F72" i="3"/>
  <c r="E72" i="3"/>
  <c r="D72" i="3"/>
  <c r="C72" i="3"/>
  <c r="B72" i="3"/>
  <c r="A72" i="3"/>
  <c r="K71" i="3"/>
  <c r="J71" i="3"/>
  <c r="I71" i="3"/>
  <c r="H71" i="3"/>
  <c r="G71" i="3"/>
  <c r="F71" i="3"/>
  <c r="E71" i="3"/>
  <c r="D71" i="3"/>
  <c r="C71" i="3"/>
  <c r="B71" i="3"/>
  <c r="A71" i="3"/>
  <c r="K70" i="3"/>
  <c r="J70" i="3"/>
  <c r="I70" i="3"/>
  <c r="H70" i="3"/>
  <c r="G70" i="3"/>
  <c r="F70" i="3"/>
  <c r="E70" i="3"/>
  <c r="D70" i="3"/>
  <c r="C70" i="3"/>
  <c r="B70" i="3"/>
  <c r="A70" i="3"/>
  <c r="K69" i="3"/>
  <c r="J69" i="3"/>
  <c r="I69" i="3"/>
  <c r="H69" i="3"/>
  <c r="G69" i="3"/>
  <c r="F69" i="3"/>
  <c r="E69" i="3"/>
  <c r="D69" i="3"/>
  <c r="C69" i="3"/>
  <c r="B69" i="3"/>
  <c r="A69" i="3"/>
  <c r="K68" i="3"/>
  <c r="J68" i="3"/>
  <c r="I68" i="3"/>
  <c r="H68" i="3"/>
  <c r="G68" i="3"/>
  <c r="F68" i="3"/>
  <c r="E68" i="3"/>
  <c r="D68" i="3"/>
  <c r="C68" i="3"/>
  <c r="B68" i="3"/>
  <c r="A68" i="3"/>
  <c r="K67" i="3"/>
  <c r="J67" i="3"/>
  <c r="I67" i="3"/>
  <c r="H67" i="3"/>
  <c r="G67" i="3"/>
  <c r="F67" i="3"/>
  <c r="E67" i="3"/>
  <c r="D67" i="3"/>
  <c r="C67" i="3"/>
  <c r="B67" i="3"/>
  <c r="A67" i="3"/>
  <c r="K66" i="3"/>
  <c r="J66" i="3"/>
  <c r="I66" i="3"/>
  <c r="H66" i="3"/>
  <c r="G66" i="3"/>
  <c r="F66" i="3"/>
  <c r="E66" i="3"/>
  <c r="D66" i="3"/>
  <c r="C66" i="3"/>
  <c r="B66" i="3"/>
  <c r="A66" i="3"/>
  <c r="K65" i="3"/>
  <c r="J65" i="3"/>
  <c r="I65" i="3"/>
  <c r="H65" i="3"/>
  <c r="G65" i="3"/>
  <c r="F65" i="3"/>
  <c r="E65" i="3"/>
  <c r="D65" i="3"/>
  <c r="C65" i="3"/>
  <c r="B65" i="3"/>
  <c r="A65" i="3"/>
  <c r="K64" i="3"/>
  <c r="J64" i="3"/>
  <c r="I64" i="3"/>
  <c r="H64" i="3"/>
  <c r="G64" i="3"/>
  <c r="F64" i="3"/>
  <c r="E64" i="3"/>
  <c r="D64" i="3"/>
  <c r="C64" i="3"/>
  <c r="B64" i="3"/>
  <c r="A64" i="3"/>
  <c r="K63" i="3"/>
  <c r="J63" i="3"/>
  <c r="I63" i="3"/>
  <c r="H63" i="3"/>
  <c r="G63" i="3"/>
  <c r="F63" i="3"/>
  <c r="E63" i="3"/>
  <c r="D63" i="3"/>
  <c r="C63" i="3"/>
  <c r="B63" i="3"/>
  <c r="A63" i="3"/>
  <c r="K62" i="3"/>
  <c r="J62" i="3"/>
  <c r="I62" i="3"/>
  <c r="H62" i="3"/>
  <c r="G62" i="3"/>
  <c r="F62" i="3"/>
  <c r="E62" i="3"/>
  <c r="D62" i="3"/>
  <c r="C62" i="3"/>
  <c r="B62" i="3"/>
  <c r="A62" i="3"/>
  <c r="K61" i="3"/>
  <c r="J61" i="3"/>
  <c r="I61" i="3"/>
  <c r="H61" i="3"/>
  <c r="G61" i="3"/>
  <c r="F61" i="3"/>
  <c r="E61" i="3"/>
  <c r="D61" i="3"/>
  <c r="C61" i="3"/>
  <c r="B61" i="3"/>
  <c r="A61" i="3"/>
  <c r="K60" i="3"/>
  <c r="J60" i="3"/>
  <c r="I60" i="3"/>
  <c r="H60" i="3"/>
  <c r="G60" i="3"/>
  <c r="F60" i="3"/>
  <c r="E60" i="3"/>
  <c r="D60" i="3"/>
  <c r="C60" i="3"/>
  <c r="B60" i="3"/>
  <c r="A60" i="3"/>
  <c r="K59" i="3"/>
  <c r="J59" i="3"/>
  <c r="I59" i="3"/>
  <c r="H59" i="3"/>
  <c r="G59" i="3"/>
  <c r="F59" i="3"/>
  <c r="E59" i="3"/>
  <c r="D59" i="3"/>
  <c r="C59" i="3"/>
  <c r="B59" i="3"/>
  <c r="A59" i="3"/>
  <c r="K58" i="3"/>
  <c r="J58" i="3"/>
  <c r="I58" i="3"/>
  <c r="H58" i="3"/>
  <c r="G58" i="3"/>
  <c r="F58" i="3"/>
  <c r="E58" i="3"/>
  <c r="D58" i="3"/>
  <c r="C58" i="3"/>
  <c r="B58" i="3"/>
  <c r="A58" i="3"/>
  <c r="K57" i="3"/>
  <c r="J57" i="3"/>
  <c r="I57" i="3"/>
  <c r="H57" i="3"/>
  <c r="G57" i="3"/>
  <c r="F57" i="3"/>
  <c r="E57" i="3"/>
  <c r="D57" i="3"/>
  <c r="C57" i="3"/>
  <c r="B57" i="3"/>
  <c r="A57" i="3"/>
  <c r="K56" i="3"/>
  <c r="J56" i="3"/>
  <c r="I56" i="3"/>
  <c r="H56" i="3"/>
  <c r="G56" i="3"/>
  <c r="F56" i="3"/>
  <c r="E56" i="3"/>
  <c r="D56" i="3"/>
  <c r="C56" i="3"/>
  <c r="B56" i="3"/>
  <c r="A56" i="3"/>
  <c r="K55" i="3"/>
  <c r="J55" i="3"/>
  <c r="I55" i="3"/>
  <c r="H55" i="3"/>
  <c r="G55" i="3"/>
  <c r="F55" i="3"/>
  <c r="E55" i="3"/>
  <c r="D55" i="3"/>
  <c r="C55" i="3"/>
  <c r="B55" i="3"/>
  <c r="A55" i="3"/>
  <c r="K54" i="3"/>
  <c r="J54" i="3"/>
  <c r="I54" i="3"/>
  <c r="H54" i="3"/>
  <c r="G54" i="3"/>
  <c r="F54" i="3"/>
  <c r="E54" i="3"/>
  <c r="D54" i="3"/>
  <c r="C54" i="3"/>
  <c r="B54" i="3"/>
  <c r="A54" i="3"/>
  <c r="K53" i="3"/>
  <c r="J53" i="3"/>
  <c r="I53" i="3"/>
  <c r="H53" i="3"/>
  <c r="G53" i="3"/>
  <c r="F53" i="3"/>
  <c r="E53" i="3"/>
  <c r="D53" i="3"/>
  <c r="C53" i="3"/>
  <c r="B53" i="3"/>
  <c r="A53" i="3"/>
  <c r="K52" i="3"/>
  <c r="J52" i="3"/>
  <c r="I52" i="3"/>
  <c r="H52" i="3"/>
  <c r="G52" i="3"/>
  <c r="F52" i="3"/>
  <c r="E52" i="3"/>
  <c r="D52" i="3"/>
  <c r="C52" i="3"/>
  <c r="B52" i="3"/>
  <c r="A52" i="3"/>
  <c r="K51" i="3"/>
  <c r="J51" i="3"/>
  <c r="I51" i="3"/>
  <c r="H51" i="3"/>
  <c r="G51" i="3"/>
  <c r="F51" i="3"/>
  <c r="E51" i="3"/>
  <c r="D51" i="3"/>
  <c r="C51" i="3"/>
  <c r="B51" i="3"/>
  <c r="A51" i="3"/>
  <c r="K50" i="3"/>
  <c r="J50" i="3"/>
  <c r="I50" i="3"/>
  <c r="H50" i="3"/>
  <c r="G50" i="3"/>
  <c r="F50" i="3"/>
  <c r="E50" i="3"/>
  <c r="D50" i="3"/>
  <c r="C50" i="3"/>
  <c r="B50" i="3"/>
  <c r="A50" i="3"/>
  <c r="K49" i="3"/>
  <c r="J49" i="3"/>
  <c r="I49" i="3"/>
  <c r="H49" i="3"/>
  <c r="G49" i="3"/>
  <c r="F49" i="3"/>
  <c r="E49" i="3"/>
  <c r="D49" i="3"/>
  <c r="C49" i="3"/>
  <c r="B49" i="3"/>
  <c r="A49" i="3"/>
  <c r="K48" i="3"/>
  <c r="J48" i="3"/>
  <c r="I48" i="3"/>
  <c r="H48" i="3"/>
  <c r="G48" i="3"/>
  <c r="F48" i="3"/>
  <c r="E48" i="3"/>
  <c r="D48" i="3"/>
  <c r="C48" i="3"/>
  <c r="B48" i="3"/>
  <c r="A48" i="3"/>
  <c r="K47" i="3"/>
  <c r="J47" i="3"/>
  <c r="I47" i="3"/>
  <c r="H47" i="3"/>
  <c r="G47" i="3"/>
  <c r="F47" i="3"/>
  <c r="E47" i="3"/>
  <c r="D47" i="3"/>
  <c r="C47" i="3"/>
  <c r="B47" i="3"/>
  <c r="A47" i="3"/>
  <c r="K46" i="3"/>
  <c r="J46" i="3"/>
  <c r="I46" i="3"/>
  <c r="H46" i="3"/>
  <c r="G46" i="3"/>
  <c r="F46" i="3"/>
  <c r="E46" i="3"/>
  <c r="D46" i="3"/>
  <c r="C46" i="3"/>
  <c r="B46" i="3"/>
  <c r="A46" i="3"/>
  <c r="K45" i="3"/>
  <c r="J45" i="3"/>
  <c r="I45" i="3"/>
  <c r="H45" i="3"/>
  <c r="G45" i="3"/>
  <c r="F45" i="3"/>
  <c r="E45" i="3"/>
  <c r="D45" i="3"/>
  <c r="C45" i="3"/>
  <c r="B45" i="3"/>
  <c r="A45" i="3"/>
  <c r="K44" i="3"/>
  <c r="J44" i="3"/>
  <c r="I44" i="3"/>
  <c r="H44" i="3"/>
  <c r="G44" i="3"/>
  <c r="F44" i="3"/>
  <c r="E44" i="3"/>
  <c r="D44" i="3"/>
  <c r="C44" i="3"/>
  <c r="B44" i="3"/>
  <c r="A44" i="3"/>
  <c r="K43" i="3"/>
  <c r="J43" i="3"/>
  <c r="I43" i="3"/>
  <c r="H43" i="3"/>
  <c r="G43" i="3"/>
  <c r="F43" i="3"/>
  <c r="E43" i="3"/>
  <c r="D43" i="3"/>
  <c r="C43" i="3"/>
  <c r="B43" i="3"/>
  <c r="A43" i="3"/>
  <c r="K42" i="3"/>
  <c r="J42" i="3"/>
  <c r="I42" i="3"/>
  <c r="H42" i="3"/>
  <c r="G42" i="3"/>
  <c r="F42" i="3"/>
  <c r="E42" i="3"/>
  <c r="D42" i="3"/>
  <c r="C42" i="3"/>
  <c r="B42" i="3"/>
  <c r="A42" i="3"/>
  <c r="K41" i="3"/>
  <c r="J41" i="3"/>
  <c r="I41" i="3"/>
  <c r="H41" i="3"/>
  <c r="G41" i="3"/>
  <c r="F41" i="3"/>
  <c r="E41" i="3"/>
  <c r="D41" i="3"/>
  <c r="C41" i="3"/>
  <c r="B41" i="3"/>
  <c r="A41" i="3"/>
  <c r="K40" i="3"/>
  <c r="J40" i="3"/>
  <c r="I40" i="3"/>
  <c r="H40" i="3"/>
  <c r="G40" i="3"/>
  <c r="F40" i="3"/>
  <c r="E40" i="3"/>
  <c r="D40" i="3"/>
  <c r="C40" i="3"/>
  <c r="B40" i="3"/>
  <c r="A40" i="3"/>
  <c r="K39" i="3"/>
  <c r="J39" i="3"/>
  <c r="I39" i="3"/>
  <c r="H39" i="3"/>
  <c r="G39" i="3"/>
  <c r="F39" i="3"/>
  <c r="E39" i="3"/>
  <c r="D39" i="3"/>
  <c r="C39" i="3"/>
  <c r="B39" i="3"/>
  <c r="A39" i="3"/>
  <c r="K38" i="3"/>
  <c r="J38" i="3"/>
  <c r="I38" i="3"/>
  <c r="H38" i="3"/>
  <c r="G38" i="3"/>
  <c r="F38" i="3"/>
  <c r="E38" i="3"/>
  <c r="D38" i="3"/>
  <c r="C38" i="3"/>
  <c r="B38" i="3"/>
  <c r="A38" i="3"/>
  <c r="K37" i="3"/>
  <c r="J37" i="3"/>
  <c r="I37" i="3"/>
  <c r="H37" i="3"/>
  <c r="G37" i="3"/>
  <c r="F37" i="3"/>
  <c r="E37" i="3"/>
  <c r="D37" i="3"/>
  <c r="C37" i="3"/>
  <c r="B37" i="3"/>
  <c r="A37" i="3"/>
  <c r="K36" i="3"/>
  <c r="J36" i="3"/>
  <c r="I36" i="3"/>
  <c r="H36" i="3"/>
  <c r="G36" i="3"/>
  <c r="F36" i="3"/>
  <c r="E36" i="3"/>
  <c r="D36" i="3"/>
  <c r="C36" i="3"/>
  <c r="B36" i="3"/>
  <c r="A36" i="3"/>
  <c r="K35" i="3"/>
  <c r="J35" i="3"/>
  <c r="I35" i="3"/>
  <c r="H35" i="3"/>
  <c r="G35" i="3"/>
  <c r="F35" i="3"/>
  <c r="E35" i="3"/>
  <c r="D35" i="3"/>
  <c r="C35" i="3"/>
  <c r="B35" i="3"/>
  <c r="A35" i="3"/>
  <c r="K34" i="3"/>
  <c r="J34" i="3"/>
  <c r="I34" i="3"/>
  <c r="H34" i="3"/>
  <c r="G34" i="3"/>
  <c r="F34" i="3"/>
  <c r="E34" i="3"/>
  <c r="D34" i="3"/>
  <c r="C34" i="3"/>
  <c r="B34" i="3"/>
  <c r="A34" i="3"/>
  <c r="K33" i="3"/>
  <c r="J33" i="3"/>
  <c r="I33" i="3"/>
  <c r="H33" i="3"/>
  <c r="G33" i="3"/>
  <c r="F33" i="3"/>
  <c r="E33" i="3"/>
  <c r="D33" i="3"/>
  <c r="C33" i="3"/>
  <c r="B33" i="3"/>
  <c r="A33" i="3"/>
  <c r="K32" i="3"/>
  <c r="J32" i="3"/>
  <c r="I32" i="3"/>
  <c r="H32" i="3"/>
  <c r="G32" i="3"/>
  <c r="F32" i="3"/>
  <c r="E32" i="3"/>
  <c r="D32" i="3"/>
  <c r="C32" i="3"/>
  <c r="B32" i="3"/>
  <c r="A32" i="3"/>
  <c r="K31" i="3"/>
  <c r="J31" i="3"/>
  <c r="I31" i="3"/>
  <c r="H31" i="3"/>
  <c r="G31" i="3"/>
  <c r="F31" i="3"/>
  <c r="E31" i="3"/>
  <c r="D31" i="3"/>
  <c r="C31" i="3"/>
  <c r="B31" i="3"/>
  <c r="A31" i="3"/>
  <c r="K30" i="3"/>
  <c r="J30" i="3"/>
  <c r="I30" i="3"/>
  <c r="H30" i="3"/>
  <c r="G30" i="3"/>
  <c r="F30" i="3"/>
  <c r="E30" i="3"/>
  <c r="D30" i="3"/>
  <c r="C30" i="3"/>
  <c r="B30" i="3"/>
  <c r="A30" i="3"/>
  <c r="K29" i="3"/>
  <c r="J29" i="3"/>
  <c r="I29" i="3"/>
  <c r="H29" i="3"/>
  <c r="G29" i="3"/>
  <c r="F29" i="3"/>
  <c r="E29" i="3"/>
  <c r="D29" i="3"/>
  <c r="C29" i="3"/>
  <c r="B29" i="3"/>
  <c r="A29" i="3"/>
  <c r="K28" i="3"/>
  <c r="J28" i="3"/>
  <c r="I28" i="3"/>
  <c r="H28" i="3"/>
  <c r="G28" i="3"/>
  <c r="F28" i="3"/>
  <c r="E28" i="3"/>
  <c r="D28" i="3"/>
  <c r="C28" i="3"/>
  <c r="B28" i="3"/>
  <c r="A28" i="3"/>
  <c r="K27" i="3"/>
  <c r="J27" i="3"/>
  <c r="I27" i="3"/>
  <c r="H27" i="3"/>
  <c r="G27" i="3"/>
  <c r="F27" i="3"/>
  <c r="E27" i="3"/>
  <c r="D27" i="3"/>
  <c r="C27" i="3"/>
  <c r="B27" i="3"/>
  <c r="A27" i="3"/>
  <c r="K26" i="3"/>
  <c r="J26" i="3"/>
  <c r="I26" i="3"/>
  <c r="H26" i="3"/>
  <c r="G26" i="3"/>
  <c r="F26" i="3"/>
  <c r="E26" i="3"/>
  <c r="D26" i="3"/>
  <c r="C26" i="3"/>
  <c r="B26" i="3"/>
  <c r="A26" i="3"/>
  <c r="K25" i="3"/>
  <c r="J25" i="3"/>
  <c r="I25" i="3"/>
  <c r="H25" i="3"/>
  <c r="G25" i="3"/>
  <c r="F25" i="3"/>
  <c r="E25" i="3"/>
  <c r="D25" i="3"/>
  <c r="C25" i="3"/>
  <c r="B25" i="3"/>
  <c r="A25" i="3"/>
  <c r="K24" i="3"/>
  <c r="J24" i="3"/>
  <c r="I24" i="3"/>
  <c r="H24" i="3"/>
  <c r="G24" i="3"/>
  <c r="F24" i="3"/>
  <c r="E24" i="3"/>
  <c r="D24" i="3"/>
  <c r="C24" i="3"/>
  <c r="B24" i="3"/>
  <c r="A24" i="3"/>
  <c r="K23" i="3"/>
  <c r="J23" i="3"/>
  <c r="I23" i="3"/>
  <c r="H23" i="3"/>
  <c r="G23" i="3"/>
  <c r="F23" i="3"/>
  <c r="E23" i="3"/>
  <c r="D23" i="3"/>
  <c r="C23" i="3"/>
  <c r="B23" i="3"/>
  <c r="A23" i="3"/>
  <c r="K22" i="3"/>
  <c r="J22" i="3"/>
  <c r="I22" i="3"/>
  <c r="H22" i="3"/>
  <c r="G22" i="3"/>
  <c r="F22" i="3"/>
  <c r="E22" i="3"/>
  <c r="D22" i="3"/>
  <c r="C22" i="3"/>
  <c r="B22" i="3"/>
  <c r="A22" i="3"/>
  <c r="K21" i="3"/>
  <c r="J21" i="3"/>
  <c r="I21" i="3"/>
  <c r="H21" i="3"/>
  <c r="G21" i="3"/>
  <c r="F21" i="3"/>
  <c r="E21" i="3"/>
  <c r="D21" i="3"/>
  <c r="C21" i="3"/>
  <c r="B21" i="3"/>
  <c r="A21" i="3"/>
  <c r="K20" i="3"/>
  <c r="J20" i="3"/>
  <c r="I20" i="3"/>
  <c r="H20" i="3"/>
  <c r="G20" i="3"/>
  <c r="F20" i="3"/>
  <c r="E20" i="3"/>
  <c r="D20" i="3"/>
  <c r="C20" i="3"/>
  <c r="B20" i="3"/>
  <c r="A20" i="3"/>
  <c r="K19" i="3"/>
  <c r="J19" i="3"/>
  <c r="I19" i="3"/>
  <c r="H19" i="3"/>
  <c r="G19" i="3"/>
  <c r="F19" i="3"/>
  <c r="E19" i="3"/>
  <c r="D19" i="3"/>
  <c r="C19" i="3"/>
  <c r="B19" i="3"/>
  <c r="A19" i="3"/>
  <c r="K18" i="3"/>
  <c r="J18" i="3"/>
  <c r="I18" i="3"/>
  <c r="H18" i="3"/>
  <c r="G18" i="3"/>
  <c r="F18" i="3"/>
  <c r="E18" i="3"/>
  <c r="D18" i="3"/>
  <c r="C18" i="3"/>
  <c r="B18" i="3"/>
  <c r="A18" i="3"/>
  <c r="K17" i="3"/>
  <c r="J17" i="3"/>
  <c r="I17" i="3"/>
  <c r="H17" i="3"/>
  <c r="G17" i="3"/>
  <c r="F17" i="3"/>
  <c r="E17" i="3"/>
  <c r="D17" i="3"/>
  <c r="C17" i="3"/>
  <c r="B17" i="3"/>
  <c r="A17" i="3"/>
  <c r="K16" i="3"/>
  <c r="J16" i="3"/>
  <c r="I16" i="3"/>
  <c r="H16" i="3"/>
  <c r="G16" i="3"/>
  <c r="F16" i="3"/>
  <c r="E16" i="3"/>
  <c r="D16" i="3"/>
  <c r="C16" i="3"/>
  <c r="B16" i="3"/>
  <c r="A16" i="3"/>
  <c r="K15" i="3"/>
  <c r="J15" i="3"/>
  <c r="I15" i="3"/>
  <c r="H15" i="3"/>
  <c r="G15" i="3"/>
  <c r="F15" i="3"/>
  <c r="E15" i="3"/>
  <c r="D15" i="3"/>
  <c r="C15" i="3"/>
  <c r="B15" i="3"/>
  <c r="A15" i="3"/>
  <c r="K14" i="3"/>
  <c r="J14" i="3"/>
  <c r="I14" i="3"/>
  <c r="H14" i="3"/>
  <c r="G14" i="3"/>
  <c r="F14" i="3"/>
  <c r="E14" i="3"/>
  <c r="D14" i="3"/>
  <c r="C14" i="3"/>
  <c r="B14" i="3"/>
  <c r="A14" i="3"/>
  <c r="K13" i="3"/>
  <c r="J13" i="3"/>
  <c r="I13" i="3"/>
  <c r="H13" i="3"/>
  <c r="G13" i="3"/>
  <c r="F13" i="3"/>
  <c r="E13" i="3"/>
  <c r="D13" i="3"/>
  <c r="C13" i="3"/>
  <c r="B13" i="3"/>
  <c r="A13" i="3"/>
  <c r="K12" i="3"/>
  <c r="J12" i="3"/>
  <c r="I12" i="3"/>
  <c r="H12" i="3"/>
  <c r="G12" i="3"/>
  <c r="F12" i="3"/>
  <c r="E12" i="3"/>
  <c r="D12" i="3"/>
  <c r="C12" i="3"/>
  <c r="B12" i="3"/>
  <c r="A12" i="3"/>
  <c r="K11" i="3"/>
  <c r="J11" i="3"/>
  <c r="I11" i="3"/>
  <c r="H11" i="3"/>
  <c r="G11" i="3"/>
  <c r="F11" i="3"/>
  <c r="E11" i="3"/>
  <c r="D11" i="3"/>
  <c r="C11" i="3"/>
  <c r="B11" i="3"/>
  <c r="A11" i="3"/>
  <c r="K10" i="3"/>
  <c r="J10" i="3"/>
  <c r="I10" i="3"/>
  <c r="H10" i="3"/>
  <c r="G10" i="3"/>
  <c r="F10" i="3"/>
  <c r="E10" i="3"/>
  <c r="D10" i="3"/>
  <c r="C10" i="3"/>
  <c r="B10" i="3"/>
  <c r="A10" i="3"/>
  <c r="K9" i="3"/>
  <c r="J9" i="3"/>
  <c r="I9" i="3"/>
  <c r="H9" i="3"/>
  <c r="G9" i="3"/>
  <c r="F9" i="3"/>
  <c r="E9" i="3"/>
  <c r="D9" i="3"/>
  <c r="C9" i="3"/>
  <c r="B9" i="3"/>
  <c r="A9" i="3"/>
  <c r="K8" i="3"/>
  <c r="J8" i="3"/>
  <c r="I8" i="3"/>
  <c r="H8" i="3"/>
  <c r="G8" i="3"/>
  <c r="F8" i="3"/>
  <c r="E8" i="3"/>
  <c r="D8" i="3"/>
  <c r="C8" i="3"/>
  <c r="B8" i="3"/>
  <c r="A8" i="3"/>
  <c r="K7" i="3"/>
  <c r="J7" i="3"/>
  <c r="I7" i="3"/>
  <c r="H7" i="3"/>
  <c r="G7" i="3"/>
  <c r="F7" i="3"/>
  <c r="E7" i="3"/>
  <c r="D7" i="3"/>
  <c r="C7" i="3"/>
  <c r="B7" i="3"/>
  <c r="A7" i="3"/>
  <c r="K6" i="3"/>
  <c r="J6" i="3"/>
  <c r="I6" i="3"/>
  <c r="H6" i="3"/>
  <c r="G6" i="3"/>
  <c r="F6" i="3"/>
  <c r="E6" i="3"/>
  <c r="D6" i="3"/>
  <c r="C6" i="3"/>
  <c r="B6" i="3"/>
  <c r="A6" i="3"/>
  <c r="K5" i="3"/>
  <c r="J5" i="3"/>
  <c r="I5" i="3"/>
  <c r="H5" i="3"/>
  <c r="G5" i="3"/>
  <c r="F5" i="3"/>
  <c r="E5" i="3"/>
  <c r="D5" i="3"/>
  <c r="C5" i="3"/>
  <c r="B5" i="3"/>
  <c r="A5" i="3"/>
  <c r="K4" i="3"/>
  <c r="J4" i="3"/>
  <c r="I4" i="3"/>
  <c r="H4" i="3"/>
  <c r="G4" i="3"/>
  <c r="F4" i="3"/>
  <c r="E4" i="3"/>
  <c r="D4" i="3"/>
  <c r="C4" i="3"/>
  <c r="B4" i="3"/>
  <c r="A4" i="3"/>
  <c r="K3" i="3"/>
  <c r="J3" i="3"/>
  <c r="I3" i="3"/>
  <c r="H3" i="3"/>
  <c r="G3" i="3"/>
  <c r="F3" i="3"/>
  <c r="E3" i="3"/>
  <c r="D3" i="3"/>
  <c r="C3" i="3"/>
  <c r="B3" i="3"/>
  <c r="A3" i="3"/>
  <c r="K2" i="3"/>
  <c r="J2" i="3"/>
  <c r="I2" i="3"/>
  <c r="H2" i="3"/>
  <c r="G2" i="3"/>
  <c r="F2" i="3"/>
  <c r="E2" i="3"/>
  <c r="D2" i="3"/>
  <c r="C2" i="3"/>
  <c r="B2" i="3"/>
  <c r="A2" i="3"/>
  <c r="K180" i="2"/>
  <c r="J180" i="2"/>
  <c r="I180" i="2"/>
  <c r="H180" i="2"/>
  <c r="G180" i="2"/>
  <c r="F180" i="2"/>
  <c r="E180" i="2"/>
  <c r="D180" i="2"/>
  <c r="C180" i="2"/>
  <c r="B180" i="2"/>
  <c r="A180" i="2"/>
  <c r="K179" i="2"/>
  <c r="J179" i="2"/>
  <c r="I179" i="2"/>
  <c r="H179" i="2"/>
  <c r="G179" i="2"/>
  <c r="F179" i="2"/>
  <c r="E179" i="2"/>
  <c r="D179" i="2"/>
  <c r="C179" i="2"/>
  <c r="B179" i="2"/>
  <c r="A179" i="2"/>
  <c r="K178" i="2"/>
  <c r="J178" i="2"/>
  <c r="I178" i="2"/>
  <c r="H178" i="2"/>
  <c r="G178" i="2"/>
  <c r="F178" i="2"/>
  <c r="E178" i="2"/>
  <c r="D178" i="2"/>
  <c r="C178" i="2"/>
  <c r="B178" i="2"/>
  <c r="A178" i="2"/>
  <c r="K177" i="2"/>
  <c r="J177" i="2"/>
  <c r="I177" i="2"/>
  <c r="H177" i="2"/>
  <c r="G177" i="2"/>
  <c r="F177" i="2"/>
  <c r="E177" i="2"/>
  <c r="D177" i="2"/>
  <c r="C177" i="2"/>
  <c r="B177" i="2"/>
  <c r="A177" i="2"/>
  <c r="K176" i="2"/>
  <c r="J176" i="2"/>
  <c r="I176" i="2"/>
  <c r="H176" i="2"/>
  <c r="G176" i="2"/>
  <c r="F176" i="2"/>
  <c r="E176" i="2"/>
  <c r="D176" i="2"/>
  <c r="C176" i="2"/>
  <c r="B176" i="2"/>
  <c r="A176" i="2"/>
  <c r="K175" i="2"/>
  <c r="J175" i="2"/>
  <c r="I175" i="2"/>
  <c r="H175" i="2"/>
  <c r="G175" i="2"/>
  <c r="F175" i="2"/>
  <c r="E175" i="2"/>
  <c r="D175" i="2"/>
  <c r="C175" i="2"/>
  <c r="B175" i="2"/>
  <c r="A175" i="2"/>
  <c r="K174" i="2"/>
  <c r="J174" i="2"/>
  <c r="I174" i="2"/>
  <c r="H174" i="2"/>
  <c r="G174" i="2"/>
  <c r="F174" i="2"/>
  <c r="E174" i="2"/>
  <c r="D174" i="2"/>
  <c r="C174" i="2"/>
  <c r="B174" i="2"/>
  <c r="A174" i="2"/>
  <c r="K173" i="2"/>
  <c r="J173" i="2"/>
  <c r="I173" i="2"/>
  <c r="H173" i="2"/>
  <c r="G173" i="2"/>
  <c r="F173" i="2"/>
  <c r="E173" i="2"/>
  <c r="D173" i="2"/>
  <c r="C173" i="2"/>
  <c r="B173" i="2"/>
  <c r="A173" i="2"/>
  <c r="K172" i="2"/>
  <c r="J172" i="2"/>
  <c r="I172" i="2"/>
  <c r="H172" i="2"/>
  <c r="G172" i="2"/>
  <c r="F172" i="2"/>
  <c r="E172" i="2"/>
  <c r="D172" i="2"/>
  <c r="C172" i="2"/>
  <c r="B172" i="2"/>
  <c r="A172" i="2"/>
  <c r="K171" i="2"/>
  <c r="J171" i="2"/>
  <c r="I171" i="2"/>
  <c r="H171" i="2"/>
  <c r="G171" i="2"/>
  <c r="F171" i="2"/>
  <c r="E171" i="2"/>
  <c r="D171" i="2"/>
  <c r="C171" i="2"/>
  <c r="B171" i="2"/>
  <c r="A171" i="2"/>
  <c r="K170" i="2"/>
  <c r="J170" i="2"/>
  <c r="I170" i="2"/>
  <c r="H170" i="2"/>
  <c r="G170" i="2"/>
  <c r="F170" i="2"/>
  <c r="E170" i="2"/>
  <c r="D170" i="2"/>
  <c r="C170" i="2"/>
  <c r="B170" i="2"/>
  <c r="A170" i="2"/>
  <c r="K169" i="2"/>
  <c r="J169" i="2"/>
  <c r="I169" i="2"/>
  <c r="H169" i="2"/>
  <c r="G169" i="2"/>
  <c r="F169" i="2"/>
  <c r="E169" i="2"/>
  <c r="D169" i="2"/>
  <c r="C169" i="2"/>
  <c r="B169" i="2"/>
  <c r="A169" i="2"/>
  <c r="K168" i="2"/>
  <c r="J168" i="2"/>
  <c r="I168" i="2"/>
  <c r="H168" i="2"/>
  <c r="G168" i="2"/>
  <c r="F168" i="2"/>
  <c r="E168" i="2"/>
  <c r="D168" i="2"/>
  <c r="C168" i="2"/>
  <c r="B168" i="2"/>
  <c r="A168" i="2"/>
  <c r="K167" i="2"/>
  <c r="J167" i="2"/>
  <c r="I167" i="2"/>
  <c r="H167" i="2"/>
  <c r="G167" i="2"/>
  <c r="F167" i="2"/>
  <c r="E167" i="2"/>
  <c r="D167" i="2"/>
  <c r="C167" i="2"/>
  <c r="B167" i="2"/>
  <c r="A167" i="2"/>
  <c r="K166" i="2"/>
  <c r="J166" i="2"/>
  <c r="I166" i="2"/>
  <c r="H166" i="2"/>
  <c r="G166" i="2"/>
  <c r="F166" i="2"/>
  <c r="E166" i="2"/>
  <c r="D166" i="2"/>
  <c r="C166" i="2"/>
  <c r="B166" i="2"/>
  <c r="A166" i="2"/>
  <c r="K165" i="2"/>
  <c r="J165" i="2"/>
  <c r="I165" i="2"/>
  <c r="H165" i="2"/>
  <c r="G165" i="2"/>
  <c r="F165" i="2"/>
  <c r="E165" i="2"/>
  <c r="D165" i="2"/>
  <c r="C165" i="2"/>
  <c r="B165" i="2"/>
  <c r="A165" i="2"/>
  <c r="K164" i="2"/>
  <c r="J164" i="2"/>
  <c r="I164" i="2"/>
  <c r="H164" i="2"/>
  <c r="G164" i="2"/>
  <c r="F164" i="2"/>
  <c r="E164" i="2"/>
  <c r="D164" i="2"/>
  <c r="C164" i="2"/>
  <c r="B164" i="2"/>
  <c r="A164" i="2"/>
  <c r="K163" i="2"/>
  <c r="J163" i="2"/>
  <c r="I163" i="2"/>
  <c r="H163" i="2"/>
  <c r="G163" i="2"/>
  <c r="F163" i="2"/>
  <c r="E163" i="2"/>
  <c r="D163" i="2"/>
  <c r="C163" i="2"/>
  <c r="B163" i="2"/>
  <c r="A163" i="2"/>
  <c r="K162" i="2"/>
  <c r="J162" i="2"/>
  <c r="I162" i="2"/>
  <c r="H162" i="2"/>
  <c r="G162" i="2"/>
  <c r="F162" i="2"/>
  <c r="E162" i="2"/>
  <c r="D162" i="2"/>
  <c r="C162" i="2"/>
  <c r="B162" i="2"/>
  <c r="A162" i="2"/>
  <c r="K161" i="2"/>
  <c r="J161" i="2"/>
  <c r="I161" i="2"/>
  <c r="H161" i="2"/>
  <c r="G161" i="2"/>
  <c r="F161" i="2"/>
  <c r="E161" i="2"/>
  <c r="D161" i="2"/>
  <c r="C161" i="2"/>
  <c r="B161" i="2"/>
  <c r="A161" i="2"/>
  <c r="K160" i="2"/>
  <c r="J160" i="2"/>
  <c r="I160" i="2"/>
  <c r="H160" i="2"/>
  <c r="G160" i="2"/>
  <c r="F160" i="2"/>
  <c r="E160" i="2"/>
  <c r="D160" i="2"/>
  <c r="C160" i="2"/>
  <c r="B160" i="2"/>
  <c r="A160" i="2"/>
  <c r="K159" i="2"/>
  <c r="J159" i="2"/>
  <c r="I159" i="2"/>
  <c r="H159" i="2"/>
  <c r="G159" i="2"/>
  <c r="F159" i="2"/>
  <c r="E159" i="2"/>
  <c r="D159" i="2"/>
  <c r="C159" i="2"/>
  <c r="B159" i="2"/>
  <c r="A159" i="2"/>
  <c r="K158" i="2"/>
  <c r="J158" i="2"/>
  <c r="I158" i="2"/>
  <c r="H158" i="2"/>
  <c r="G158" i="2"/>
  <c r="F158" i="2"/>
  <c r="E158" i="2"/>
  <c r="D158" i="2"/>
  <c r="C158" i="2"/>
  <c r="B158" i="2"/>
  <c r="A158" i="2"/>
  <c r="K157" i="2"/>
  <c r="J157" i="2"/>
  <c r="I157" i="2"/>
  <c r="H157" i="2"/>
  <c r="G157" i="2"/>
  <c r="F157" i="2"/>
  <c r="E157" i="2"/>
  <c r="D157" i="2"/>
  <c r="C157" i="2"/>
  <c r="B157" i="2"/>
  <c r="A157" i="2"/>
  <c r="K156" i="2"/>
  <c r="J156" i="2"/>
  <c r="I156" i="2"/>
  <c r="H156" i="2"/>
  <c r="G156" i="2"/>
  <c r="F156" i="2"/>
  <c r="E156" i="2"/>
  <c r="D156" i="2"/>
  <c r="C156" i="2"/>
  <c r="B156" i="2"/>
  <c r="A156" i="2"/>
  <c r="K155" i="2"/>
  <c r="J155" i="2"/>
  <c r="I155" i="2"/>
  <c r="H155" i="2"/>
  <c r="G155" i="2"/>
  <c r="F155" i="2"/>
  <c r="E155" i="2"/>
  <c r="D155" i="2"/>
  <c r="C155" i="2"/>
  <c r="B155" i="2"/>
  <c r="A155" i="2"/>
  <c r="K154" i="2"/>
  <c r="J154" i="2"/>
  <c r="I154" i="2"/>
  <c r="H154" i="2"/>
  <c r="G154" i="2"/>
  <c r="F154" i="2"/>
  <c r="E154" i="2"/>
  <c r="D154" i="2"/>
  <c r="C154" i="2"/>
  <c r="B154" i="2"/>
  <c r="A154" i="2"/>
  <c r="K153" i="2"/>
  <c r="J153" i="2"/>
  <c r="I153" i="2"/>
  <c r="H153" i="2"/>
  <c r="G153" i="2"/>
  <c r="F153" i="2"/>
  <c r="E153" i="2"/>
  <c r="D153" i="2"/>
  <c r="C153" i="2"/>
  <c r="B153" i="2"/>
  <c r="A153" i="2"/>
  <c r="K152" i="2"/>
  <c r="J152" i="2"/>
  <c r="I152" i="2"/>
  <c r="H152" i="2"/>
  <c r="G152" i="2"/>
  <c r="F152" i="2"/>
  <c r="E152" i="2"/>
  <c r="D152" i="2"/>
  <c r="C152" i="2"/>
  <c r="B152" i="2"/>
  <c r="A152" i="2"/>
  <c r="K151" i="2"/>
  <c r="J151" i="2"/>
  <c r="I151" i="2"/>
  <c r="H151" i="2"/>
  <c r="G151" i="2"/>
  <c r="F151" i="2"/>
  <c r="E151" i="2"/>
  <c r="D151" i="2"/>
  <c r="C151" i="2"/>
  <c r="B151" i="2"/>
  <c r="A151" i="2"/>
  <c r="K150" i="2"/>
  <c r="J150" i="2"/>
  <c r="I150" i="2"/>
  <c r="H150" i="2"/>
  <c r="G150" i="2"/>
  <c r="F150" i="2"/>
  <c r="E150" i="2"/>
  <c r="D150" i="2"/>
  <c r="C150" i="2"/>
  <c r="B150" i="2"/>
  <c r="A150" i="2"/>
  <c r="K149" i="2"/>
  <c r="J149" i="2"/>
  <c r="I149" i="2"/>
  <c r="H149" i="2"/>
  <c r="G149" i="2"/>
  <c r="F149" i="2"/>
  <c r="E149" i="2"/>
  <c r="D149" i="2"/>
  <c r="C149" i="2"/>
  <c r="B149" i="2"/>
  <c r="A149" i="2"/>
  <c r="K148" i="2"/>
  <c r="J148" i="2"/>
  <c r="I148" i="2"/>
  <c r="H148" i="2"/>
  <c r="G148" i="2"/>
  <c r="F148" i="2"/>
  <c r="E148" i="2"/>
  <c r="D148" i="2"/>
  <c r="C148" i="2"/>
  <c r="B148" i="2"/>
  <c r="A148" i="2"/>
  <c r="K147" i="2"/>
  <c r="J147" i="2"/>
  <c r="I147" i="2"/>
  <c r="H147" i="2"/>
  <c r="G147" i="2"/>
  <c r="F147" i="2"/>
  <c r="E147" i="2"/>
  <c r="D147" i="2"/>
  <c r="C147" i="2"/>
  <c r="B147" i="2"/>
  <c r="A147" i="2"/>
  <c r="K146" i="2"/>
  <c r="J146" i="2"/>
  <c r="I146" i="2"/>
  <c r="H146" i="2"/>
  <c r="G146" i="2"/>
  <c r="F146" i="2"/>
  <c r="E146" i="2"/>
  <c r="D146" i="2"/>
  <c r="C146" i="2"/>
  <c r="B146" i="2"/>
  <c r="A146" i="2"/>
  <c r="K145" i="2"/>
  <c r="J145" i="2"/>
  <c r="I145" i="2"/>
  <c r="H145" i="2"/>
  <c r="G145" i="2"/>
  <c r="F145" i="2"/>
  <c r="E145" i="2"/>
  <c r="D145" i="2"/>
  <c r="C145" i="2"/>
  <c r="B145" i="2"/>
  <c r="A145" i="2"/>
  <c r="K144" i="2"/>
  <c r="J144" i="2"/>
  <c r="I144" i="2"/>
  <c r="H144" i="2"/>
  <c r="G144" i="2"/>
  <c r="F144" i="2"/>
  <c r="E144" i="2"/>
  <c r="D144" i="2"/>
  <c r="C144" i="2"/>
  <c r="B144" i="2"/>
  <c r="A144" i="2"/>
  <c r="K143" i="2"/>
  <c r="J143" i="2"/>
  <c r="I143" i="2"/>
  <c r="H143" i="2"/>
  <c r="G143" i="2"/>
  <c r="F143" i="2"/>
  <c r="E143" i="2"/>
  <c r="D143" i="2"/>
  <c r="C143" i="2"/>
  <c r="B143" i="2"/>
  <c r="A143" i="2"/>
  <c r="K142" i="2"/>
  <c r="J142" i="2"/>
  <c r="I142" i="2"/>
  <c r="H142" i="2"/>
  <c r="G142" i="2"/>
  <c r="F142" i="2"/>
  <c r="E142" i="2"/>
  <c r="D142" i="2"/>
  <c r="C142" i="2"/>
  <c r="B142" i="2"/>
  <c r="A142" i="2"/>
  <c r="K141" i="2"/>
  <c r="J141" i="2"/>
  <c r="I141" i="2"/>
  <c r="H141" i="2"/>
  <c r="G141" i="2"/>
  <c r="F141" i="2"/>
  <c r="E141" i="2"/>
  <c r="D141" i="2"/>
  <c r="C141" i="2"/>
  <c r="B141" i="2"/>
  <c r="A141" i="2"/>
  <c r="K140" i="2"/>
  <c r="J140" i="2"/>
  <c r="I140" i="2"/>
  <c r="H140" i="2"/>
  <c r="G140" i="2"/>
  <c r="F140" i="2"/>
  <c r="E140" i="2"/>
  <c r="D140" i="2"/>
  <c r="C140" i="2"/>
  <c r="B140" i="2"/>
  <c r="A140" i="2"/>
  <c r="K139" i="2"/>
  <c r="J139" i="2"/>
  <c r="I139" i="2"/>
  <c r="H139" i="2"/>
  <c r="G139" i="2"/>
  <c r="F139" i="2"/>
  <c r="E139" i="2"/>
  <c r="D139" i="2"/>
  <c r="C139" i="2"/>
  <c r="B139" i="2"/>
  <c r="A139" i="2"/>
  <c r="K138" i="2"/>
  <c r="J138" i="2"/>
  <c r="I138" i="2"/>
  <c r="H138" i="2"/>
  <c r="G138" i="2"/>
  <c r="F138" i="2"/>
  <c r="E138" i="2"/>
  <c r="D138" i="2"/>
  <c r="C138" i="2"/>
  <c r="B138" i="2"/>
  <c r="A138" i="2"/>
  <c r="K137" i="2"/>
  <c r="J137" i="2"/>
  <c r="I137" i="2"/>
  <c r="H137" i="2"/>
  <c r="G137" i="2"/>
  <c r="F137" i="2"/>
  <c r="E137" i="2"/>
  <c r="D137" i="2"/>
  <c r="C137" i="2"/>
  <c r="B137" i="2"/>
  <c r="A137" i="2"/>
  <c r="K136" i="2"/>
  <c r="J136" i="2"/>
  <c r="I136" i="2"/>
  <c r="H136" i="2"/>
  <c r="G136" i="2"/>
  <c r="F136" i="2"/>
  <c r="E136" i="2"/>
  <c r="D136" i="2"/>
  <c r="C136" i="2"/>
  <c r="B136" i="2"/>
  <c r="A136" i="2"/>
  <c r="K135" i="2"/>
  <c r="J135" i="2"/>
  <c r="I135" i="2"/>
  <c r="H135" i="2"/>
  <c r="G135" i="2"/>
  <c r="F135" i="2"/>
  <c r="E135" i="2"/>
  <c r="D135" i="2"/>
  <c r="C135" i="2"/>
  <c r="B135" i="2"/>
  <c r="A135" i="2"/>
  <c r="K134" i="2"/>
  <c r="J134" i="2"/>
  <c r="I134" i="2"/>
  <c r="H134" i="2"/>
  <c r="G134" i="2"/>
  <c r="F134" i="2"/>
  <c r="E134" i="2"/>
  <c r="D134" i="2"/>
  <c r="C134" i="2"/>
  <c r="B134" i="2"/>
  <c r="A134" i="2"/>
  <c r="K133" i="2"/>
  <c r="J133" i="2"/>
  <c r="I133" i="2"/>
  <c r="H133" i="2"/>
  <c r="G133" i="2"/>
  <c r="F133" i="2"/>
  <c r="E133" i="2"/>
  <c r="D133" i="2"/>
  <c r="C133" i="2"/>
  <c r="B133" i="2"/>
  <c r="A133" i="2"/>
  <c r="K132" i="2"/>
  <c r="J132" i="2"/>
  <c r="I132" i="2"/>
  <c r="H132" i="2"/>
  <c r="G132" i="2"/>
  <c r="F132" i="2"/>
  <c r="E132" i="2"/>
  <c r="D132" i="2"/>
  <c r="C132" i="2"/>
  <c r="B132" i="2"/>
  <c r="A132" i="2"/>
  <c r="K131" i="2"/>
  <c r="J131" i="2"/>
  <c r="I131" i="2"/>
  <c r="H131" i="2"/>
  <c r="G131" i="2"/>
  <c r="F131" i="2"/>
  <c r="E131" i="2"/>
  <c r="D131" i="2"/>
  <c r="C131" i="2"/>
  <c r="B131" i="2"/>
  <c r="A131" i="2"/>
  <c r="K130" i="2"/>
  <c r="J130" i="2"/>
  <c r="I130" i="2"/>
  <c r="H130" i="2"/>
  <c r="G130" i="2"/>
  <c r="F130" i="2"/>
  <c r="E130" i="2"/>
  <c r="D130" i="2"/>
  <c r="C130" i="2"/>
  <c r="B130" i="2"/>
  <c r="A130" i="2"/>
  <c r="K129" i="2"/>
  <c r="J129" i="2"/>
  <c r="I129" i="2"/>
  <c r="H129" i="2"/>
  <c r="G129" i="2"/>
  <c r="F129" i="2"/>
  <c r="E129" i="2"/>
  <c r="D129" i="2"/>
  <c r="C129" i="2"/>
  <c r="B129" i="2"/>
  <c r="A129" i="2"/>
  <c r="K128" i="2"/>
  <c r="J128" i="2"/>
  <c r="I128" i="2"/>
  <c r="H128" i="2"/>
  <c r="G128" i="2"/>
  <c r="F128" i="2"/>
  <c r="E128" i="2"/>
  <c r="D128" i="2"/>
  <c r="C128" i="2"/>
  <c r="B128" i="2"/>
  <c r="A128" i="2"/>
  <c r="K127" i="2"/>
  <c r="J127" i="2"/>
  <c r="I127" i="2"/>
  <c r="H127" i="2"/>
  <c r="G127" i="2"/>
  <c r="F127" i="2"/>
  <c r="E127" i="2"/>
  <c r="D127" i="2"/>
  <c r="C127" i="2"/>
  <c r="B127" i="2"/>
  <c r="A127" i="2"/>
  <c r="K126" i="2"/>
  <c r="J126" i="2"/>
  <c r="I126" i="2"/>
  <c r="H126" i="2"/>
  <c r="G126" i="2"/>
  <c r="F126" i="2"/>
  <c r="E126" i="2"/>
  <c r="D126" i="2"/>
  <c r="C126" i="2"/>
  <c r="B126" i="2"/>
  <c r="A126" i="2"/>
  <c r="K125" i="2"/>
  <c r="J125" i="2"/>
  <c r="I125" i="2"/>
  <c r="H125" i="2"/>
  <c r="G125" i="2"/>
  <c r="F125" i="2"/>
  <c r="E125" i="2"/>
  <c r="D125" i="2"/>
  <c r="C125" i="2"/>
  <c r="B125" i="2"/>
  <c r="A125" i="2"/>
  <c r="K124" i="2"/>
  <c r="J124" i="2"/>
  <c r="I124" i="2"/>
  <c r="H124" i="2"/>
  <c r="G124" i="2"/>
  <c r="F124" i="2"/>
  <c r="E124" i="2"/>
  <c r="D124" i="2"/>
  <c r="C124" i="2"/>
  <c r="B124" i="2"/>
  <c r="A124" i="2"/>
  <c r="K123" i="2"/>
  <c r="J123" i="2"/>
  <c r="I123" i="2"/>
  <c r="H123" i="2"/>
  <c r="G123" i="2"/>
  <c r="F123" i="2"/>
  <c r="E123" i="2"/>
  <c r="D123" i="2"/>
  <c r="C123" i="2"/>
  <c r="B123" i="2"/>
  <c r="A123" i="2"/>
  <c r="K122" i="2"/>
  <c r="J122" i="2"/>
  <c r="I122" i="2"/>
  <c r="H122" i="2"/>
  <c r="G122" i="2"/>
  <c r="F122" i="2"/>
  <c r="E122" i="2"/>
  <c r="D122" i="2"/>
  <c r="C122" i="2"/>
  <c r="B122" i="2"/>
  <c r="A122" i="2"/>
  <c r="K121" i="2"/>
  <c r="J121" i="2"/>
  <c r="I121" i="2"/>
  <c r="H121" i="2"/>
  <c r="G121" i="2"/>
  <c r="F121" i="2"/>
  <c r="E121" i="2"/>
  <c r="D121" i="2"/>
  <c r="C121" i="2"/>
  <c r="B121" i="2"/>
  <c r="A121" i="2"/>
  <c r="K120" i="2"/>
  <c r="J120" i="2"/>
  <c r="I120" i="2"/>
  <c r="H120" i="2"/>
  <c r="G120" i="2"/>
  <c r="F120" i="2"/>
  <c r="E120" i="2"/>
  <c r="D120" i="2"/>
  <c r="C120" i="2"/>
  <c r="B120" i="2"/>
  <c r="A120" i="2"/>
  <c r="K119" i="2"/>
  <c r="J119" i="2"/>
  <c r="I119" i="2"/>
  <c r="H119" i="2"/>
  <c r="G119" i="2"/>
  <c r="F119" i="2"/>
  <c r="E119" i="2"/>
  <c r="D119" i="2"/>
  <c r="C119" i="2"/>
  <c r="B119" i="2"/>
  <c r="A119" i="2"/>
  <c r="K118" i="2"/>
  <c r="J118" i="2"/>
  <c r="I118" i="2"/>
  <c r="H118" i="2"/>
  <c r="G118" i="2"/>
  <c r="F118" i="2"/>
  <c r="E118" i="2"/>
  <c r="D118" i="2"/>
  <c r="C118" i="2"/>
  <c r="B118" i="2"/>
  <c r="A118" i="2"/>
  <c r="K117" i="2"/>
  <c r="J117" i="2"/>
  <c r="I117" i="2"/>
  <c r="H117" i="2"/>
  <c r="G117" i="2"/>
  <c r="F117" i="2"/>
  <c r="E117" i="2"/>
  <c r="D117" i="2"/>
  <c r="C117" i="2"/>
  <c r="B117" i="2"/>
  <c r="A117" i="2"/>
  <c r="K116" i="2"/>
  <c r="J116" i="2"/>
  <c r="I116" i="2"/>
  <c r="H116" i="2"/>
  <c r="G116" i="2"/>
  <c r="F116" i="2"/>
  <c r="E116" i="2"/>
  <c r="D116" i="2"/>
  <c r="C116" i="2"/>
  <c r="B116" i="2"/>
  <c r="A116" i="2"/>
  <c r="K115" i="2"/>
  <c r="J115" i="2"/>
  <c r="I115" i="2"/>
  <c r="H115" i="2"/>
  <c r="G115" i="2"/>
  <c r="F115" i="2"/>
  <c r="E115" i="2"/>
  <c r="D115" i="2"/>
  <c r="C115" i="2"/>
  <c r="B115" i="2"/>
  <c r="A115" i="2"/>
  <c r="K114" i="2"/>
  <c r="J114" i="2"/>
  <c r="I114" i="2"/>
  <c r="H114" i="2"/>
  <c r="G114" i="2"/>
  <c r="F114" i="2"/>
  <c r="E114" i="2"/>
  <c r="D114" i="2"/>
  <c r="C114" i="2"/>
  <c r="B114" i="2"/>
  <c r="A114" i="2"/>
  <c r="K113" i="2"/>
  <c r="J113" i="2"/>
  <c r="I113" i="2"/>
  <c r="H113" i="2"/>
  <c r="G113" i="2"/>
  <c r="F113" i="2"/>
  <c r="E113" i="2"/>
  <c r="D113" i="2"/>
  <c r="C113" i="2"/>
  <c r="B113" i="2"/>
  <c r="A113" i="2"/>
  <c r="K112" i="2"/>
  <c r="J112" i="2"/>
  <c r="I112" i="2"/>
  <c r="H112" i="2"/>
  <c r="G112" i="2"/>
  <c r="F112" i="2"/>
  <c r="E112" i="2"/>
  <c r="D112" i="2"/>
  <c r="C112" i="2"/>
  <c r="B112" i="2"/>
  <c r="A112" i="2"/>
  <c r="K111" i="2"/>
  <c r="J111" i="2"/>
  <c r="I111" i="2"/>
  <c r="H111" i="2"/>
  <c r="G111" i="2"/>
  <c r="F111" i="2"/>
  <c r="E111" i="2"/>
  <c r="D111" i="2"/>
  <c r="C111" i="2"/>
  <c r="B111" i="2"/>
  <c r="A111" i="2"/>
  <c r="K110" i="2"/>
  <c r="J110" i="2"/>
  <c r="I110" i="2"/>
  <c r="H110" i="2"/>
  <c r="G110" i="2"/>
  <c r="F110" i="2"/>
  <c r="E110" i="2"/>
  <c r="D110" i="2"/>
  <c r="C110" i="2"/>
  <c r="B110" i="2"/>
  <c r="A110" i="2"/>
  <c r="K109" i="2"/>
  <c r="J109" i="2"/>
  <c r="I109" i="2"/>
  <c r="H109" i="2"/>
  <c r="G109" i="2"/>
  <c r="F109" i="2"/>
  <c r="E109" i="2"/>
  <c r="D109" i="2"/>
  <c r="C109" i="2"/>
  <c r="B109" i="2"/>
  <c r="A109" i="2"/>
  <c r="K108" i="2"/>
  <c r="J108" i="2"/>
  <c r="I108" i="2"/>
  <c r="H108" i="2"/>
  <c r="G108" i="2"/>
  <c r="F108" i="2"/>
  <c r="E108" i="2"/>
  <c r="D108" i="2"/>
  <c r="C108" i="2"/>
  <c r="B108" i="2"/>
  <c r="A108" i="2"/>
  <c r="K107" i="2"/>
  <c r="J107" i="2"/>
  <c r="I107" i="2"/>
  <c r="H107" i="2"/>
  <c r="G107" i="2"/>
  <c r="F107" i="2"/>
  <c r="E107" i="2"/>
  <c r="D107" i="2"/>
  <c r="C107" i="2"/>
  <c r="B107" i="2"/>
  <c r="A107" i="2"/>
  <c r="K106" i="2"/>
  <c r="J106" i="2"/>
  <c r="I106" i="2"/>
  <c r="H106" i="2"/>
  <c r="G106" i="2"/>
  <c r="F106" i="2"/>
  <c r="E106" i="2"/>
  <c r="D106" i="2"/>
  <c r="C106" i="2"/>
  <c r="B106" i="2"/>
  <c r="A106" i="2"/>
  <c r="K105" i="2"/>
  <c r="J105" i="2"/>
  <c r="I105" i="2"/>
  <c r="H105" i="2"/>
  <c r="G105" i="2"/>
  <c r="F105" i="2"/>
  <c r="E105" i="2"/>
  <c r="D105" i="2"/>
  <c r="C105" i="2"/>
  <c r="B105" i="2"/>
  <c r="A105" i="2"/>
  <c r="K104" i="2"/>
  <c r="J104" i="2"/>
  <c r="I104" i="2"/>
  <c r="H104" i="2"/>
  <c r="G104" i="2"/>
  <c r="F104" i="2"/>
  <c r="E104" i="2"/>
  <c r="D104" i="2"/>
  <c r="C104" i="2"/>
  <c r="B104" i="2"/>
  <c r="A104" i="2"/>
  <c r="K103" i="2"/>
  <c r="J103" i="2"/>
  <c r="I103" i="2"/>
  <c r="H103" i="2"/>
  <c r="G103" i="2"/>
  <c r="F103" i="2"/>
  <c r="E103" i="2"/>
  <c r="D103" i="2"/>
  <c r="C103" i="2"/>
  <c r="B103" i="2"/>
  <c r="A103" i="2"/>
  <c r="K102" i="2"/>
  <c r="J102" i="2"/>
  <c r="I102" i="2"/>
  <c r="H102" i="2"/>
  <c r="G102" i="2"/>
  <c r="F102" i="2"/>
  <c r="E102" i="2"/>
  <c r="D102" i="2"/>
  <c r="C102" i="2"/>
  <c r="B102" i="2"/>
  <c r="A102" i="2"/>
  <c r="K101" i="2"/>
  <c r="J101" i="2"/>
  <c r="I101" i="2"/>
  <c r="H101" i="2"/>
  <c r="G101" i="2"/>
  <c r="F101" i="2"/>
  <c r="E101" i="2"/>
  <c r="D101" i="2"/>
  <c r="C101" i="2"/>
  <c r="B101" i="2"/>
  <c r="A101" i="2"/>
  <c r="K100" i="2"/>
  <c r="J100" i="2"/>
  <c r="I100" i="2"/>
  <c r="H100" i="2"/>
  <c r="G100" i="2"/>
  <c r="F100" i="2"/>
  <c r="E100" i="2"/>
  <c r="D100" i="2"/>
  <c r="C100" i="2"/>
  <c r="B100" i="2"/>
  <c r="A100" i="2"/>
  <c r="K99" i="2"/>
  <c r="J99" i="2"/>
  <c r="I99" i="2"/>
  <c r="H99" i="2"/>
  <c r="G99" i="2"/>
  <c r="F99" i="2"/>
  <c r="E99" i="2"/>
  <c r="D99" i="2"/>
  <c r="C99" i="2"/>
  <c r="B99" i="2"/>
  <c r="A99" i="2"/>
  <c r="K98" i="2"/>
  <c r="J98" i="2"/>
  <c r="I98" i="2"/>
  <c r="H98" i="2"/>
  <c r="G98" i="2"/>
  <c r="F98" i="2"/>
  <c r="E98" i="2"/>
  <c r="D98" i="2"/>
  <c r="C98" i="2"/>
  <c r="B98" i="2"/>
  <c r="A98" i="2"/>
  <c r="K97" i="2"/>
  <c r="J97" i="2"/>
  <c r="I97" i="2"/>
  <c r="H97" i="2"/>
  <c r="G97" i="2"/>
  <c r="F97" i="2"/>
  <c r="E97" i="2"/>
  <c r="D97" i="2"/>
  <c r="C97" i="2"/>
  <c r="B97" i="2"/>
  <c r="A97" i="2"/>
  <c r="K96" i="2"/>
  <c r="J96" i="2"/>
  <c r="I96" i="2"/>
  <c r="H96" i="2"/>
  <c r="G96" i="2"/>
  <c r="F96" i="2"/>
  <c r="E96" i="2"/>
  <c r="D96" i="2"/>
  <c r="C96" i="2"/>
  <c r="B96" i="2"/>
  <c r="A96" i="2"/>
  <c r="K95" i="2"/>
  <c r="J95" i="2"/>
  <c r="I95" i="2"/>
  <c r="H95" i="2"/>
  <c r="G95" i="2"/>
  <c r="F95" i="2"/>
  <c r="E95" i="2"/>
  <c r="D95" i="2"/>
  <c r="C95" i="2"/>
  <c r="B95" i="2"/>
  <c r="A95" i="2"/>
  <c r="K94" i="2"/>
  <c r="J94" i="2"/>
  <c r="I94" i="2"/>
  <c r="H94" i="2"/>
  <c r="G94" i="2"/>
  <c r="F94" i="2"/>
  <c r="E94" i="2"/>
  <c r="D94" i="2"/>
  <c r="C94" i="2"/>
  <c r="B94" i="2"/>
  <c r="A94" i="2"/>
  <c r="K93" i="2"/>
  <c r="J93" i="2"/>
  <c r="I93" i="2"/>
  <c r="H93" i="2"/>
  <c r="G93" i="2"/>
  <c r="F93" i="2"/>
  <c r="E93" i="2"/>
  <c r="D93" i="2"/>
  <c r="C93" i="2"/>
  <c r="B93" i="2"/>
  <c r="A93" i="2"/>
  <c r="K92" i="2"/>
  <c r="J92" i="2"/>
  <c r="I92" i="2"/>
  <c r="H92" i="2"/>
  <c r="G92" i="2"/>
  <c r="F92" i="2"/>
  <c r="E92" i="2"/>
  <c r="D92" i="2"/>
  <c r="C92" i="2"/>
  <c r="B92" i="2"/>
  <c r="A92" i="2"/>
  <c r="K91" i="2"/>
  <c r="J91" i="2"/>
  <c r="I91" i="2"/>
  <c r="H91" i="2"/>
  <c r="G91" i="2"/>
  <c r="F91" i="2"/>
  <c r="E91" i="2"/>
  <c r="D91" i="2"/>
  <c r="C91" i="2"/>
  <c r="B91" i="2"/>
  <c r="A91" i="2"/>
  <c r="K90" i="2"/>
  <c r="J90" i="2"/>
  <c r="I90" i="2"/>
  <c r="H90" i="2"/>
  <c r="G90" i="2"/>
  <c r="F90" i="2"/>
  <c r="E90" i="2"/>
  <c r="D90" i="2"/>
  <c r="C90" i="2"/>
  <c r="B90" i="2"/>
  <c r="A90" i="2"/>
  <c r="K89" i="2"/>
  <c r="J89" i="2"/>
  <c r="I89" i="2"/>
  <c r="H89" i="2"/>
  <c r="G89" i="2"/>
  <c r="F89" i="2"/>
  <c r="E89" i="2"/>
  <c r="D89" i="2"/>
  <c r="C89" i="2"/>
  <c r="B89" i="2"/>
  <c r="A89" i="2"/>
  <c r="K88" i="2"/>
  <c r="J88" i="2"/>
  <c r="I88" i="2"/>
  <c r="H88" i="2"/>
  <c r="G88" i="2"/>
  <c r="F88" i="2"/>
  <c r="E88" i="2"/>
  <c r="D88" i="2"/>
  <c r="C88" i="2"/>
  <c r="B88" i="2"/>
  <c r="A88" i="2"/>
  <c r="K87" i="2"/>
  <c r="J87" i="2"/>
  <c r="I87" i="2"/>
  <c r="H87" i="2"/>
  <c r="G87" i="2"/>
  <c r="F87" i="2"/>
  <c r="E87" i="2"/>
  <c r="D87" i="2"/>
  <c r="C87" i="2"/>
  <c r="B87" i="2"/>
  <c r="A87" i="2"/>
  <c r="K86" i="2"/>
  <c r="J86" i="2"/>
  <c r="I86" i="2"/>
  <c r="H86" i="2"/>
  <c r="G86" i="2"/>
  <c r="F86" i="2"/>
  <c r="E86" i="2"/>
  <c r="D86" i="2"/>
  <c r="C86" i="2"/>
  <c r="B86" i="2"/>
  <c r="A86" i="2"/>
  <c r="K85" i="2"/>
  <c r="J85" i="2"/>
  <c r="I85" i="2"/>
  <c r="H85" i="2"/>
  <c r="G85" i="2"/>
  <c r="F85" i="2"/>
  <c r="E85" i="2"/>
  <c r="D85" i="2"/>
  <c r="C85" i="2"/>
  <c r="B85" i="2"/>
  <c r="A85" i="2"/>
  <c r="K84" i="2"/>
  <c r="J84" i="2"/>
  <c r="I84" i="2"/>
  <c r="H84" i="2"/>
  <c r="G84" i="2"/>
  <c r="F84" i="2"/>
  <c r="E84" i="2"/>
  <c r="D84" i="2"/>
  <c r="C84" i="2"/>
  <c r="B84" i="2"/>
  <c r="A84" i="2"/>
  <c r="K83" i="2"/>
  <c r="J83" i="2"/>
  <c r="I83" i="2"/>
  <c r="H83" i="2"/>
  <c r="G83" i="2"/>
  <c r="F83" i="2"/>
  <c r="E83" i="2"/>
  <c r="D83" i="2"/>
  <c r="C83" i="2"/>
  <c r="B83" i="2"/>
  <c r="A83" i="2"/>
  <c r="K82" i="2"/>
  <c r="J82" i="2"/>
  <c r="I82" i="2"/>
  <c r="H82" i="2"/>
  <c r="G82" i="2"/>
  <c r="F82" i="2"/>
  <c r="E82" i="2"/>
  <c r="D82" i="2"/>
  <c r="C82" i="2"/>
  <c r="B82" i="2"/>
  <c r="A82" i="2"/>
  <c r="K81" i="2"/>
  <c r="J81" i="2"/>
  <c r="I81" i="2"/>
  <c r="H81" i="2"/>
  <c r="G81" i="2"/>
  <c r="F81" i="2"/>
  <c r="E81" i="2"/>
  <c r="D81" i="2"/>
  <c r="C81" i="2"/>
  <c r="B81" i="2"/>
  <c r="A81" i="2"/>
  <c r="K80" i="2"/>
  <c r="J80" i="2"/>
  <c r="I80" i="2"/>
  <c r="H80" i="2"/>
  <c r="G80" i="2"/>
  <c r="F80" i="2"/>
  <c r="E80" i="2"/>
  <c r="D80" i="2"/>
  <c r="C80" i="2"/>
  <c r="B80" i="2"/>
  <c r="A80" i="2"/>
  <c r="K79" i="2"/>
  <c r="J79" i="2"/>
  <c r="I79" i="2"/>
  <c r="H79" i="2"/>
  <c r="G79" i="2"/>
  <c r="F79" i="2"/>
  <c r="E79" i="2"/>
  <c r="D79" i="2"/>
  <c r="C79" i="2"/>
  <c r="B79" i="2"/>
  <c r="A79" i="2"/>
  <c r="K78" i="2"/>
  <c r="J78" i="2"/>
  <c r="I78" i="2"/>
  <c r="H78" i="2"/>
  <c r="G78" i="2"/>
  <c r="F78" i="2"/>
  <c r="E78" i="2"/>
  <c r="D78" i="2"/>
  <c r="C78" i="2"/>
  <c r="B78" i="2"/>
  <c r="A78" i="2"/>
  <c r="K77" i="2"/>
  <c r="J77" i="2"/>
  <c r="I77" i="2"/>
  <c r="H77" i="2"/>
  <c r="G77" i="2"/>
  <c r="F77" i="2"/>
  <c r="E77" i="2"/>
  <c r="D77" i="2"/>
  <c r="C77" i="2"/>
  <c r="B77" i="2"/>
  <c r="A77" i="2"/>
  <c r="K76" i="2"/>
  <c r="J76" i="2"/>
  <c r="I76" i="2"/>
  <c r="H76" i="2"/>
  <c r="G76" i="2"/>
  <c r="F76" i="2"/>
  <c r="E76" i="2"/>
  <c r="D76" i="2"/>
  <c r="C76" i="2"/>
  <c r="B76" i="2"/>
  <c r="A76" i="2"/>
  <c r="K75" i="2"/>
  <c r="J75" i="2"/>
  <c r="I75" i="2"/>
  <c r="H75" i="2"/>
  <c r="G75" i="2"/>
  <c r="F75" i="2"/>
  <c r="E75" i="2"/>
  <c r="D75" i="2"/>
  <c r="C75" i="2"/>
  <c r="B75" i="2"/>
  <c r="A75" i="2"/>
  <c r="K74" i="2"/>
  <c r="J74" i="2"/>
  <c r="I74" i="2"/>
  <c r="H74" i="2"/>
  <c r="G74" i="2"/>
  <c r="F74" i="2"/>
  <c r="E74" i="2"/>
  <c r="D74" i="2"/>
  <c r="C74" i="2"/>
  <c r="B74" i="2"/>
  <c r="A74" i="2"/>
  <c r="K73" i="2"/>
  <c r="J73" i="2"/>
  <c r="I73" i="2"/>
  <c r="H73" i="2"/>
  <c r="G73" i="2"/>
  <c r="F73" i="2"/>
  <c r="E73" i="2"/>
  <c r="D73" i="2"/>
  <c r="C73" i="2"/>
  <c r="B73" i="2"/>
  <c r="A73" i="2"/>
  <c r="K72" i="2"/>
  <c r="J72" i="2"/>
  <c r="I72" i="2"/>
  <c r="H72" i="2"/>
  <c r="G72" i="2"/>
  <c r="F72" i="2"/>
  <c r="E72" i="2"/>
  <c r="D72" i="2"/>
  <c r="C72" i="2"/>
  <c r="B72" i="2"/>
  <c r="A72" i="2"/>
  <c r="K71" i="2"/>
  <c r="J71" i="2"/>
  <c r="I71" i="2"/>
  <c r="H71" i="2"/>
  <c r="G71" i="2"/>
  <c r="F71" i="2"/>
  <c r="E71" i="2"/>
  <c r="D71" i="2"/>
  <c r="C71" i="2"/>
  <c r="B71" i="2"/>
  <c r="A71" i="2"/>
  <c r="K70" i="2"/>
  <c r="J70" i="2"/>
  <c r="I70" i="2"/>
  <c r="H70" i="2"/>
  <c r="G70" i="2"/>
  <c r="F70" i="2"/>
  <c r="E70" i="2"/>
  <c r="D70" i="2"/>
  <c r="C70" i="2"/>
  <c r="B70" i="2"/>
  <c r="A70" i="2"/>
  <c r="K69" i="2"/>
  <c r="J69" i="2"/>
  <c r="I69" i="2"/>
  <c r="H69" i="2"/>
  <c r="G69" i="2"/>
  <c r="F69" i="2"/>
  <c r="E69" i="2"/>
  <c r="D69" i="2"/>
  <c r="C69" i="2"/>
  <c r="B69" i="2"/>
  <c r="A69" i="2"/>
  <c r="K68" i="2"/>
  <c r="J68" i="2"/>
  <c r="I68" i="2"/>
  <c r="H68" i="2"/>
  <c r="G68" i="2"/>
  <c r="F68" i="2"/>
  <c r="E68" i="2"/>
  <c r="D68" i="2"/>
  <c r="C68" i="2"/>
  <c r="B68" i="2"/>
  <c r="A68" i="2"/>
  <c r="K67" i="2"/>
  <c r="J67" i="2"/>
  <c r="I67" i="2"/>
  <c r="H67" i="2"/>
  <c r="G67" i="2"/>
  <c r="F67" i="2"/>
  <c r="E67" i="2"/>
  <c r="D67" i="2"/>
  <c r="C67" i="2"/>
  <c r="B67" i="2"/>
  <c r="A67" i="2"/>
  <c r="K66" i="2"/>
  <c r="J66" i="2"/>
  <c r="I66" i="2"/>
  <c r="H66" i="2"/>
  <c r="G66" i="2"/>
  <c r="F66" i="2"/>
  <c r="E66" i="2"/>
  <c r="D66" i="2"/>
  <c r="C66" i="2"/>
  <c r="B66" i="2"/>
  <c r="A66" i="2"/>
  <c r="K65" i="2"/>
  <c r="J65" i="2"/>
  <c r="I65" i="2"/>
  <c r="H65" i="2"/>
  <c r="G65" i="2"/>
  <c r="F65" i="2"/>
  <c r="E65" i="2"/>
  <c r="D65" i="2"/>
  <c r="C65" i="2"/>
  <c r="B65" i="2"/>
  <c r="A65" i="2"/>
  <c r="K64" i="2"/>
  <c r="J64" i="2"/>
  <c r="I64" i="2"/>
  <c r="H64" i="2"/>
  <c r="G64" i="2"/>
  <c r="F64" i="2"/>
  <c r="E64" i="2"/>
  <c r="D64" i="2"/>
  <c r="C64" i="2"/>
  <c r="B64" i="2"/>
  <c r="A64" i="2"/>
  <c r="K63" i="2"/>
  <c r="J63" i="2"/>
  <c r="I63" i="2"/>
  <c r="H63" i="2"/>
  <c r="G63" i="2"/>
  <c r="F63" i="2"/>
  <c r="E63" i="2"/>
  <c r="D63" i="2"/>
  <c r="C63" i="2"/>
  <c r="B63" i="2"/>
  <c r="A63" i="2"/>
  <c r="K62" i="2"/>
  <c r="J62" i="2"/>
  <c r="I62" i="2"/>
  <c r="H62" i="2"/>
  <c r="G62" i="2"/>
  <c r="F62" i="2"/>
  <c r="E62" i="2"/>
  <c r="D62" i="2"/>
  <c r="C62" i="2"/>
  <c r="B62" i="2"/>
  <c r="A62" i="2"/>
  <c r="K61" i="2"/>
  <c r="J61" i="2"/>
  <c r="I61" i="2"/>
  <c r="H61" i="2"/>
  <c r="G61" i="2"/>
  <c r="F61" i="2"/>
  <c r="E61" i="2"/>
  <c r="D61" i="2"/>
  <c r="C61" i="2"/>
  <c r="B61" i="2"/>
  <c r="A61" i="2"/>
  <c r="K60" i="2"/>
  <c r="J60" i="2"/>
  <c r="I60" i="2"/>
  <c r="H60" i="2"/>
  <c r="G60" i="2"/>
  <c r="F60" i="2"/>
  <c r="E60" i="2"/>
  <c r="D60" i="2"/>
  <c r="C60" i="2"/>
  <c r="B60" i="2"/>
  <c r="A60" i="2"/>
  <c r="K59" i="2"/>
  <c r="J59" i="2"/>
  <c r="I59" i="2"/>
  <c r="H59" i="2"/>
  <c r="G59" i="2"/>
  <c r="F59" i="2"/>
  <c r="E59" i="2"/>
  <c r="D59" i="2"/>
  <c r="C59" i="2"/>
  <c r="B59" i="2"/>
  <c r="A59" i="2"/>
  <c r="K58" i="2"/>
  <c r="J58" i="2"/>
  <c r="I58" i="2"/>
  <c r="H58" i="2"/>
  <c r="G58" i="2"/>
  <c r="F58" i="2"/>
  <c r="E58" i="2"/>
  <c r="D58" i="2"/>
  <c r="C58" i="2"/>
  <c r="B58" i="2"/>
  <c r="A58" i="2"/>
  <c r="K57" i="2"/>
  <c r="J57" i="2"/>
  <c r="I57" i="2"/>
  <c r="H57" i="2"/>
  <c r="G57" i="2"/>
  <c r="F57" i="2"/>
  <c r="E57" i="2"/>
  <c r="D57" i="2"/>
  <c r="C57" i="2"/>
  <c r="B57" i="2"/>
  <c r="A57" i="2"/>
  <c r="K56" i="2"/>
  <c r="J56" i="2"/>
  <c r="I56" i="2"/>
  <c r="H56" i="2"/>
  <c r="G56" i="2"/>
  <c r="F56" i="2"/>
  <c r="E56" i="2"/>
  <c r="D56" i="2"/>
  <c r="C56" i="2"/>
  <c r="B56" i="2"/>
  <c r="A56" i="2"/>
  <c r="K55" i="2"/>
  <c r="J55" i="2"/>
  <c r="I55" i="2"/>
  <c r="H55" i="2"/>
  <c r="G55" i="2"/>
  <c r="F55" i="2"/>
  <c r="E55" i="2"/>
  <c r="D55" i="2"/>
  <c r="C55" i="2"/>
  <c r="B55" i="2"/>
  <c r="A55" i="2"/>
  <c r="K54" i="2"/>
  <c r="J54" i="2"/>
  <c r="I54" i="2"/>
  <c r="H54" i="2"/>
  <c r="G54" i="2"/>
  <c r="F54" i="2"/>
  <c r="E54" i="2"/>
  <c r="D54" i="2"/>
  <c r="C54" i="2"/>
  <c r="B54" i="2"/>
  <c r="A54" i="2"/>
  <c r="K53" i="2"/>
  <c r="J53" i="2"/>
  <c r="I53" i="2"/>
  <c r="H53" i="2"/>
  <c r="G53" i="2"/>
  <c r="F53" i="2"/>
  <c r="E53" i="2"/>
  <c r="D53" i="2"/>
  <c r="C53" i="2"/>
  <c r="B53" i="2"/>
  <c r="A53" i="2"/>
  <c r="K52" i="2"/>
  <c r="J52" i="2"/>
  <c r="I52" i="2"/>
  <c r="H52" i="2"/>
  <c r="G52" i="2"/>
  <c r="F52" i="2"/>
  <c r="E52" i="2"/>
  <c r="D52" i="2"/>
  <c r="C52" i="2"/>
  <c r="B52" i="2"/>
  <c r="A52" i="2"/>
  <c r="K51" i="2"/>
  <c r="J51" i="2"/>
  <c r="I51" i="2"/>
  <c r="H51" i="2"/>
  <c r="G51" i="2"/>
  <c r="F51" i="2"/>
  <c r="E51" i="2"/>
  <c r="D51" i="2"/>
  <c r="C51" i="2"/>
  <c r="B51" i="2"/>
  <c r="A51" i="2"/>
  <c r="K50" i="2"/>
  <c r="J50" i="2"/>
  <c r="I50" i="2"/>
  <c r="H50" i="2"/>
  <c r="G50" i="2"/>
  <c r="F50" i="2"/>
  <c r="E50" i="2"/>
  <c r="D50" i="2"/>
  <c r="C50" i="2"/>
  <c r="B50" i="2"/>
  <c r="A50" i="2"/>
  <c r="K49" i="2"/>
  <c r="J49" i="2"/>
  <c r="I49" i="2"/>
  <c r="H49" i="2"/>
  <c r="G49" i="2"/>
  <c r="F49" i="2"/>
  <c r="E49" i="2"/>
  <c r="D49" i="2"/>
  <c r="C49" i="2"/>
  <c r="B49" i="2"/>
  <c r="A49" i="2"/>
  <c r="K48" i="2"/>
  <c r="J48" i="2"/>
  <c r="I48" i="2"/>
  <c r="H48" i="2"/>
  <c r="G48" i="2"/>
  <c r="F48" i="2"/>
  <c r="E48" i="2"/>
  <c r="D48" i="2"/>
  <c r="C48" i="2"/>
  <c r="B48" i="2"/>
  <c r="A48" i="2"/>
  <c r="K47" i="2"/>
  <c r="J47" i="2"/>
  <c r="I47" i="2"/>
  <c r="H47" i="2"/>
  <c r="G47" i="2"/>
  <c r="F47" i="2"/>
  <c r="E47" i="2"/>
  <c r="D47" i="2"/>
  <c r="C47" i="2"/>
  <c r="B47" i="2"/>
  <c r="A47" i="2"/>
  <c r="K46" i="2"/>
  <c r="J46" i="2"/>
  <c r="I46" i="2"/>
  <c r="H46" i="2"/>
  <c r="G46" i="2"/>
  <c r="F46" i="2"/>
  <c r="E46" i="2"/>
  <c r="D46" i="2"/>
  <c r="C46" i="2"/>
  <c r="B46" i="2"/>
  <c r="A46" i="2"/>
  <c r="K45" i="2"/>
  <c r="J45" i="2"/>
  <c r="I45" i="2"/>
  <c r="H45" i="2"/>
  <c r="G45" i="2"/>
  <c r="F45" i="2"/>
  <c r="E45" i="2"/>
  <c r="D45" i="2"/>
  <c r="C45" i="2"/>
  <c r="B45" i="2"/>
  <c r="A45" i="2"/>
  <c r="K44" i="2"/>
  <c r="J44" i="2"/>
  <c r="I44" i="2"/>
  <c r="H44" i="2"/>
  <c r="G44" i="2"/>
  <c r="F44" i="2"/>
  <c r="E44" i="2"/>
  <c r="D44" i="2"/>
  <c r="C44" i="2"/>
  <c r="B44" i="2"/>
  <c r="A44" i="2"/>
  <c r="K43" i="2"/>
  <c r="J43" i="2"/>
  <c r="I43" i="2"/>
  <c r="H43" i="2"/>
  <c r="G43" i="2"/>
  <c r="F43" i="2"/>
  <c r="E43" i="2"/>
  <c r="D43" i="2"/>
  <c r="C43" i="2"/>
  <c r="B43" i="2"/>
  <c r="A43" i="2"/>
  <c r="K42" i="2"/>
  <c r="J42" i="2"/>
  <c r="I42" i="2"/>
  <c r="H42" i="2"/>
  <c r="G42" i="2"/>
  <c r="F42" i="2"/>
  <c r="E42" i="2"/>
  <c r="D42" i="2"/>
  <c r="C42" i="2"/>
  <c r="B42" i="2"/>
  <c r="A42" i="2"/>
  <c r="K41" i="2"/>
  <c r="J41" i="2"/>
  <c r="I41" i="2"/>
  <c r="H41" i="2"/>
  <c r="G41" i="2"/>
  <c r="F41" i="2"/>
  <c r="E41" i="2"/>
  <c r="D41" i="2"/>
  <c r="C41" i="2"/>
  <c r="B41" i="2"/>
  <c r="A41" i="2"/>
  <c r="K40" i="2"/>
  <c r="J40" i="2"/>
  <c r="I40" i="2"/>
  <c r="H40" i="2"/>
  <c r="G40" i="2"/>
  <c r="F40" i="2"/>
  <c r="E40" i="2"/>
  <c r="D40" i="2"/>
  <c r="C40" i="2"/>
  <c r="B40" i="2"/>
  <c r="A40" i="2"/>
  <c r="K39" i="2"/>
  <c r="J39" i="2"/>
  <c r="I39" i="2"/>
  <c r="H39" i="2"/>
  <c r="G39" i="2"/>
  <c r="F39" i="2"/>
  <c r="E39" i="2"/>
  <c r="D39" i="2"/>
  <c r="C39" i="2"/>
  <c r="B39" i="2"/>
  <c r="A39" i="2"/>
  <c r="K38" i="2"/>
  <c r="J38" i="2"/>
  <c r="I38" i="2"/>
  <c r="H38" i="2"/>
  <c r="G38" i="2"/>
  <c r="F38" i="2"/>
  <c r="E38" i="2"/>
  <c r="D38" i="2"/>
  <c r="C38" i="2"/>
  <c r="B38" i="2"/>
  <c r="A38" i="2"/>
  <c r="K37" i="2"/>
  <c r="J37" i="2"/>
  <c r="I37" i="2"/>
  <c r="H37" i="2"/>
  <c r="G37" i="2"/>
  <c r="F37" i="2"/>
  <c r="E37" i="2"/>
  <c r="D37" i="2"/>
  <c r="C37" i="2"/>
  <c r="B37" i="2"/>
  <c r="A37" i="2"/>
  <c r="K36" i="2"/>
  <c r="J36" i="2"/>
  <c r="I36" i="2"/>
  <c r="H36" i="2"/>
  <c r="G36" i="2"/>
  <c r="F36" i="2"/>
  <c r="E36" i="2"/>
  <c r="D36" i="2"/>
  <c r="C36" i="2"/>
  <c r="B36" i="2"/>
  <c r="A36" i="2"/>
  <c r="K35" i="2"/>
  <c r="J35" i="2"/>
  <c r="I35" i="2"/>
  <c r="H35" i="2"/>
  <c r="G35" i="2"/>
  <c r="F35" i="2"/>
  <c r="E35" i="2"/>
  <c r="D35" i="2"/>
  <c r="C35" i="2"/>
  <c r="B35" i="2"/>
  <c r="A35" i="2"/>
  <c r="K34" i="2"/>
  <c r="J34" i="2"/>
  <c r="I34" i="2"/>
  <c r="H34" i="2"/>
  <c r="G34" i="2"/>
  <c r="F34" i="2"/>
  <c r="E34" i="2"/>
  <c r="D34" i="2"/>
  <c r="C34" i="2"/>
  <c r="B34" i="2"/>
  <c r="A34" i="2"/>
  <c r="K33" i="2"/>
  <c r="J33" i="2"/>
  <c r="I33" i="2"/>
  <c r="H33" i="2"/>
  <c r="G33" i="2"/>
  <c r="F33" i="2"/>
  <c r="E33" i="2"/>
  <c r="D33" i="2"/>
  <c r="C33" i="2"/>
  <c r="B33" i="2"/>
  <c r="A33" i="2"/>
  <c r="K32" i="2"/>
  <c r="J32" i="2"/>
  <c r="I32" i="2"/>
  <c r="H32" i="2"/>
  <c r="G32" i="2"/>
  <c r="F32" i="2"/>
  <c r="E32" i="2"/>
  <c r="D32" i="2"/>
  <c r="C32" i="2"/>
  <c r="B32" i="2"/>
  <c r="A32" i="2"/>
  <c r="K31" i="2"/>
  <c r="J31" i="2"/>
  <c r="I31" i="2"/>
  <c r="H31" i="2"/>
  <c r="G31" i="2"/>
  <c r="F31" i="2"/>
  <c r="E31" i="2"/>
  <c r="D31" i="2"/>
  <c r="C31" i="2"/>
  <c r="B31" i="2"/>
  <c r="A31" i="2"/>
  <c r="K30" i="2"/>
  <c r="J30" i="2"/>
  <c r="I30" i="2"/>
  <c r="H30" i="2"/>
  <c r="G30" i="2"/>
  <c r="F30" i="2"/>
  <c r="E30" i="2"/>
  <c r="D30" i="2"/>
  <c r="C30" i="2"/>
  <c r="B30" i="2"/>
  <c r="A30" i="2"/>
  <c r="K29" i="2"/>
  <c r="J29" i="2"/>
  <c r="I29" i="2"/>
  <c r="H29" i="2"/>
  <c r="G29" i="2"/>
  <c r="F29" i="2"/>
  <c r="E29" i="2"/>
  <c r="D29" i="2"/>
  <c r="C29" i="2"/>
  <c r="B29" i="2"/>
  <c r="A29" i="2"/>
  <c r="K28" i="2"/>
  <c r="J28" i="2"/>
  <c r="I28" i="2"/>
  <c r="H28" i="2"/>
  <c r="G28" i="2"/>
  <c r="F28" i="2"/>
  <c r="E28" i="2"/>
  <c r="D28" i="2"/>
  <c r="C28" i="2"/>
  <c r="B28" i="2"/>
  <c r="A28" i="2"/>
  <c r="K27" i="2"/>
  <c r="J27" i="2"/>
  <c r="I27" i="2"/>
  <c r="H27" i="2"/>
  <c r="G27" i="2"/>
  <c r="F27" i="2"/>
  <c r="E27" i="2"/>
  <c r="D27" i="2"/>
  <c r="C27" i="2"/>
  <c r="B27" i="2"/>
  <c r="A27" i="2"/>
  <c r="K26" i="2"/>
  <c r="J26" i="2"/>
  <c r="I26" i="2"/>
  <c r="H26" i="2"/>
  <c r="G26" i="2"/>
  <c r="F26" i="2"/>
  <c r="E26" i="2"/>
  <c r="D26" i="2"/>
  <c r="C26" i="2"/>
  <c r="B26" i="2"/>
  <c r="A26" i="2"/>
  <c r="K25" i="2"/>
  <c r="J25" i="2"/>
  <c r="I25" i="2"/>
  <c r="H25" i="2"/>
  <c r="G25" i="2"/>
  <c r="F25" i="2"/>
  <c r="E25" i="2"/>
  <c r="D25" i="2"/>
  <c r="C25" i="2"/>
  <c r="B25" i="2"/>
  <c r="A25" i="2"/>
  <c r="K24" i="2"/>
  <c r="J24" i="2"/>
  <c r="I24" i="2"/>
  <c r="H24" i="2"/>
  <c r="G24" i="2"/>
  <c r="F24" i="2"/>
  <c r="E24" i="2"/>
  <c r="D24" i="2"/>
  <c r="C24" i="2"/>
  <c r="B24" i="2"/>
  <c r="A24" i="2"/>
  <c r="K23" i="2"/>
  <c r="J23" i="2"/>
  <c r="I23" i="2"/>
  <c r="H23" i="2"/>
  <c r="G23" i="2"/>
  <c r="F23" i="2"/>
  <c r="E23" i="2"/>
  <c r="D23" i="2"/>
  <c r="C23" i="2"/>
  <c r="B23" i="2"/>
  <c r="A23" i="2"/>
  <c r="K22" i="2"/>
  <c r="J22" i="2"/>
  <c r="I22" i="2"/>
  <c r="H22" i="2"/>
  <c r="G22" i="2"/>
  <c r="F22" i="2"/>
  <c r="E22" i="2"/>
  <c r="D22" i="2"/>
  <c r="C22" i="2"/>
  <c r="B22" i="2"/>
  <c r="A22" i="2"/>
  <c r="K21" i="2"/>
  <c r="J21" i="2"/>
  <c r="I21" i="2"/>
  <c r="H21" i="2"/>
  <c r="G21" i="2"/>
  <c r="F21" i="2"/>
  <c r="E21" i="2"/>
  <c r="D21" i="2"/>
  <c r="C21" i="2"/>
  <c r="B21" i="2"/>
  <c r="A21" i="2"/>
  <c r="K20" i="2"/>
  <c r="J20" i="2"/>
  <c r="I20" i="2"/>
  <c r="H20" i="2"/>
  <c r="G20" i="2"/>
  <c r="F20" i="2"/>
  <c r="E20" i="2"/>
  <c r="D20" i="2"/>
  <c r="C20" i="2"/>
  <c r="B20" i="2"/>
  <c r="A20" i="2"/>
  <c r="K19" i="2"/>
  <c r="J19" i="2"/>
  <c r="I19" i="2"/>
  <c r="H19" i="2"/>
  <c r="G19" i="2"/>
  <c r="F19" i="2"/>
  <c r="E19" i="2"/>
  <c r="D19" i="2"/>
  <c r="C19" i="2"/>
  <c r="B19" i="2"/>
  <c r="A19" i="2"/>
  <c r="K18" i="2"/>
  <c r="J18" i="2"/>
  <c r="I18" i="2"/>
  <c r="H18" i="2"/>
  <c r="G18" i="2"/>
  <c r="F18" i="2"/>
  <c r="E18" i="2"/>
  <c r="D18" i="2"/>
  <c r="C18" i="2"/>
  <c r="B18" i="2"/>
  <c r="A18" i="2"/>
  <c r="K17" i="2"/>
  <c r="J17" i="2"/>
  <c r="I17" i="2"/>
  <c r="H17" i="2"/>
  <c r="G17" i="2"/>
  <c r="F17" i="2"/>
  <c r="E17" i="2"/>
  <c r="D17" i="2"/>
  <c r="C17" i="2"/>
  <c r="B17" i="2"/>
  <c r="A17" i="2"/>
  <c r="K16" i="2"/>
  <c r="J16" i="2"/>
  <c r="I16" i="2"/>
  <c r="H16" i="2"/>
  <c r="G16" i="2"/>
  <c r="F16" i="2"/>
  <c r="E16" i="2"/>
  <c r="D16" i="2"/>
  <c r="C16" i="2"/>
  <c r="B16" i="2"/>
  <c r="A16" i="2"/>
  <c r="K15" i="2"/>
  <c r="J15" i="2"/>
  <c r="I15" i="2"/>
  <c r="H15" i="2"/>
  <c r="G15" i="2"/>
  <c r="F15" i="2"/>
  <c r="E15" i="2"/>
  <c r="D15" i="2"/>
  <c r="C15" i="2"/>
  <c r="B15" i="2"/>
  <c r="A15" i="2"/>
  <c r="K14" i="2"/>
  <c r="J14" i="2"/>
  <c r="I14" i="2"/>
  <c r="H14" i="2"/>
  <c r="G14" i="2"/>
  <c r="F14" i="2"/>
  <c r="E14" i="2"/>
  <c r="D14" i="2"/>
  <c r="C14" i="2"/>
  <c r="B14" i="2"/>
  <c r="A14" i="2"/>
  <c r="K13" i="2"/>
  <c r="J13" i="2"/>
  <c r="I13" i="2"/>
  <c r="H13" i="2"/>
  <c r="G13" i="2"/>
  <c r="F13" i="2"/>
  <c r="E13" i="2"/>
  <c r="D13" i="2"/>
  <c r="C13" i="2"/>
  <c r="B13" i="2"/>
  <c r="A13" i="2"/>
  <c r="K12" i="2"/>
  <c r="J12" i="2"/>
  <c r="I12" i="2"/>
  <c r="H12" i="2"/>
  <c r="G12" i="2"/>
  <c r="F12" i="2"/>
  <c r="E12" i="2"/>
  <c r="D12" i="2"/>
  <c r="C12" i="2"/>
  <c r="B12" i="2"/>
  <c r="A12" i="2"/>
  <c r="K11" i="2"/>
  <c r="J11" i="2"/>
  <c r="I11" i="2"/>
  <c r="H11" i="2"/>
  <c r="G11" i="2"/>
  <c r="F11" i="2"/>
  <c r="E11" i="2"/>
  <c r="D11" i="2"/>
  <c r="C11" i="2"/>
  <c r="B11" i="2"/>
  <c r="A11" i="2"/>
  <c r="K10" i="2"/>
  <c r="J10" i="2"/>
  <c r="I10" i="2"/>
  <c r="H10" i="2"/>
  <c r="G10" i="2"/>
  <c r="F10" i="2"/>
  <c r="E10" i="2"/>
  <c r="D10" i="2"/>
  <c r="C10" i="2"/>
  <c r="B10" i="2"/>
  <c r="A10" i="2"/>
  <c r="K9" i="2"/>
  <c r="J9" i="2"/>
  <c r="I9" i="2"/>
  <c r="H9" i="2"/>
  <c r="G9" i="2"/>
  <c r="F9" i="2"/>
  <c r="E9" i="2"/>
  <c r="D9" i="2"/>
  <c r="C9" i="2"/>
  <c r="B9" i="2"/>
  <c r="A9" i="2"/>
  <c r="K8" i="2"/>
  <c r="J8" i="2"/>
  <c r="I8" i="2"/>
  <c r="H8" i="2"/>
  <c r="G8" i="2"/>
  <c r="F8" i="2"/>
  <c r="E8" i="2"/>
  <c r="D8" i="2"/>
  <c r="C8" i="2"/>
  <c r="B8" i="2"/>
  <c r="A8" i="2"/>
  <c r="K7" i="2"/>
  <c r="J7" i="2"/>
  <c r="I7" i="2"/>
  <c r="H7" i="2"/>
  <c r="G7" i="2"/>
  <c r="F7" i="2"/>
  <c r="E7" i="2"/>
  <c r="D7" i="2"/>
  <c r="C7" i="2"/>
  <c r="B7" i="2"/>
  <c r="A7" i="2"/>
  <c r="K6" i="2"/>
  <c r="J6" i="2"/>
  <c r="I6" i="2"/>
  <c r="H6" i="2"/>
  <c r="G6" i="2"/>
  <c r="F6" i="2"/>
  <c r="E6" i="2"/>
  <c r="D6" i="2"/>
  <c r="C6" i="2"/>
  <c r="B6" i="2"/>
  <c r="A6" i="2"/>
  <c r="K5" i="2"/>
  <c r="J5" i="2"/>
  <c r="I5" i="2"/>
  <c r="H5" i="2"/>
  <c r="G5" i="2"/>
  <c r="F5" i="2"/>
  <c r="E5" i="2"/>
  <c r="D5" i="2"/>
  <c r="C5" i="2"/>
  <c r="B5" i="2"/>
  <c r="A5" i="2"/>
  <c r="K4" i="2"/>
  <c r="J4" i="2"/>
  <c r="I4" i="2"/>
  <c r="H4" i="2"/>
  <c r="G4" i="2"/>
  <c r="F4" i="2"/>
  <c r="E4" i="2"/>
  <c r="D4" i="2"/>
  <c r="C4" i="2"/>
  <c r="B4" i="2"/>
  <c r="A4" i="2"/>
  <c r="K3" i="2"/>
  <c r="J3" i="2"/>
  <c r="I3" i="2"/>
  <c r="H3" i="2"/>
  <c r="G3" i="2"/>
  <c r="F3" i="2"/>
  <c r="E3" i="2"/>
  <c r="D3" i="2"/>
  <c r="C3" i="2"/>
  <c r="B3" i="2"/>
  <c r="A3" i="2"/>
  <c r="K2" i="2"/>
  <c r="J2" i="2"/>
  <c r="I2" i="2"/>
  <c r="H2" i="2"/>
  <c r="G2" i="2"/>
  <c r="F2" i="2"/>
  <c r="E2" i="2"/>
  <c r="D2" i="2"/>
  <c r="C2" i="2"/>
  <c r="B2" i="2"/>
  <c r="A2" i="2"/>
</calcChain>
</file>

<file path=xl/sharedStrings.xml><?xml version="1.0" encoding="utf-8"?>
<sst xmlns="http://schemas.openxmlformats.org/spreadsheetml/2006/main" count="898" uniqueCount="632">
  <si>
    <t>Rang</t>
  </si>
  <si>
    <t>Dossard</t>
  </si>
  <si>
    <t>Nom</t>
  </si>
  <si>
    <t>Prénom</t>
  </si>
  <si>
    <t>Cat.</t>
  </si>
  <si>
    <t>Rang cat</t>
  </si>
  <si>
    <t>Temps final</t>
  </si>
  <si>
    <t>Temps nat</t>
  </si>
  <si>
    <t>Temps vélo</t>
  </si>
  <si>
    <t>Temps course</t>
  </si>
  <si>
    <t>Temps T1+T2</t>
  </si>
  <si>
    <t>Rang nat</t>
  </si>
  <si>
    <t>Rang vélo</t>
  </si>
  <si>
    <t>Rang cap</t>
  </si>
  <si>
    <t>Rang T1/2</t>
  </si>
  <si>
    <t>222</t>
  </si>
  <si>
    <t>REGNIER</t>
  </si>
  <si>
    <t>BENOIT</t>
  </si>
  <si>
    <t>SH4</t>
  </si>
  <si>
    <t>183</t>
  </si>
  <si>
    <t>VACHER</t>
  </si>
  <si>
    <t>NICOLAS</t>
  </si>
  <si>
    <t>MH1</t>
  </si>
  <si>
    <t>114</t>
  </si>
  <si>
    <t>VERSAEVEL</t>
  </si>
  <si>
    <t>WILLIAM</t>
  </si>
  <si>
    <t>MH2</t>
  </si>
  <si>
    <t>205</t>
  </si>
  <si>
    <t>ACHITE</t>
  </si>
  <si>
    <t>SÉLIM</t>
  </si>
  <si>
    <t>SH3</t>
  </si>
  <si>
    <t>184</t>
  </si>
  <si>
    <t>VOISIN</t>
  </si>
  <si>
    <t>JEAN-SÉBASTIEN</t>
  </si>
  <si>
    <t>174</t>
  </si>
  <si>
    <t>RODIER</t>
  </si>
  <si>
    <t>PIERRE</t>
  </si>
  <si>
    <t>SH2</t>
  </si>
  <si>
    <t>223</t>
  </si>
  <si>
    <t>FROMENTEAU</t>
  </si>
  <si>
    <t>MATTHIEU</t>
  </si>
  <si>
    <t>156</t>
  </si>
  <si>
    <t>PAGOAGA</t>
  </si>
  <si>
    <t>IKER</t>
  </si>
  <si>
    <t>224</t>
  </si>
  <si>
    <t>PELLERIN</t>
  </si>
  <si>
    <t>PAUL</t>
  </si>
  <si>
    <t>220</t>
  </si>
  <si>
    <t>KERGOAT</t>
  </si>
  <si>
    <t>FRANCOIS</t>
  </si>
  <si>
    <t>221</t>
  </si>
  <si>
    <t>GRAZIANI</t>
  </si>
  <si>
    <t>LEO</t>
  </si>
  <si>
    <t>116</t>
  </si>
  <si>
    <t>MORET</t>
  </si>
  <si>
    <t>QUENTIN</t>
  </si>
  <si>
    <t>199</t>
  </si>
  <si>
    <t>DECANTER</t>
  </si>
  <si>
    <t>MATTHIAS</t>
  </si>
  <si>
    <t>127</t>
  </si>
  <si>
    <t>ROSANVALLON</t>
  </si>
  <si>
    <t>JÉRÉMIE</t>
  </si>
  <si>
    <t>187</t>
  </si>
  <si>
    <t>BULMAN</t>
  </si>
  <si>
    <t>TIMOTHY</t>
  </si>
  <si>
    <t>194</t>
  </si>
  <si>
    <t>GOUBET</t>
  </si>
  <si>
    <t>ARNAUD</t>
  </si>
  <si>
    <t>226</t>
  </si>
  <si>
    <t>TELLIER</t>
  </si>
  <si>
    <t>MAXIME</t>
  </si>
  <si>
    <t>129</t>
  </si>
  <si>
    <t>PUISAIS HEE</t>
  </si>
  <si>
    <t>LUC</t>
  </si>
  <si>
    <t>200</t>
  </si>
  <si>
    <t>BOYER</t>
  </si>
  <si>
    <t>169</t>
  </si>
  <si>
    <t>CAYROU</t>
  </si>
  <si>
    <t>BENJAMIN</t>
  </si>
  <si>
    <t>201</t>
  </si>
  <si>
    <t>MERLEY</t>
  </si>
  <si>
    <t>MAXENCE</t>
  </si>
  <si>
    <t>167</t>
  </si>
  <si>
    <t>DELOUX</t>
  </si>
  <si>
    <t>ROBIN</t>
  </si>
  <si>
    <t>185</t>
  </si>
  <si>
    <t>LEMARECHAL</t>
  </si>
  <si>
    <t>ERIC</t>
  </si>
  <si>
    <t>186</t>
  </si>
  <si>
    <t>MARTIN</t>
  </si>
  <si>
    <t>182</t>
  </si>
  <si>
    <t>ELISA</t>
  </si>
  <si>
    <t>ANTOINE</t>
  </si>
  <si>
    <t>171</t>
  </si>
  <si>
    <t>ONALI</t>
  </si>
  <si>
    <t>GEORGES LUCIEN</t>
  </si>
  <si>
    <t>MH4</t>
  </si>
  <si>
    <t>197</t>
  </si>
  <si>
    <t>ARMAROLI</t>
  </si>
  <si>
    <t>ENZO</t>
  </si>
  <si>
    <t>192</t>
  </si>
  <si>
    <t>CHERIF</t>
  </si>
  <si>
    <t>FARAH</t>
  </si>
  <si>
    <t>SF4</t>
  </si>
  <si>
    <t>74</t>
  </si>
  <si>
    <t>REVOLLON SCHEIDLER</t>
  </si>
  <si>
    <t>ROMAIN</t>
  </si>
  <si>
    <t>202</t>
  </si>
  <si>
    <t>BOURCIER</t>
  </si>
  <si>
    <t>FLORIAN</t>
  </si>
  <si>
    <t>198</t>
  </si>
  <si>
    <t>HUGUES</t>
  </si>
  <si>
    <t>BRUNO</t>
  </si>
  <si>
    <t>133</t>
  </si>
  <si>
    <t>BRUNET</t>
  </si>
  <si>
    <t>FRANCK</t>
  </si>
  <si>
    <t>MH3</t>
  </si>
  <si>
    <t>206</t>
  </si>
  <si>
    <t>PIPITONE FEDERICO</t>
  </si>
  <si>
    <t>ALESSANDRA</t>
  </si>
  <si>
    <t>225</t>
  </si>
  <si>
    <t>LANDRY</t>
  </si>
  <si>
    <t>GUILLAUME</t>
  </si>
  <si>
    <t>139</t>
  </si>
  <si>
    <t>HADJI-LAZARO</t>
  </si>
  <si>
    <t>153</t>
  </si>
  <si>
    <t>DAL</t>
  </si>
  <si>
    <t>CLAIRE</t>
  </si>
  <si>
    <t>SF3</t>
  </si>
  <si>
    <t>97</t>
  </si>
  <si>
    <t>MARLER</t>
  </si>
  <si>
    <t>CODY</t>
  </si>
  <si>
    <t>144</t>
  </si>
  <si>
    <t>HEROGUEZ</t>
  </si>
  <si>
    <t>154</t>
  </si>
  <si>
    <t>GONZALEZ DE CABO</t>
  </si>
  <si>
    <t>DAVID</t>
  </si>
  <si>
    <t>131</t>
  </si>
  <si>
    <t>DAVOUST</t>
  </si>
  <si>
    <t>FRÉDÉRIC</t>
  </si>
  <si>
    <t>204</t>
  </si>
  <si>
    <t>HENRY</t>
  </si>
  <si>
    <t>TIPHAINE</t>
  </si>
  <si>
    <t>MF1</t>
  </si>
  <si>
    <t>107</t>
  </si>
  <si>
    <t>MICLET</t>
  </si>
  <si>
    <t>EMERIC</t>
  </si>
  <si>
    <t>152</t>
  </si>
  <si>
    <t>PIVETEAU</t>
  </si>
  <si>
    <t>COLINE</t>
  </si>
  <si>
    <t>90</t>
  </si>
  <si>
    <t>NYEKI</t>
  </si>
  <si>
    <t>SÉBASTIEN</t>
  </si>
  <si>
    <t>160</t>
  </si>
  <si>
    <t>FAIVRE</t>
  </si>
  <si>
    <t>LIONEL</t>
  </si>
  <si>
    <t>229</t>
  </si>
  <si>
    <t>FARINOLE</t>
  </si>
  <si>
    <t>BENOÎT</t>
  </si>
  <si>
    <t>94</t>
  </si>
  <si>
    <t>SIGNEYROLE</t>
  </si>
  <si>
    <t>ALICE</t>
  </si>
  <si>
    <t>73</t>
  </si>
  <si>
    <t>DEFFONTAINES</t>
  </si>
  <si>
    <t>GWENVEL</t>
  </si>
  <si>
    <t>209</t>
  </si>
  <si>
    <t>MILLOT</t>
  </si>
  <si>
    <t>ADELINE</t>
  </si>
  <si>
    <t>MF2</t>
  </si>
  <si>
    <t>146</t>
  </si>
  <si>
    <t>POUTOUT</t>
  </si>
  <si>
    <t>130</t>
  </si>
  <si>
    <t>MILLERET</t>
  </si>
  <si>
    <t>112</t>
  </si>
  <si>
    <t>VAUCHER</t>
  </si>
  <si>
    <t>120</t>
  </si>
  <si>
    <t>SOLOMIAC</t>
  </si>
  <si>
    <t>BORIS</t>
  </si>
  <si>
    <t>136</t>
  </si>
  <si>
    <t>MOYSAN</t>
  </si>
  <si>
    <t>PERRINE</t>
  </si>
  <si>
    <t>75</t>
  </si>
  <si>
    <t>EL AZDI</t>
  </si>
  <si>
    <t>ABDELKRIM</t>
  </si>
  <si>
    <t>193</t>
  </si>
  <si>
    <t>CHARLOTTE</t>
  </si>
  <si>
    <t>99</t>
  </si>
  <si>
    <t>MAZIERE</t>
  </si>
  <si>
    <t>CHRISTOPHE</t>
  </si>
  <si>
    <t>106</t>
  </si>
  <si>
    <t>GAUTHE</t>
  </si>
  <si>
    <t>FABIEN</t>
  </si>
  <si>
    <t>14</t>
  </si>
  <si>
    <t>CHICAUD</t>
  </si>
  <si>
    <t>168</t>
  </si>
  <si>
    <t>SEVERAC</t>
  </si>
  <si>
    <t>MARC</t>
  </si>
  <si>
    <t>176</t>
  </si>
  <si>
    <t>FLORIANE</t>
  </si>
  <si>
    <t>SF2</t>
  </si>
  <si>
    <t>173</t>
  </si>
  <si>
    <t>ROUSSEAU MALABRY</t>
  </si>
  <si>
    <t>THOMAS</t>
  </si>
  <si>
    <t>64</t>
  </si>
  <si>
    <t>PERETTI</t>
  </si>
  <si>
    <t>157</t>
  </si>
  <si>
    <t>AZEMA</t>
  </si>
  <si>
    <t>BAPTISTE</t>
  </si>
  <si>
    <t>76</t>
  </si>
  <si>
    <t>BÜSCHER</t>
  </si>
  <si>
    <t>JAN</t>
  </si>
  <si>
    <t>138</t>
  </si>
  <si>
    <t>RONCERAY</t>
  </si>
  <si>
    <t>JEAN-RENE</t>
  </si>
  <si>
    <t>11</t>
  </si>
  <si>
    <t>BERTHAULT</t>
  </si>
  <si>
    <t>CAMILLE</t>
  </si>
  <si>
    <t>95</t>
  </si>
  <si>
    <t>BOLTENHAGEN</t>
  </si>
  <si>
    <t>MATHILDE</t>
  </si>
  <si>
    <t>188</t>
  </si>
  <si>
    <t>GRENIER</t>
  </si>
  <si>
    <t>RÉMY</t>
  </si>
  <si>
    <t>102</t>
  </si>
  <si>
    <t>DIAKHO</t>
  </si>
  <si>
    <t>ABDARHAMANE</t>
  </si>
  <si>
    <t>103</t>
  </si>
  <si>
    <t>CHARMAIL</t>
  </si>
  <si>
    <t>208</t>
  </si>
  <si>
    <t>AZADIAN</t>
  </si>
  <si>
    <t>PHILIPPINE</t>
  </si>
  <si>
    <t>135</t>
  </si>
  <si>
    <t>ANSELMI</t>
  </si>
  <si>
    <t>AURELIEN</t>
  </si>
  <si>
    <t>104</t>
  </si>
  <si>
    <t>VAMPARYS</t>
  </si>
  <si>
    <t>LYDIE</t>
  </si>
  <si>
    <t>10</t>
  </si>
  <si>
    <t>TISNE</t>
  </si>
  <si>
    <t>MAUD</t>
  </si>
  <si>
    <t>113</t>
  </si>
  <si>
    <t>GAUER</t>
  </si>
  <si>
    <t>MATHIEU</t>
  </si>
  <si>
    <t>172</t>
  </si>
  <si>
    <t>PARES</t>
  </si>
  <si>
    <t>207</t>
  </si>
  <si>
    <t>CARAMELO</t>
  </si>
  <si>
    <t>MARIOLA</t>
  </si>
  <si>
    <t>175</t>
  </si>
  <si>
    <t>GAUTIER</t>
  </si>
  <si>
    <t>15</t>
  </si>
  <si>
    <t>JACOB</t>
  </si>
  <si>
    <t>RENAUD</t>
  </si>
  <si>
    <t>134</t>
  </si>
  <si>
    <t>THIERRY</t>
  </si>
  <si>
    <t>GABRIEL</t>
  </si>
  <si>
    <t>141</t>
  </si>
  <si>
    <t>PRADIER</t>
  </si>
  <si>
    <t>VINCENT</t>
  </si>
  <si>
    <t>117</t>
  </si>
  <si>
    <t>BLIN</t>
  </si>
  <si>
    <t>LAETITIA</t>
  </si>
  <si>
    <t>69</t>
  </si>
  <si>
    <t>ALEXANDRE</t>
  </si>
  <si>
    <t>JULIETTE</t>
  </si>
  <si>
    <t>77</t>
  </si>
  <si>
    <t>RAFFRAY</t>
  </si>
  <si>
    <t>SYLVAIN</t>
  </si>
  <si>
    <t>108</t>
  </si>
  <si>
    <t>GAUTHIER</t>
  </si>
  <si>
    <t>149</t>
  </si>
  <si>
    <t>BESNARD</t>
  </si>
  <si>
    <t>98</t>
  </si>
  <si>
    <t>LARNICOL</t>
  </si>
  <si>
    <t>OLIVIER</t>
  </si>
  <si>
    <t>196</t>
  </si>
  <si>
    <t>PICHON</t>
  </si>
  <si>
    <t>140</t>
  </si>
  <si>
    <t>LUNION</t>
  </si>
  <si>
    <t>195</t>
  </si>
  <si>
    <t>BESSON</t>
  </si>
  <si>
    <t>118</t>
  </si>
  <si>
    <t>HUBERTY</t>
  </si>
  <si>
    <t>159</t>
  </si>
  <si>
    <t>FALA</t>
  </si>
  <si>
    <t>LUDWIG</t>
  </si>
  <si>
    <t>18</t>
  </si>
  <si>
    <t>DELMAS</t>
  </si>
  <si>
    <t>JEAN ANTOINE</t>
  </si>
  <si>
    <t>178</t>
  </si>
  <si>
    <t>LAJOIX</t>
  </si>
  <si>
    <t>VALERIE</t>
  </si>
  <si>
    <t>MF5</t>
  </si>
  <si>
    <t>227</t>
  </si>
  <si>
    <t>CURVERS-LE QUILLEC</t>
  </si>
  <si>
    <t>THÉO</t>
  </si>
  <si>
    <t>60</t>
  </si>
  <si>
    <t>BARBEAU</t>
  </si>
  <si>
    <t>REMY</t>
  </si>
  <si>
    <t>164</t>
  </si>
  <si>
    <t>HEATH</t>
  </si>
  <si>
    <t>17</t>
  </si>
  <si>
    <t>HASSAN</t>
  </si>
  <si>
    <t>158</t>
  </si>
  <si>
    <t>COMBIER</t>
  </si>
  <si>
    <t>MICHAEL</t>
  </si>
  <si>
    <t>179</t>
  </si>
  <si>
    <t>DRENTIN</t>
  </si>
  <si>
    <t>MELISSA</t>
  </si>
  <si>
    <t>101</t>
  </si>
  <si>
    <t>MARTY</t>
  </si>
  <si>
    <t>MH5</t>
  </si>
  <si>
    <t>228</t>
  </si>
  <si>
    <t>REY</t>
  </si>
  <si>
    <t>CLÉMENCE</t>
  </si>
  <si>
    <t>203</t>
  </si>
  <si>
    <t>GAELLE</t>
  </si>
  <si>
    <t>92</t>
  </si>
  <si>
    <t>LOMBARD</t>
  </si>
  <si>
    <t>DILAN</t>
  </si>
  <si>
    <t>177</t>
  </si>
  <si>
    <t>BENISTY</t>
  </si>
  <si>
    <t>YONATHAN</t>
  </si>
  <si>
    <t>55</t>
  </si>
  <si>
    <t>BUREAU</t>
  </si>
  <si>
    <t>ALBAN</t>
  </si>
  <si>
    <t>163</t>
  </si>
  <si>
    <t>ANDRADE PEREIRA</t>
  </si>
  <si>
    <t>RENAN</t>
  </si>
  <si>
    <t>115</t>
  </si>
  <si>
    <t>GAVINI</t>
  </si>
  <si>
    <t>JEAN</t>
  </si>
  <si>
    <t>93</t>
  </si>
  <si>
    <t>BRETONNIERE</t>
  </si>
  <si>
    <t>ANNE</t>
  </si>
  <si>
    <t>53</t>
  </si>
  <si>
    <t>MALHERBAUD</t>
  </si>
  <si>
    <t>105</t>
  </si>
  <si>
    <t>FUCHS</t>
  </si>
  <si>
    <t>PATRICK</t>
  </si>
  <si>
    <t>66</t>
  </si>
  <si>
    <t>KEROMEN</t>
  </si>
  <si>
    <t>GAËLA</t>
  </si>
  <si>
    <t>150</t>
  </si>
  <si>
    <t>CASTERAN</t>
  </si>
  <si>
    <t>180</t>
  </si>
  <si>
    <t>HUMPHRIES</t>
  </si>
  <si>
    <t>JENNA</t>
  </si>
  <si>
    <t>143</t>
  </si>
  <si>
    <t>VRIJBURG</t>
  </si>
  <si>
    <t>ELISE</t>
  </si>
  <si>
    <t>189</t>
  </si>
  <si>
    <t>GUILLEUX</t>
  </si>
  <si>
    <t>SF1</t>
  </si>
  <si>
    <t>124</t>
  </si>
  <si>
    <t>CHEYLUS</t>
  </si>
  <si>
    <t>119</t>
  </si>
  <si>
    <t>CRÉMON</t>
  </si>
  <si>
    <t>LYSIANE</t>
  </si>
  <si>
    <t>191</t>
  </si>
  <si>
    <t>LOCATELLI</t>
  </si>
  <si>
    <t>HÉLÈNE</t>
  </si>
  <si>
    <t>65</t>
  </si>
  <si>
    <t>SATKUNANANTHAN</t>
  </si>
  <si>
    <t>SASIHARAN</t>
  </si>
  <si>
    <t>16</t>
  </si>
  <si>
    <t>FEUILLATRE</t>
  </si>
  <si>
    <t>PATRICE</t>
  </si>
  <si>
    <t>MH6</t>
  </si>
  <si>
    <t>122</t>
  </si>
  <si>
    <t>DERVAL</t>
  </si>
  <si>
    <t>CAPUCINE</t>
  </si>
  <si>
    <t>78</t>
  </si>
  <si>
    <t>NEVEU</t>
  </si>
  <si>
    <t>PHILIPPE</t>
  </si>
  <si>
    <t>109</t>
  </si>
  <si>
    <t>HAMLIN</t>
  </si>
  <si>
    <t>KARINE</t>
  </si>
  <si>
    <t>MF3</t>
  </si>
  <si>
    <t>121</t>
  </si>
  <si>
    <t>MARCHETTI</t>
  </si>
  <si>
    <t>110</t>
  </si>
  <si>
    <t>MALAK</t>
  </si>
  <si>
    <t>SANDRA</t>
  </si>
  <si>
    <t>147</t>
  </si>
  <si>
    <t>GRABELDINGER</t>
  </si>
  <si>
    <t>LOUISE</t>
  </si>
  <si>
    <t>145</t>
  </si>
  <si>
    <t>BASUEMI</t>
  </si>
  <si>
    <t>GEOFFREY</t>
  </si>
  <si>
    <t>128</t>
  </si>
  <si>
    <t>HAZARD</t>
  </si>
  <si>
    <t>96</t>
  </si>
  <si>
    <t>VOROS</t>
  </si>
  <si>
    <t>CAROLINE</t>
  </si>
  <si>
    <t>123</t>
  </si>
  <si>
    <t>DUCLOS AMEUR</t>
  </si>
  <si>
    <t>NOAM</t>
  </si>
  <si>
    <t>165</t>
  </si>
  <si>
    <t>LE HUËROU</t>
  </si>
  <si>
    <t>MORGANE</t>
  </si>
  <si>
    <t>67</t>
  </si>
  <si>
    <t>LUGBULL</t>
  </si>
  <si>
    <t>ELINA</t>
  </si>
  <si>
    <t>12</t>
  </si>
  <si>
    <t>DALLONI</t>
  </si>
  <si>
    <t>EVE</t>
  </si>
  <si>
    <t>63</t>
  </si>
  <si>
    <t>HAURET</t>
  </si>
  <si>
    <t>ETIENNE</t>
  </si>
  <si>
    <t>162</t>
  </si>
  <si>
    <t>NGUYEN-NGOC</t>
  </si>
  <si>
    <t>AUDE</t>
  </si>
  <si>
    <t>56</t>
  </si>
  <si>
    <t>BARREAU</t>
  </si>
  <si>
    <t>AXELLE</t>
  </si>
  <si>
    <t>57</t>
  </si>
  <si>
    <t>ROUAUD</t>
  </si>
  <si>
    <t>CLEMENCE</t>
  </si>
  <si>
    <t>190</t>
  </si>
  <si>
    <t>LE POËZELLER</t>
  </si>
  <si>
    <t>DIANE</t>
  </si>
  <si>
    <t>72</t>
  </si>
  <si>
    <t>PETIT</t>
  </si>
  <si>
    <t>LAURENE</t>
  </si>
  <si>
    <t>132</t>
  </si>
  <si>
    <t>MORELLI</t>
  </si>
  <si>
    <t>70</t>
  </si>
  <si>
    <t>MARINET</t>
  </si>
  <si>
    <t>DELPHINE</t>
  </si>
  <si>
    <t>MF4</t>
  </si>
  <si>
    <t>59</t>
  </si>
  <si>
    <t>PAQUEREAU</t>
  </si>
  <si>
    <t>SIMON</t>
  </si>
  <si>
    <t>68</t>
  </si>
  <si>
    <t>POSTEL-VINAY</t>
  </si>
  <si>
    <t>MARINE</t>
  </si>
  <si>
    <t>161</t>
  </si>
  <si>
    <t>TRAN</t>
  </si>
  <si>
    <t>NHA-LE</t>
  </si>
  <si>
    <t>51</t>
  </si>
  <si>
    <t>MARZEC</t>
  </si>
  <si>
    <t>MAGDA</t>
  </si>
  <si>
    <t>19</t>
  </si>
  <si>
    <t>KIRSCH</t>
  </si>
  <si>
    <t>STÉPHANE</t>
  </si>
  <si>
    <t>125</t>
  </si>
  <si>
    <t>SURNINA</t>
  </si>
  <si>
    <t>VERONIKA</t>
  </si>
  <si>
    <t>126</t>
  </si>
  <si>
    <t>MONTEIRO CHIAPINOTTO</t>
  </si>
  <si>
    <t>ARTHUR</t>
  </si>
  <si>
    <t>137</t>
  </si>
  <si>
    <t>GÈZE PALLARES</t>
  </si>
  <si>
    <t>71</t>
  </si>
  <si>
    <t>MARTINEZ</t>
  </si>
  <si>
    <t>151</t>
  </si>
  <si>
    <t>GREGOIRE</t>
  </si>
  <si>
    <t>CHRISTELLE</t>
  </si>
  <si>
    <t>13</t>
  </si>
  <si>
    <t>TEBIB</t>
  </si>
  <si>
    <t>SABRINA</t>
  </si>
  <si>
    <t>111</t>
  </si>
  <si>
    <t>AMELIE</t>
  </si>
  <si>
    <t>54</t>
  </si>
  <si>
    <t>URSULET</t>
  </si>
  <si>
    <t>N° Licence</t>
  </si>
  <si>
    <t>Club</t>
  </si>
  <si>
    <t>A10986C00131086MV2FRA</t>
  </si>
  <si>
    <t>ATHLETIC COEUR DE FOND</t>
  </si>
  <si>
    <t>PC0767632T0054521</t>
  </si>
  <si>
    <t>PC0763873T0054521</t>
  </si>
  <si>
    <t>PC0764686T0054521</t>
  </si>
  <si>
    <t>PC0766436T0054521</t>
  </si>
  <si>
    <t>PC0767009T0054521</t>
  </si>
  <si>
    <t>PC0765621T0054521</t>
  </si>
  <si>
    <t>PC0765364T0054521</t>
  </si>
  <si>
    <t>PC0765728T0054521</t>
  </si>
  <si>
    <t>PC0765549T0054521</t>
  </si>
  <si>
    <t>PC0762849T0054521</t>
  </si>
  <si>
    <t>PC0762437T0054521</t>
  </si>
  <si>
    <t>PC0764006T0054521</t>
  </si>
  <si>
    <t>PC0766074T0054521</t>
  </si>
  <si>
    <t>PC0762639T0054521</t>
  </si>
  <si>
    <t>PC0766398T0054521</t>
  </si>
  <si>
    <t>PC0765598T0054521</t>
  </si>
  <si>
    <t>PC0762858T0054521</t>
  </si>
  <si>
    <t>PC0767608T0054521</t>
  </si>
  <si>
    <t>PC0821126T0054521</t>
  </si>
  <si>
    <t>PC0765732T0054521</t>
  </si>
  <si>
    <t>PC0764033T0054521</t>
  </si>
  <si>
    <t>PC0763564T0054521</t>
  </si>
  <si>
    <t>PC0764275T0054521</t>
  </si>
  <si>
    <t>PC0762492T0054521</t>
  </si>
  <si>
    <t>PC0762581T0054521</t>
  </si>
  <si>
    <t>PC0763490T0054521</t>
  </si>
  <si>
    <t>PC0767459T0054521</t>
  </si>
  <si>
    <t>PC0764413T0054521</t>
  </si>
  <si>
    <t>PC0764368T0054521</t>
  </si>
  <si>
    <t>PC0762817T0054521</t>
  </si>
  <si>
    <t>PC0762837T0054521</t>
  </si>
  <si>
    <t>PC0763110T0054521</t>
  </si>
  <si>
    <t>PC0762836T0054521</t>
  </si>
  <si>
    <t>PC0767607T0054521</t>
  </si>
  <si>
    <t>PC0763232T0054521</t>
  </si>
  <si>
    <t>PC0763775T0054521</t>
  </si>
  <si>
    <t>PC0764038T0054521</t>
  </si>
  <si>
    <t>PC0763762T0054521</t>
  </si>
  <si>
    <t>PC0764216T0054521</t>
  </si>
  <si>
    <t>PC0766145T0054521</t>
  </si>
  <si>
    <t>PC0763384T0054521</t>
  </si>
  <si>
    <t>PC0766798T0054521</t>
  </si>
  <si>
    <t>PC0765222T0054521</t>
  </si>
  <si>
    <t>PC0766115T0054521</t>
  </si>
  <si>
    <t>PC0766403T0054521</t>
  </si>
  <si>
    <t>PC0762610T0054521</t>
  </si>
  <si>
    <t>PC0805018T0054521</t>
  </si>
  <si>
    <t>PC0763744T0054521</t>
  </si>
  <si>
    <t>PC0765179T0054521</t>
  </si>
  <si>
    <t>PC0762717T0054521</t>
  </si>
  <si>
    <t>PC0763903T0054521</t>
  </si>
  <si>
    <t>PC0763277T0054521</t>
  </si>
  <si>
    <t>PC0765691T0054521</t>
  </si>
  <si>
    <t>PC0820873T0054521</t>
  </si>
  <si>
    <t>PC0767086T0054521</t>
  </si>
  <si>
    <t>PC0763015T0054521</t>
  </si>
  <si>
    <t>PC0763255T0054521</t>
  </si>
  <si>
    <t>PC0763021T0054521</t>
  </si>
  <si>
    <t>PC0765856T0054521</t>
  </si>
  <si>
    <t>PC0767501T0054521</t>
  </si>
  <si>
    <t>PC0765558T0054521</t>
  </si>
  <si>
    <t>PC0762851T0054521</t>
  </si>
  <si>
    <t>PC0762737T0054521</t>
  </si>
  <si>
    <t>PC0766041T0054521</t>
  </si>
  <si>
    <t>PC0765574T0054521</t>
  </si>
  <si>
    <t>PC0764184T0054521</t>
  </si>
  <si>
    <t>PC0762822T0054521</t>
  </si>
  <si>
    <t>PC0767606T0054521</t>
  </si>
  <si>
    <t>PC0767624T0054521</t>
  </si>
  <si>
    <t>PC0763905T0054521</t>
  </si>
  <si>
    <t>PC0763452T0054521</t>
  </si>
  <si>
    <t>PC0762381T0054521</t>
  </si>
  <si>
    <t>PC0765341T0054521</t>
  </si>
  <si>
    <t>PC0766040T0054521</t>
  </si>
  <si>
    <t>PC0762850T0054521</t>
  </si>
  <si>
    <t>PC0763054T0054521</t>
  </si>
  <si>
    <t>PC0766449T0054521</t>
  </si>
  <si>
    <t>PC0766103T0054521</t>
  </si>
  <si>
    <t>PC0763961T0054521</t>
  </si>
  <si>
    <t>PC0763965T0054521</t>
  </si>
  <si>
    <t>PC0762833T0054521</t>
  </si>
  <si>
    <t>PC0766187T0054521</t>
  </si>
  <si>
    <t>PC0764591T0054521</t>
  </si>
  <si>
    <t>PC0765606T0054521</t>
  </si>
  <si>
    <t>PC0763009T0054521</t>
  </si>
  <si>
    <t>PC0762852T0054521</t>
  </si>
  <si>
    <t>PC0762686T0054521</t>
  </si>
  <si>
    <t>PC0767509T0054521</t>
  </si>
  <si>
    <t>PC0765580T0054521</t>
  </si>
  <si>
    <t>PC0766901T0054521</t>
  </si>
  <si>
    <t>PC0762670T0054521</t>
  </si>
  <si>
    <t>PC0766508T0054521</t>
  </si>
  <si>
    <t>PC0765591T0054521</t>
  </si>
  <si>
    <t>PC0764986T0054521</t>
  </si>
  <si>
    <t>PC0762410T0054521</t>
  </si>
  <si>
    <t>PC0766450T0054521</t>
  </si>
  <si>
    <t>PC0763127T0054521</t>
  </si>
  <si>
    <t>PC0762913T0054521</t>
  </si>
  <si>
    <t>PC0795777T0054521</t>
  </si>
  <si>
    <t>PC0763090T0054521</t>
  </si>
  <si>
    <t>PC0763603T0054521</t>
  </si>
  <si>
    <t>PC0765582T0054521</t>
  </si>
  <si>
    <t>PC0765325T0054521</t>
  </si>
  <si>
    <t>PC0764742T0054521</t>
  </si>
  <si>
    <t>PC0762390T0054521</t>
  </si>
  <si>
    <t>PC0765961T0054521</t>
  </si>
  <si>
    <t>PC0762605T0054521</t>
  </si>
  <si>
    <t>PC0826524T0054521</t>
  </si>
  <si>
    <t>PC0763442T0054521</t>
  </si>
  <si>
    <t>PC0763141T0054521</t>
  </si>
  <si>
    <t>PC0764247T0054521</t>
  </si>
  <si>
    <t>PC0764034T0054521</t>
  </si>
  <si>
    <t>PC0767073T0054521</t>
  </si>
  <si>
    <t>PC0762724T0054521</t>
  </si>
  <si>
    <t>PC0806725T0054521</t>
  </si>
  <si>
    <t>NL</t>
  </si>
  <si>
    <t>C85373C00131086MS2FRA</t>
  </si>
  <si>
    <t>C59902C00131086MS4FRA</t>
  </si>
  <si>
    <t>B09114C00131086MV2AUS</t>
  </si>
  <si>
    <t>A66598C00131086MV2FRA</t>
  </si>
  <si>
    <t>A03949C00132005MV2FRA</t>
  </si>
  <si>
    <t>CHARENTON TRIATHLON</t>
  </si>
  <si>
    <t>C59445C00131086MS4FRA</t>
  </si>
  <si>
    <t>B02485C00131086MV1FRA</t>
  </si>
  <si>
    <t>A72153C00131086MV1FRA</t>
  </si>
  <si>
    <t>A06302C00130075MV4FRA</t>
  </si>
  <si>
    <t>DRANCY TRIATHLON</t>
  </si>
  <si>
    <t>C19257C00131086MV1FRA</t>
  </si>
  <si>
    <t>C59955C00131086FS3FRA</t>
  </si>
  <si>
    <t>C44535C00131793MV3FRA</t>
  </si>
  <si>
    <t>AS TRIATHLON GENDARMERIE</t>
  </si>
  <si>
    <t>C44606C00131076FV1FRA</t>
  </si>
  <si>
    <t>PARIS UNIVERSITE CLUB</t>
  </si>
  <si>
    <t>C58208C00131086MV1FRA</t>
  </si>
  <si>
    <t>B20926C00130032FV2FRA</t>
  </si>
  <si>
    <t>PARIS SPORT CLUB</t>
  </si>
  <si>
    <t>D02684C00131076FS3FRA</t>
  </si>
  <si>
    <t>C99552C00130032FS4FRA</t>
  </si>
  <si>
    <t>C58915C00130032MS3FRA</t>
  </si>
  <si>
    <t>C05452C00131086MS4FRA</t>
  </si>
  <si>
    <t>C20840C00130032FS3FRA</t>
  </si>
  <si>
    <t>C84746C00131086MV1FRA</t>
  </si>
  <si>
    <t>C38199C00130090MV3FRA</t>
  </si>
  <si>
    <t>AC BOBIGNY</t>
  </si>
  <si>
    <t>C73670C00131086FS3FRA</t>
  </si>
  <si>
    <t>A06309C00130075FV5FRA</t>
  </si>
  <si>
    <t>B80081C00131558FV2FRA</t>
  </si>
  <si>
    <t>TRIAXION</t>
  </si>
  <si>
    <t>B33200C00131086MV1FRA</t>
  </si>
  <si>
    <t>A65907C00130047MV6FRA</t>
  </si>
  <si>
    <t>DASSAULT SPORTS</t>
  </si>
  <si>
    <t>C61095C00131086FS2FRA</t>
  </si>
  <si>
    <t>C59502C00131086FS3FRA</t>
  </si>
  <si>
    <t>C66006C00132078MS4BRA</t>
  </si>
  <si>
    <t>IVRY TRIATHLON</t>
  </si>
  <si>
    <t>A04643C00130047FV2FRA</t>
  </si>
  <si>
    <t>B13792C00130004MV5FRA</t>
  </si>
  <si>
    <t>S.C.A. 2000 TRIATHLON EVRY</t>
  </si>
  <si>
    <t>B26528C00261696MS4FRA</t>
  </si>
  <si>
    <t>TRI360</t>
  </si>
  <si>
    <t>C22536C00190147MV3FRA</t>
  </si>
  <si>
    <t>COMPIEGNE TRIATHLON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</si>
</sst>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[mm]:ss"/>
  </numFmts>
  <fonts count="11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b/>
      <sz val="11"/>
      <color rgb="FF000000"/>
      <name val="Calibri"/>
    </font>
    <font>
      <sz val="11"/>
      <color rgb="FF000000"/>
      <name val="Calibri"/>
    </font>
    <font>
      <sz val="10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theme="1"/>
      <name val="Tahoma"/>
      <family val="2"/>
    </font>
    <font>
      <sz val="9"/>
      <color theme="1"/>
      <name val="Tahoma"/>
      <family val="2"/>
    </font>
    <font>
      <sz val="9"/>
      <color rgb="FF000000"/>
      <name val="Tahoma"/>
      <family val="2"/>
    </font>
    <font>
      <sz val="9"/>
      <color rgb="FF444444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rgb="FFBDBDBD"/>
        <bgColor rgb="FFBDBDBD"/>
      </patternFill>
    </fill>
    <fill>
      <patternFill patternType="solid">
        <fgColor rgb="FFFFFFFF"/>
        <bgColor rgb="FFFFFFFF"/>
      </patternFill>
    </fill>
    <fill>
      <patternFill patternType="solid">
        <fgColor rgb="FFD9D9D9"/>
        <bgColor rgb="FFD9D9D9"/>
      </patternFill>
    </fill>
    <fill>
      <patternFill patternType="solid">
        <fgColor rgb="FFC6EFCE"/>
        <bgColor rgb="FFC6EFCE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70">
    <xf numFmtId="0" fontId="0" fillId="0" borderId="0" xfId="0"/>
    <xf numFmtId="164" fontId="1" fillId="0" borderId="0" xfId="0" applyNumberFormat="1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vertical="center"/>
    </xf>
    <xf numFmtId="0" fontId="3" fillId="3" borderId="5" xfId="0" applyFont="1" applyFill="1" applyBorder="1" applyAlignment="1">
      <alignment vertical="center"/>
    </xf>
    <xf numFmtId="0" fontId="4" fillId="3" borderId="5" xfId="0" applyFont="1" applyFill="1" applyBorder="1" applyAlignment="1">
      <alignment vertical="center"/>
    </xf>
    <xf numFmtId="0" fontId="4" fillId="3" borderId="3" xfId="0" applyFont="1" applyFill="1" applyBorder="1" applyAlignment="1">
      <alignment vertical="center"/>
    </xf>
    <xf numFmtId="0" fontId="4" fillId="3" borderId="0" xfId="0" applyFont="1" applyFill="1" applyAlignment="1">
      <alignment vertical="center"/>
    </xf>
    <xf numFmtId="0" fontId="4" fillId="0" borderId="0" xfId="0" applyFont="1" applyAlignment="1">
      <alignment vertical="center"/>
    </xf>
    <xf numFmtId="0" fontId="5" fillId="4" borderId="6" xfId="0" applyFont="1" applyFill="1" applyBorder="1" applyAlignment="1">
      <alignment horizontal="center" wrapText="1"/>
    </xf>
    <xf numFmtId="49" fontId="5" fillId="4" borderId="7" xfId="0" applyNumberFormat="1" applyFont="1" applyFill="1" applyBorder="1" applyAlignment="1">
      <alignment horizontal="center" wrapText="1"/>
    </xf>
    <xf numFmtId="49" fontId="5" fillId="4" borderId="7" xfId="0" applyNumberFormat="1" applyFont="1" applyFill="1" applyBorder="1" applyAlignment="1">
      <alignment horizontal="left" wrapText="1"/>
    </xf>
    <xf numFmtId="0" fontId="5" fillId="4" borderId="7" xfId="0" applyFont="1" applyFill="1" applyBorder="1" applyAlignment="1">
      <alignment horizontal="left" wrapText="1"/>
    </xf>
    <xf numFmtId="0" fontId="5" fillId="4" borderId="7" xfId="0" applyFont="1" applyFill="1" applyBorder="1" applyAlignment="1">
      <alignment horizontal="center" wrapText="1"/>
    </xf>
    <xf numFmtId="164" fontId="6" fillId="4" borderId="8" xfId="0" applyNumberFormat="1" applyFont="1" applyFill="1" applyBorder="1" applyAlignment="1">
      <alignment horizontal="center" wrapText="1"/>
    </xf>
    <xf numFmtId="45" fontId="5" fillId="4" borderId="8" xfId="0" applyNumberFormat="1" applyFont="1" applyFill="1" applyBorder="1" applyAlignment="1">
      <alignment horizontal="center" wrapText="1"/>
    </xf>
    <xf numFmtId="45" fontId="5" fillId="4" borderId="9" xfId="0" applyNumberFormat="1" applyFont="1" applyFill="1" applyBorder="1" applyAlignment="1">
      <alignment horizontal="center" wrapText="1"/>
    </xf>
    <xf numFmtId="0" fontId="3" fillId="3" borderId="10" xfId="0" applyFont="1" applyFill="1" applyBorder="1"/>
    <xf numFmtId="0" fontId="4" fillId="3" borderId="10" xfId="0" applyFont="1" applyFill="1" applyBorder="1"/>
    <xf numFmtId="0" fontId="4" fillId="3" borderId="2" xfId="0" applyFont="1" applyFill="1" applyBorder="1"/>
    <xf numFmtId="0" fontId="4" fillId="3" borderId="0" xfId="0" applyFont="1" applyFill="1"/>
    <xf numFmtId="0" fontId="4" fillId="0" borderId="0" xfId="0" applyFont="1"/>
    <xf numFmtId="0" fontId="5" fillId="4" borderId="11" xfId="0" applyFont="1" applyFill="1" applyBorder="1" applyAlignment="1">
      <alignment horizontal="center" wrapText="1"/>
    </xf>
    <xf numFmtId="49" fontId="5" fillId="4" borderId="12" xfId="0" applyNumberFormat="1" applyFont="1" applyFill="1" applyBorder="1" applyAlignment="1">
      <alignment horizontal="center" wrapText="1"/>
    </xf>
    <xf numFmtId="49" fontId="5" fillId="4" borderId="12" xfId="0" applyNumberFormat="1" applyFont="1" applyFill="1" applyBorder="1" applyAlignment="1">
      <alignment horizontal="left" wrapText="1"/>
    </xf>
    <xf numFmtId="0" fontId="5" fillId="4" borderId="12" xfId="0" applyFont="1" applyFill="1" applyBorder="1" applyAlignment="1">
      <alignment horizontal="left" wrapText="1"/>
    </xf>
    <xf numFmtId="0" fontId="5" fillId="4" borderId="12" xfId="0" applyFont="1" applyFill="1" applyBorder="1" applyAlignment="1">
      <alignment horizontal="center" wrapText="1"/>
    </xf>
    <xf numFmtId="0" fontId="5" fillId="3" borderId="11" xfId="0" applyFont="1" applyFill="1" applyBorder="1" applyAlignment="1">
      <alignment horizontal="center" wrapText="1"/>
    </xf>
    <xf numFmtId="0" fontId="5" fillId="3" borderId="12" xfId="0" applyFont="1" applyFill="1" applyBorder="1" applyAlignment="1">
      <alignment horizontal="center" wrapText="1"/>
    </xf>
    <xf numFmtId="0" fontId="5" fillId="3" borderId="12" xfId="0" applyFont="1" applyFill="1" applyBorder="1" applyAlignment="1">
      <alignment horizontal="left" wrapText="1"/>
    </xf>
    <xf numFmtId="0" fontId="5" fillId="3" borderId="8" xfId="0" applyFont="1" applyFill="1" applyBorder="1" applyAlignment="1">
      <alignment horizontal="center" wrapText="1"/>
    </xf>
    <xf numFmtId="164" fontId="5" fillId="3" borderId="12" xfId="0" applyNumberFormat="1" applyFont="1" applyFill="1" applyBorder="1" applyAlignment="1">
      <alignment horizontal="center" wrapText="1"/>
    </xf>
    <xf numFmtId="0" fontId="5" fillId="3" borderId="13" xfId="0" applyFont="1" applyFill="1" applyBorder="1" applyAlignment="1">
      <alignment horizontal="center" wrapText="1"/>
    </xf>
    <xf numFmtId="0" fontId="5" fillId="3" borderId="14" xfId="0" applyFont="1" applyFill="1" applyBorder="1" applyAlignment="1">
      <alignment horizontal="center" wrapText="1"/>
    </xf>
    <xf numFmtId="0" fontId="5" fillId="3" borderId="15" xfId="0" applyFont="1" applyFill="1" applyBorder="1" applyAlignment="1">
      <alignment horizontal="center" wrapText="1"/>
    </xf>
    <xf numFmtId="0" fontId="5" fillId="3" borderId="16" xfId="0" applyFont="1" applyFill="1" applyBorder="1" applyAlignment="1">
      <alignment horizontal="center" wrapText="1"/>
    </xf>
    <xf numFmtId="0" fontId="5" fillId="3" borderId="16" xfId="0" applyFont="1" applyFill="1" applyBorder="1" applyAlignment="1">
      <alignment horizontal="left" wrapText="1"/>
    </xf>
    <xf numFmtId="0" fontId="5" fillId="3" borderId="17" xfId="0" applyFont="1" applyFill="1" applyBorder="1" applyAlignment="1">
      <alignment horizontal="center" wrapText="1"/>
    </xf>
    <xf numFmtId="164" fontId="5" fillId="3" borderId="16" xfId="0" applyNumberFormat="1" applyFont="1" applyFill="1" applyBorder="1" applyAlignment="1">
      <alignment horizontal="center" wrapText="1"/>
    </xf>
    <xf numFmtId="0" fontId="5" fillId="3" borderId="18" xfId="0" applyFont="1" applyFill="1" applyBorder="1" applyAlignment="1">
      <alignment horizontal="center" wrapText="1"/>
    </xf>
    <xf numFmtId="0" fontId="4" fillId="3" borderId="0" xfId="0" applyFont="1" applyFill="1" applyAlignment="1">
      <alignment horizontal="center"/>
    </xf>
    <xf numFmtId="0" fontId="4" fillId="3" borderId="0" xfId="0" applyFont="1" applyFill="1" applyAlignment="1">
      <alignment horizontal="left"/>
    </xf>
    <xf numFmtId="164" fontId="4" fillId="3" borderId="0" xfId="0" applyNumberFormat="1" applyFont="1" applyFill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164" fontId="4" fillId="0" borderId="0" xfId="0" applyNumberFormat="1" applyFont="1" applyAlignment="1">
      <alignment horizontal="center"/>
    </xf>
    <xf numFmtId="0" fontId="2" fillId="5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left" vertical="center" wrapText="1"/>
    </xf>
    <xf numFmtId="164" fontId="2" fillId="5" borderId="1" xfId="0" applyNumberFormat="1" applyFont="1" applyFill="1" applyBorder="1" applyAlignment="1">
      <alignment horizontal="center" vertical="center" wrapText="1"/>
    </xf>
    <xf numFmtId="0" fontId="5" fillId="4" borderId="8" xfId="0" applyFont="1" applyFill="1" applyBorder="1" applyAlignment="1">
      <alignment horizontal="center" wrapText="1"/>
    </xf>
    <xf numFmtId="0" fontId="8" fillId="0" borderId="2" xfId="0" applyFont="1" applyBorder="1"/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9" fillId="0" borderId="0" xfId="0" applyFont="1"/>
    <xf numFmtId="0" fontId="7" fillId="0" borderId="2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164" fontId="7" fillId="0" borderId="2" xfId="0" applyNumberFormat="1" applyFont="1" applyBorder="1" applyAlignment="1">
      <alignment horizontal="center"/>
    </xf>
    <xf numFmtId="164" fontId="8" fillId="0" borderId="0" xfId="0" applyNumberFormat="1" applyFont="1"/>
    <xf numFmtId="49" fontId="8" fillId="0" borderId="2" xfId="0" applyNumberFormat="1" applyFont="1" applyBorder="1"/>
    <xf numFmtId="49" fontId="8" fillId="0" borderId="2" xfId="0" applyNumberFormat="1" applyFont="1" applyBorder="1" applyAlignment="1">
      <alignment horizontal="center"/>
    </xf>
    <xf numFmtId="45" fontId="8" fillId="0" borderId="2" xfId="0" applyNumberFormat="1" applyFont="1" applyBorder="1" applyAlignment="1">
      <alignment horizontal="center"/>
    </xf>
    <xf numFmtId="3" fontId="8" fillId="0" borderId="2" xfId="0" applyNumberFormat="1" applyFont="1" applyBorder="1" applyAlignment="1">
      <alignment horizontal="center"/>
    </xf>
    <xf numFmtId="0" fontId="9" fillId="0" borderId="2" xfId="0" applyFont="1" applyBorder="1"/>
    <xf numFmtId="0" fontId="8" fillId="0" borderId="0" xfId="0" applyFont="1"/>
    <xf numFmtId="49" fontId="8" fillId="0" borderId="0" xfId="0" applyNumberFormat="1" applyFont="1"/>
    <xf numFmtId="0" fontId="10" fillId="0" borderId="0" xfId="0" applyFont="1"/>
  </cellXfs>
  <cellStyles count="1">
    <cellStyle name="Normal" xfId="0" builtinId="0"/>
  </cellStyles>
  <dxfs count="24"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BDBDBD"/>
          <bgColor rgb="FFBDBDBD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BDBDBD"/>
          <bgColor rgb="FFBDBDBD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BDBDBD"/>
          <bgColor rgb="FFBDBDBD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BDBDBD"/>
          <bgColor rgb="FFBDBDBD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BDBDBD"/>
          <bgColor rgb="FFBDBDBD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BDBDBD"/>
          <bgColor rgb="FFBDBDBD"/>
        </patternFill>
      </fill>
    </dxf>
  </dxfs>
  <tableStyles count="6">
    <tableStyle name="H-style" pivot="0" count="3" xr9:uid="{00000000-0011-0000-FFFF-FFFF00000000}">
      <tableStyleElement type="headerRow" dxfId="23"/>
      <tableStyleElement type="firstRowStripe" dxfId="22"/>
      <tableStyleElement type="secondRowStripe" dxfId="21"/>
    </tableStyle>
    <tableStyle name="F-style" pivot="0" count="3" xr9:uid="{00000000-0011-0000-FFFF-FFFF01000000}">
      <tableStyleElement type="headerRow" dxfId="20"/>
      <tableStyleElement type="firstRowStripe" dxfId="19"/>
      <tableStyleElement type="secondRowStripe" dxfId="18"/>
    </tableStyle>
    <tableStyle name="SH-style" pivot="0" count="3" xr9:uid="{00000000-0011-0000-FFFF-FFFF02000000}">
      <tableStyleElement type="headerRow" dxfId="17"/>
      <tableStyleElement type="firstRowStripe" dxfId="16"/>
      <tableStyleElement type="secondRowStripe" dxfId="15"/>
    </tableStyle>
    <tableStyle name="SF-style" pivot="0" count="3" xr9:uid="{00000000-0011-0000-FFFF-FFFF03000000}">
      <tableStyleElement type="headerRow" dxfId="14"/>
      <tableStyleElement type="firstRowStripe" dxfId="13"/>
      <tableStyleElement type="secondRowStripe" dxfId="12"/>
    </tableStyle>
    <tableStyle name="MH-style" pivot="0" count="3" xr9:uid="{00000000-0011-0000-FFFF-FFFF04000000}">
      <tableStyleElement type="headerRow" dxfId="11"/>
      <tableStyleElement type="firstRowStripe" dxfId="10"/>
      <tableStyleElement type="secondRowStripe" dxfId="9"/>
    </tableStyle>
    <tableStyle name="MF-style" pivot="0" count="3" xr9:uid="{00000000-0011-0000-FFFF-FFFF05000000}">
      <tableStyleElement type="headerRow" dxfId="8"/>
      <tableStyleElement type="firstRowStripe" dxfId="7"/>
      <tableStyleElement type="secondRowStripe" dxfId="6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persons/person.xml><?xml version="1.0" encoding="utf-8"?>
<x18tc:personList xmlns:x18tc="http://schemas.microsoft.com/office/spreadsheetml/2018/threadedcomments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A1:K180">
  <tableColumns count="11">
    <tableColumn id="1" xr3:uid="{00000000-0010-0000-0000-000001000000}" name="Rang"/>
    <tableColumn id="2" xr3:uid="{00000000-0010-0000-0000-000002000000}" name="Dossard"/>
    <tableColumn id="3" xr3:uid="{00000000-0010-0000-0000-000003000000}" name="Nom"/>
    <tableColumn id="4" xr3:uid="{00000000-0010-0000-0000-000004000000}" name="Prénom"/>
    <tableColumn id="5" xr3:uid="{00000000-0010-0000-0000-000005000000}" name="Cat."/>
    <tableColumn id="6" xr3:uid="{00000000-0010-0000-0000-000006000000}" name="Rang cat"/>
    <tableColumn id="7" xr3:uid="{00000000-0010-0000-0000-000007000000}" name="Temps final"/>
    <tableColumn id="8" xr3:uid="{00000000-0010-0000-0000-000008000000}" name="Temps nat"/>
    <tableColumn id="9" xr3:uid="{00000000-0010-0000-0000-000009000000}" name="Temps vélo"/>
    <tableColumn id="10" xr3:uid="{00000000-0010-0000-0000-00000A000000}" name="Temps course"/>
    <tableColumn id="11" xr3:uid="{00000000-0010-0000-0000-00000B000000}" name="Temps T1+T2"/>
  </tableColumns>
  <tableStyleInfo name="H-style" showFirstColumn="1" showLastColumn="1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_2" displayName="Table_2" ref="A1:K180">
  <tableColumns count="11">
    <tableColumn id="1" xr3:uid="{00000000-0010-0000-0100-000001000000}" name="Rang"/>
    <tableColumn id="2" xr3:uid="{00000000-0010-0000-0100-000002000000}" name="Dossard"/>
    <tableColumn id="3" xr3:uid="{00000000-0010-0000-0100-000003000000}" name="Nom"/>
    <tableColumn id="4" xr3:uid="{00000000-0010-0000-0100-000004000000}" name="Prénom"/>
    <tableColumn id="5" xr3:uid="{00000000-0010-0000-0100-000005000000}" name="Cat."/>
    <tableColumn id="6" xr3:uid="{00000000-0010-0000-0100-000006000000}" name="Rang cat"/>
    <tableColumn id="7" xr3:uid="{00000000-0010-0000-0100-000007000000}" name="Temps final"/>
    <tableColumn id="8" xr3:uid="{00000000-0010-0000-0100-000008000000}" name="Temps nat"/>
    <tableColumn id="9" xr3:uid="{00000000-0010-0000-0100-000009000000}" name="Temps vélo"/>
    <tableColumn id="10" xr3:uid="{00000000-0010-0000-0100-00000A000000}" name="Temps course"/>
    <tableColumn id="11" xr3:uid="{00000000-0010-0000-0100-00000B000000}" name="Temps T1+T2"/>
  </tableColumns>
  <tableStyleInfo name="F-style" showFirstColumn="1" showLastColumn="1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able_3" displayName="Table_3" ref="A1:K180">
  <tableColumns count="11">
    <tableColumn id="1" xr3:uid="{00000000-0010-0000-0200-000001000000}" name="Rang"/>
    <tableColumn id="2" xr3:uid="{00000000-0010-0000-0200-000002000000}" name="Dossard"/>
    <tableColumn id="3" xr3:uid="{00000000-0010-0000-0200-000003000000}" name="Nom"/>
    <tableColumn id="4" xr3:uid="{00000000-0010-0000-0200-000004000000}" name="Prénom"/>
    <tableColumn id="5" xr3:uid="{00000000-0010-0000-0200-000005000000}" name="Cat."/>
    <tableColumn id="6" xr3:uid="{00000000-0010-0000-0200-000006000000}" name="Rang cat"/>
    <tableColumn id="7" xr3:uid="{00000000-0010-0000-0200-000007000000}" name="Temps final"/>
    <tableColumn id="8" xr3:uid="{00000000-0010-0000-0200-000008000000}" name="Temps nat"/>
    <tableColumn id="9" xr3:uid="{00000000-0010-0000-0200-000009000000}" name="Temps vélo"/>
    <tableColumn id="10" xr3:uid="{00000000-0010-0000-0200-00000A000000}" name="Temps course"/>
    <tableColumn id="11" xr3:uid="{00000000-0010-0000-0200-00000B000000}" name="Temps T1+T2"/>
  </tableColumns>
  <tableStyleInfo name="SH-style" showFirstColumn="1" showLastColumn="1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Table_4" displayName="Table_4" ref="A1:K180">
  <tableColumns count="11">
    <tableColumn id="1" xr3:uid="{00000000-0010-0000-0300-000001000000}" name="Rang"/>
    <tableColumn id="2" xr3:uid="{00000000-0010-0000-0300-000002000000}" name="Dossard"/>
    <tableColumn id="3" xr3:uid="{00000000-0010-0000-0300-000003000000}" name="Nom"/>
    <tableColumn id="4" xr3:uid="{00000000-0010-0000-0300-000004000000}" name="Prénom"/>
    <tableColumn id="5" xr3:uid="{00000000-0010-0000-0300-000005000000}" name="Cat."/>
    <tableColumn id="6" xr3:uid="{00000000-0010-0000-0300-000006000000}" name="Rang cat"/>
    <tableColumn id="7" xr3:uid="{00000000-0010-0000-0300-000007000000}" name="Temps final"/>
    <tableColumn id="8" xr3:uid="{00000000-0010-0000-0300-000008000000}" name="Temps nat"/>
    <tableColumn id="9" xr3:uid="{00000000-0010-0000-0300-000009000000}" name="Temps vélo"/>
    <tableColumn id="10" xr3:uid="{00000000-0010-0000-0300-00000A000000}" name="Temps course"/>
    <tableColumn id="11" xr3:uid="{00000000-0010-0000-0300-00000B000000}" name="Temps T1+T2"/>
  </tableColumns>
  <tableStyleInfo name="SF-style" showFirstColumn="1" showLastColumn="1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le_5" displayName="Table_5" ref="A1:K180">
  <tableColumns count="11">
    <tableColumn id="1" xr3:uid="{00000000-0010-0000-0400-000001000000}" name="Rang"/>
    <tableColumn id="2" xr3:uid="{00000000-0010-0000-0400-000002000000}" name="Dossard"/>
    <tableColumn id="3" xr3:uid="{00000000-0010-0000-0400-000003000000}" name="Nom"/>
    <tableColumn id="4" xr3:uid="{00000000-0010-0000-0400-000004000000}" name="Prénom"/>
    <tableColumn id="5" xr3:uid="{00000000-0010-0000-0400-000005000000}" name="Cat."/>
    <tableColumn id="6" xr3:uid="{00000000-0010-0000-0400-000006000000}" name="Rang cat"/>
    <tableColumn id="7" xr3:uid="{00000000-0010-0000-0400-000007000000}" name="Temps final"/>
    <tableColumn id="8" xr3:uid="{00000000-0010-0000-0400-000008000000}" name="Temps nat"/>
    <tableColumn id="9" xr3:uid="{00000000-0010-0000-0400-000009000000}" name="Temps vélo"/>
    <tableColumn id="10" xr3:uid="{00000000-0010-0000-0400-00000A000000}" name="Temps course"/>
    <tableColumn id="11" xr3:uid="{00000000-0010-0000-0400-00000B000000}" name="Temps T1+T2"/>
  </tableColumns>
  <tableStyleInfo name="MH-style" showFirstColumn="1" showLastColumn="1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le_6" displayName="Table_6" ref="A1:K180">
  <tableColumns count="11">
    <tableColumn id="1" xr3:uid="{00000000-0010-0000-0500-000001000000}" name="Rang"/>
    <tableColumn id="2" xr3:uid="{00000000-0010-0000-0500-000002000000}" name="Dossard"/>
    <tableColumn id="3" xr3:uid="{00000000-0010-0000-0500-000003000000}" name="Nom"/>
    <tableColumn id="4" xr3:uid="{00000000-0010-0000-0500-000004000000}" name="Prénom"/>
    <tableColumn id="5" xr3:uid="{00000000-0010-0000-0500-000005000000}" name="Cat."/>
    <tableColumn id="6" xr3:uid="{00000000-0010-0000-0500-000006000000}" name="Rang cat"/>
    <tableColumn id="7" xr3:uid="{00000000-0010-0000-0500-000007000000}" name="Temps final"/>
    <tableColumn id="8" xr3:uid="{00000000-0010-0000-0500-000008000000}" name="Temps nat"/>
    <tableColumn id="9" xr3:uid="{00000000-0010-0000-0500-000009000000}" name="Temps vélo"/>
    <tableColumn id="10" xr3:uid="{00000000-0010-0000-0500-00000A000000}" name="Temps course"/>
    <tableColumn id="11" xr3:uid="{00000000-0010-0000-0500-00000B000000}" name="Temps T1+T2"/>
  </tableColumns>
  <tableStyleInfo name="MF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Y849"/>
  <sheetViews>
    <sheetView tabSelected="1" workbookViewId="0">
      <pane ySplit="1" topLeftCell="A2" activePane="bottomLeft" state="frozen"/>
      <selection pane="bottomLeft" activeCell="F7" sqref="F7"/>
    </sheetView>
  </sheetViews>
  <sheetFormatPr baseColWidth="10" defaultColWidth="12.6328125" defaultRowHeight="15" customHeight="1" x14ac:dyDescent="0.25"/>
  <cols>
    <col min="1" max="1" width="5.08984375" style="57" bestFit="1" customWidth="1"/>
    <col min="2" max="2" width="20.453125" style="57" bestFit="1" customWidth="1"/>
    <col min="3" max="3" width="14" style="57" bestFit="1" customWidth="1"/>
    <col min="4" max="4" width="7.453125" style="57" bestFit="1" customWidth="1"/>
    <col min="5" max="5" width="21" style="57" bestFit="1" customWidth="1"/>
    <col min="6" max="6" width="23.7265625" style="57" bestFit="1" customWidth="1"/>
    <col min="7" max="7" width="4.08984375" style="57" bestFit="1" customWidth="1"/>
    <col min="8" max="8" width="8.08984375" style="57" bestFit="1" customWidth="1"/>
    <col min="9" max="9" width="6.1796875" style="57" bestFit="1" customWidth="1"/>
    <col min="10" max="10" width="5.08984375" style="57" bestFit="1" customWidth="1"/>
    <col min="11" max="11" width="6.1796875" style="57" bestFit="1" customWidth="1"/>
    <col min="12" max="12" width="5.08984375" style="57" bestFit="1" customWidth="1"/>
    <col min="13" max="13" width="6.36328125" style="57" bestFit="1" customWidth="1"/>
    <col min="14" max="14" width="5.08984375" style="57" bestFit="1" customWidth="1"/>
    <col min="15" max="15" width="6.1796875" style="57" bestFit="1" customWidth="1"/>
    <col min="16" max="16" width="5.08984375" style="57" bestFit="1" customWidth="1"/>
    <col min="17" max="17" width="10.26953125" style="57" bestFit="1" customWidth="1"/>
    <col min="18" max="16384" width="12.6328125" style="57"/>
  </cols>
  <sheetData>
    <row r="1" spans="1:25" ht="25" customHeight="1" x14ac:dyDescent="0.25">
      <c r="A1" s="53" t="s">
        <v>0</v>
      </c>
      <c r="B1" s="54" t="s">
        <v>2</v>
      </c>
      <c r="C1" s="54" t="s">
        <v>3</v>
      </c>
      <c r="D1" s="53" t="s">
        <v>1</v>
      </c>
      <c r="E1" s="54" t="s">
        <v>466</v>
      </c>
      <c r="F1" s="54" t="s">
        <v>467</v>
      </c>
      <c r="G1" s="53" t="s">
        <v>4</v>
      </c>
      <c r="H1" s="53" t="s">
        <v>5</v>
      </c>
      <c r="I1" s="53" t="s">
        <v>7</v>
      </c>
      <c r="J1" s="53" t="s">
        <v>11</v>
      </c>
      <c r="K1" s="53" t="s">
        <v>8</v>
      </c>
      <c r="L1" s="53" t="s">
        <v>12</v>
      </c>
      <c r="M1" s="53" t="s">
        <v>9</v>
      </c>
      <c r="N1" s="53" t="s">
        <v>13</v>
      </c>
      <c r="O1" s="53" t="s">
        <v>10</v>
      </c>
      <c r="P1" s="53" t="s">
        <v>14</v>
      </c>
      <c r="Q1" s="55" t="s">
        <v>6</v>
      </c>
      <c r="R1" s="56"/>
      <c r="S1" s="56"/>
      <c r="T1" s="56"/>
      <c r="U1" s="56"/>
      <c r="V1" s="56"/>
      <c r="W1" s="56"/>
      <c r="X1" s="56"/>
      <c r="Y1" s="56"/>
    </row>
    <row r="2" spans="1:25" ht="15.75" customHeight="1" x14ac:dyDescent="0.25">
      <c r="A2" s="58">
        <v>1</v>
      </c>
      <c r="B2" s="62" t="s">
        <v>16</v>
      </c>
      <c r="C2" s="52" t="s">
        <v>17</v>
      </c>
      <c r="D2" s="63" t="s">
        <v>15</v>
      </c>
      <c r="E2" s="69" t="s">
        <v>628</v>
      </c>
      <c r="F2" s="52" t="s">
        <v>629</v>
      </c>
      <c r="G2" s="59" t="s">
        <v>18</v>
      </c>
      <c r="H2" s="59">
        <v>1</v>
      </c>
      <c r="I2" s="64">
        <v>2.8009260028297E-3</v>
      </c>
      <c r="J2" s="65">
        <v>5</v>
      </c>
      <c r="K2" s="64">
        <v>6.5393518640471998E-3</v>
      </c>
      <c r="L2" s="65">
        <v>4</v>
      </c>
      <c r="M2" s="64">
        <v>5.8796296252308002E-3</v>
      </c>
      <c r="N2" s="65">
        <v>1</v>
      </c>
      <c r="O2" s="64">
        <v>4.2824113422441099E-4</v>
      </c>
      <c r="P2" s="65">
        <v>5</v>
      </c>
      <c r="Q2" s="60">
        <v>1.5648148626332101E-2</v>
      </c>
      <c r="R2" s="52"/>
      <c r="S2" s="52"/>
      <c r="T2" s="52"/>
      <c r="U2" s="52"/>
      <c r="V2" s="52"/>
      <c r="W2" s="52"/>
      <c r="X2" s="52"/>
      <c r="Y2" s="52"/>
    </row>
    <row r="3" spans="1:25" ht="15.75" customHeight="1" x14ac:dyDescent="0.25">
      <c r="A3" s="58">
        <v>2</v>
      </c>
      <c r="B3" s="62" t="s">
        <v>20</v>
      </c>
      <c r="C3" s="52" t="s">
        <v>21</v>
      </c>
      <c r="D3" s="63" t="s">
        <v>19</v>
      </c>
      <c r="E3" s="66" t="s">
        <v>580</v>
      </c>
      <c r="F3" s="52"/>
      <c r="G3" s="59" t="s">
        <v>22</v>
      </c>
      <c r="H3" s="59">
        <v>1</v>
      </c>
      <c r="I3" s="64">
        <v>2.54629639074761E-3</v>
      </c>
      <c r="J3" s="65">
        <v>1</v>
      </c>
      <c r="K3" s="64">
        <v>6.6898148386352399E-3</v>
      </c>
      <c r="L3" s="65">
        <v>6</v>
      </c>
      <c r="M3" s="64">
        <v>6.4583334462942499E-3</v>
      </c>
      <c r="N3" s="65">
        <v>2</v>
      </c>
      <c r="O3" s="64">
        <v>4.7453790511787E-4</v>
      </c>
      <c r="P3" s="65">
        <v>6</v>
      </c>
      <c r="Q3" s="60">
        <v>1.61689825807949E-2</v>
      </c>
      <c r="R3" s="52"/>
      <c r="S3" s="52"/>
      <c r="T3" s="52"/>
      <c r="U3" s="52"/>
      <c r="V3" s="52"/>
      <c r="W3" s="52"/>
      <c r="X3" s="52"/>
      <c r="Y3" s="52"/>
    </row>
    <row r="4" spans="1:25" ht="15.75" customHeight="1" x14ac:dyDescent="0.25">
      <c r="A4" s="58">
        <v>3</v>
      </c>
      <c r="B4" s="62" t="s">
        <v>24</v>
      </c>
      <c r="C4" s="52" t="s">
        <v>25</v>
      </c>
      <c r="D4" s="63" t="s">
        <v>23</v>
      </c>
      <c r="E4" s="57" t="s">
        <v>468</v>
      </c>
      <c r="F4" s="66" t="s">
        <v>469</v>
      </c>
      <c r="G4" s="59" t="s">
        <v>26</v>
      </c>
      <c r="H4" s="59">
        <v>1</v>
      </c>
      <c r="I4" s="64">
        <v>3.2986111283872699E-3</v>
      </c>
      <c r="J4" s="65">
        <v>24</v>
      </c>
      <c r="K4" s="64">
        <v>6.6898149292363299E-3</v>
      </c>
      <c r="L4" s="65">
        <v>8</v>
      </c>
      <c r="M4" s="64">
        <v>6.6319438515818896E-3</v>
      </c>
      <c r="N4" s="65">
        <v>4</v>
      </c>
      <c r="O4" s="64">
        <v>3.7037112137483697E-4</v>
      </c>
      <c r="P4" s="65">
        <v>2</v>
      </c>
      <c r="Q4" s="60">
        <v>1.6990741030580299E-2</v>
      </c>
      <c r="R4" s="52"/>
      <c r="S4" s="52"/>
      <c r="T4" s="52"/>
      <c r="U4" s="52"/>
      <c r="V4" s="52"/>
      <c r="W4" s="52"/>
      <c r="X4" s="52"/>
      <c r="Y4" s="52"/>
    </row>
    <row r="5" spans="1:25" ht="15.75" customHeight="1" x14ac:dyDescent="0.25">
      <c r="A5" s="58">
        <v>4</v>
      </c>
      <c r="B5" s="62" t="s">
        <v>28</v>
      </c>
      <c r="C5" s="52" t="s">
        <v>29</v>
      </c>
      <c r="D5" s="63" t="s">
        <v>27</v>
      </c>
      <c r="E5" s="66" t="s">
        <v>470</v>
      </c>
      <c r="F5" s="52"/>
      <c r="G5" s="59" t="s">
        <v>30</v>
      </c>
      <c r="H5" s="59">
        <v>1</v>
      </c>
      <c r="I5" s="64">
        <v>3.4259259624771798E-3</v>
      </c>
      <c r="J5" s="65">
        <v>31</v>
      </c>
      <c r="K5" s="64">
        <v>6.6898148490806197E-3</v>
      </c>
      <c r="L5" s="65">
        <v>7</v>
      </c>
      <c r="M5" s="64">
        <v>7.1643517092721499E-3</v>
      </c>
      <c r="N5" s="65">
        <v>11</v>
      </c>
      <c r="O5" s="64">
        <v>4.1666731173783603E-4</v>
      </c>
      <c r="P5" s="65">
        <v>4</v>
      </c>
      <c r="Q5" s="60">
        <v>1.7696759832567702E-2</v>
      </c>
      <c r="R5" s="52"/>
      <c r="S5" s="52"/>
      <c r="T5" s="52"/>
      <c r="U5" s="52"/>
      <c r="V5" s="52"/>
      <c r="W5" s="52"/>
      <c r="X5" s="52"/>
      <c r="Y5" s="52"/>
    </row>
    <row r="6" spans="1:25" ht="15.75" customHeight="1" x14ac:dyDescent="0.25">
      <c r="A6" s="58">
        <v>5</v>
      </c>
      <c r="B6" s="62" t="s">
        <v>32</v>
      </c>
      <c r="C6" s="52" t="s">
        <v>33</v>
      </c>
      <c r="D6" s="63" t="s">
        <v>31</v>
      </c>
      <c r="E6" s="57" t="s">
        <v>583</v>
      </c>
      <c r="F6" s="52"/>
      <c r="G6" s="59" t="s">
        <v>26</v>
      </c>
      <c r="H6" s="59">
        <v>2</v>
      </c>
      <c r="I6" s="64">
        <v>3.00925926907581E-3</v>
      </c>
      <c r="J6" s="65">
        <v>10</v>
      </c>
      <c r="K6" s="64">
        <v>6.9560185494507501E-3</v>
      </c>
      <c r="L6" s="65">
        <v>16</v>
      </c>
      <c r="M6" s="64">
        <v>7.3958341360373997E-3</v>
      </c>
      <c r="N6" s="65">
        <v>20</v>
      </c>
      <c r="O6" s="64">
        <v>4.86111373023977E-4</v>
      </c>
      <c r="P6" s="65">
        <v>8</v>
      </c>
      <c r="Q6" s="60">
        <v>1.78472233275879E-2</v>
      </c>
      <c r="R6" s="52"/>
      <c r="S6" s="52"/>
      <c r="T6" s="52"/>
      <c r="U6" s="52"/>
      <c r="V6" s="52"/>
      <c r="W6" s="52"/>
      <c r="X6" s="52"/>
      <c r="Y6" s="52"/>
    </row>
    <row r="7" spans="1:25" ht="15.75" customHeight="1" x14ac:dyDescent="0.25">
      <c r="A7" s="58">
        <v>6</v>
      </c>
      <c r="B7" s="62" t="s">
        <v>35</v>
      </c>
      <c r="C7" s="52" t="s">
        <v>36</v>
      </c>
      <c r="D7" s="63" t="s">
        <v>34</v>
      </c>
      <c r="E7" s="57" t="s">
        <v>586</v>
      </c>
      <c r="F7" s="57" t="s">
        <v>469</v>
      </c>
      <c r="G7" s="59" t="s">
        <v>37</v>
      </c>
      <c r="H7" s="59">
        <v>1</v>
      </c>
      <c r="I7" s="64">
        <v>3.4375000231491198E-3</v>
      </c>
      <c r="J7" s="65">
        <v>35</v>
      </c>
      <c r="K7" s="64">
        <v>6.4351852166772998E-3</v>
      </c>
      <c r="L7" s="65">
        <v>2</v>
      </c>
      <c r="M7" s="64">
        <v>7.6851852792523701E-3</v>
      </c>
      <c r="N7" s="65">
        <v>27</v>
      </c>
      <c r="O7" s="64">
        <v>4.7453797170302401E-4</v>
      </c>
      <c r="P7" s="65">
        <v>7</v>
      </c>
      <c r="Q7" s="60">
        <v>1.80324084907818E-2</v>
      </c>
      <c r="R7" s="52"/>
      <c r="S7" s="52"/>
      <c r="T7" s="52"/>
      <c r="U7" s="52"/>
      <c r="V7" s="52"/>
      <c r="W7" s="52"/>
      <c r="X7" s="52"/>
      <c r="Y7" s="52"/>
    </row>
    <row r="8" spans="1:25" ht="15.75" customHeight="1" x14ac:dyDescent="0.25">
      <c r="A8" s="58">
        <v>7</v>
      </c>
      <c r="B8" s="62" t="s">
        <v>39</v>
      </c>
      <c r="C8" s="52" t="s">
        <v>40</v>
      </c>
      <c r="D8" s="63" t="s">
        <v>38</v>
      </c>
      <c r="E8" s="66" t="s">
        <v>507</v>
      </c>
      <c r="F8" s="52"/>
      <c r="G8" s="59" t="s">
        <v>18</v>
      </c>
      <c r="H8" s="59">
        <v>2</v>
      </c>
      <c r="I8" s="64">
        <v>2.95138890684612E-3</v>
      </c>
      <c r="J8" s="65">
        <v>8</v>
      </c>
      <c r="K8" s="64">
        <v>6.9444444903179201E-3</v>
      </c>
      <c r="L8" s="65">
        <v>15</v>
      </c>
      <c r="M8" s="64">
        <v>7.7314818134443103E-3</v>
      </c>
      <c r="N8" s="65">
        <v>28</v>
      </c>
      <c r="O8" s="64">
        <v>4.1666683261065799E-4</v>
      </c>
      <c r="P8" s="65">
        <v>3</v>
      </c>
      <c r="Q8" s="60">
        <v>1.8043982043219001E-2</v>
      </c>
      <c r="R8" s="52"/>
      <c r="S8" s="52"/>
      <c r="T8" s="52"/>
      <c r="U8" s="52"/>
      <c r="V8" s="52"/>
      <c r="W8" s="52"/>
      <c r="X8" s="52"/>
      <c r="Y8" s="52"/>
    </row>
    <row r="9" spans="1:25" ht="15.75" customHeight="1" x14ac:dyDescent="0.25">
      <c r="A9" s="58">
        <v>8</v>
      </c>
      <c r="B9" s="62" t="s">
        <v>42</v>
      </c>
      <c r="C9" s="52" t="s">
        <v>43</v>
      </c>
      <c r="D9" s="63" t="s">
        <v>41</v>
      </c>
      <c r="E9" s="57" t="s">
        <v>587</v>
      </c>
      <c r="F9" s="57" t="s">
        <v>469</v>
      </c>
      <c r="G9" s="59" t="s">
        <v>18</v>
      </c>
      <c r="H9" s="59">
        <v>3</v>
      </c>
      <c r="I9" s="64">
        <v>3.1828704738216399E-3</v>
      </c>
      <c r="J9" s="65">
        <v>20</v>
      </c>
      <c r="K9" s="64">
        <v>7.4768519090012003E-3</v>
      </c>
      <c r="L9" s="65">
        <v>60</v>
      </c>
      <c r="M9" s="64">
        <v>6.7824078835219898E-3</v>
      </c>
      <c r="N9" s="65">
        <v>5</v>
      </c>
      <c r="O9" s="64">
        <v>6.2500012804758004E-4</v>
      </c>
      <c r="P9" s="65">
        <v>14</v>
      </c>
      <c r="Q9" s="60">
        <v>1.8067130394392401E-2</v>
      </c>
      <c r="R9" s="52"/>
      <c r="S9" s="52"/>
      <c r="T9" s="52"/>
      <c r="U9" s="52"/>
      <c r="V9" s="52"/>
      <c r="W9" s="52"/>
      <c r="X9" s="52"/>
      <c r="Y9" s="52"/>
    </row>
    <row r="10" spans="1:25" ht="15.75" customHeight="1" x14ac:dyDescent="0.25">
      <c r="A10" s="58">
        <v>9</v>
      </c>
      <c r="B10" s="62" t="s">
        <v>45</v>
      </c>
      <c r="C10" s="52" t="s">
        <v>46</v>
      </c>
      <c r="D10" s="63" t="s">
        <v>44</v>
      </c>
      <c r="E10" s="66" t="s">
        <v>557</v>
      </c>
      <c r="F10" s="52"/>
      <c r="G10" s="59" t="s">
        <v>30</v>
      </c>
      <c r="H10" s="59">
        <v>2</v>
      </c>
      <c r="I10" s="64">
        <v>2.9398148162254E-3</v>
      </c>
      <c r="J10" s="65">
        <v>7</v>
      </c>
      <c r="K10" s="64">
        <v>7.0254630140396696E-3</v>
      </c>
      <c r="L10" s="65">
        <v>21</v>
      </c>
      <c r="M10" s="64">
        <v>7.6736106442149201E-3</v>
      </c>
      <c r="N10" s="65">
        <v>26</v>
      </c>
      <c r="O10" s="64">
        <v>4.9768602021605399E-4</v>
      </c>
      <c r="P10" s="65">
        <v>9</v>
      </c>
      <c r="Q10" s="60">
        <v>1.8136574494695998E-2</v>
      </c>
      <c r="R10" s="52"/>
      <c r="S10" s="52"/>
      <c r="T10" s="52"/>
      <c r="U10" s="52"/>
      <c r="V10" s="52"/>
      <c r="W10" s="52"/>
      <c r="X10" s="52"/>
      <c r="Y10" s="52"/>
    </row>
    <row r="11" spans="1:25" ht="15.75" customHeight="1" x14ac:dyDescent="0.25">
      <c r="A11" s="58">
        <v>10</v>
      </c>
      <c r="B11" s="62" t="s">
        <v>48</v>
      </c>
      <c r="C11" s="52" t="s">
        <v>49</v>
      </c>
      <c r="D11" s="63" t="s">
        <v>47</v>
      </c>
      <c r="E11" s="66" t="s">
        <v>529</v>
      </c>
      <c r="F11" s="52"/>
      <c r="G11" s="59" t="s">
        <v>18</v>
      </c>
      <c r="H11" s="59">
        <v>4</v>
      </c>
      <c r="I11" s="64">
        <v>3.0439815024598999E-3</v>
      </c>
      <c r="J11" s="65">
        <v>15</v>
      </c>
      <c r="K11" s="64">
        <v>6.97916675568808E-3</v>
      </c>
      <c r="L11" s="65">
        <v>17</v>
      </c>
      <c r="M11" s="64">
        <v>7.3842590173690999E-3</v>
      </c>
      <c r="N11" s="65">
        <v>17</v>
      </c>
      <c r="O11" s="64">
        <v>7.5231570711919505E-4</v>
      </c>
      <c r="P11" s="65">
        <v>29</v>
      </c>
      <c r="Q11" s="60">
        <v>1.8159722982636201E-2</v>
      </c>
      <c r="R11" s="52"/>
      <c r="S11" s="52"/>
      <c r="T11" s="52"/>
      <c r="U11" s="52"/>
      <c r="V11" s="52"/>
      <c r="W11" s="52"/>
      <c r="X11" s="52"/>
      <c r="Y11" s="52"/>
    </row>
    <row r="12" spans="1:25" ht="15.75" customHeight="1" x14ac:dyDescent="0.25">
      <c r="A12" s="58">
        <v>11</v>
      </c>
      <c r="B12" s="62" t="s">
        <v>51</v>
      </c>
      <c r="C12" s="52" t="s">
        <v>52</v>
      </c>
      <c r="D12" s="63" t="s">
        <v>50</v>
      </c>
      <c r="E12" s="66" t="s">
        <v>516</v>
      </c>
      <c r="F12" s="52"/>
      <c r="G12" s="59" t="s">
        <v>30</v>
      </c>
      <c r="H12" s="59">
        <v>3</v>
      </c>
      <c r="I12" s="64">
        <v>3.6689815795031902E-3</v>
      </c>
      <c r="J12" s="65">
        <v>51</v>
      </c>
      <c r="K12" s="64">
        <v>6.5162037916420296E-3</v>
      </c>
      <c r="L12" s="65">
        <v>3</v>
      </c>
      <c r="M12" s="64">
        <v>7.3842593024213699E-3</v>
      </c>
      <c r="N12" s="65">
        <v>18</v>
      </c>
      <c r="O12" s="64">
        <v>7.4074130618494497E-4</v>
      </c>
      <c r="P12" s="65">
        <v>26</v>
      </c>
      <c r="Q12" s="60">
        <v>1.8310185979751498E-2</v>
      </c>
      <c r="R12" s="52"/>
      <c r="S12" s="52"/>
      <c r="T12" s="52"/>
      <c r="U12" s="52"/>
      <c r="V12" s="52"/>
      <c r="W12" s="52"/>
      <c r="X12" s="52"/>
      <c r="Y12" s="52"/>
    </row>
    <row r="13" spans="1:25" ht="15.75" customHeight="1" x14ac:dyDescent="0.25">
      <c r="A13" s="58">
        <v>12</v>
      </c>
      <c r="B13" s="62" t="s">
        <v>54</v>
      </c>
      <c r="C13" s="52" t="s">
        <v>55</v>
      </c>
      <c r="D13" s="63" t="s">
        <v>53</v>
      </c>
      <c r="E13" s="66" t="s">
        <v>551</v>
      </c>
      <c r="F13" s="52"/>
      <c r="G13" s="59" t="s">
        <v>30</v>
      </c>
      <c r="H13" s="59">
        <v>4</v>
      </c>
      <c r="I13" s="64">
        <v>3.5300926921816699E-3</v>
      </c>
      <c r="J13" s="65">
        <v>42</v>
      </c>
      <c r="K13" s="64">
        <v>6.9907407823558698E-3</v>
      </c>
      <c r="L13" s="65">
        <v>18</v>
      </c>
      <c r="M13" s="64">
        <v>7.1296303647568997E-3</v>
      </c>
      <c r="N13" s="65">
        <v>9</v>
      </c>
      <c r="O13" s="64">
        <v>6.9444465291233E-4</v>
      </c>
      <c r="P13" s="65">
        <v>20</v>
      </c>
      <c r="Q13" s="60">
        <v>1.8344908492206699E-2</v>
      </c>
      <c r="R13" s="52"/>
      <c r="S13" s="52"/>
      <c r="T13" s="52"/>
      <c r="U13" s="52"/>
      <c r="V13" s="52"/>
      <c r="W13" s="52"/>
      <c r="X13" s="52"/>
      <c r="Y13" s="52"/>
    </row>
    <row r="14" spans="1:25" ht="15.75" customHeight="1" x14ac:dyDescent="0.25">
      <c r="A14" s="58">
        <v>13</v>
      </c>
      <c r="B14" s="62" t="s">
        <v>57</v>
      </c>
      <c r="C14" s="52" t="s">
        <v>58</v>
      </c>
      <c r="D14" s="63" t="s">
        <v>56</v>
      </c>
      <c r="E14" s="66" t="s">
        <v>497</v>
      </c>
      <c r="F14" s="52"/>
      <c r="G14" s="59" t="s">
        <v>26</v>
      </c>
      <c r="H14" s="59">
        <v>3</v>
      </c>
      <c r="I14" s="64">
        <v>2.8587963967393001E-3</v>
      </c>
      <c r="J14" s="65">
        <v>6</v>
      </c>
      <c r="K14" s="64">
        <v>7.0254629929974001E-3</v>
      </c>
      <c r="L14" s="65">
        <v>20</v>
      </c>
      <c r="M14" s="64">
        <v>7.8240745494104307E-3</v>
      </c>
      <c r="N14" s="65">
        <v>34</v>
      </c>
      <c r="O14" s="64">
        <v>6.8287043214548902E-4</v>
      </c>
      <c r="P14" s="65">
        <v>18</v>
      </c>
      <c r="Q14" s="60">
        <v>1.8391204371292599E-2</v>
      </c>
      <c r="R14" s="52"/>
      <c r="S14" s="52"/>
      <c r="T14" s="52"/>
      <c r="U14" s="52"/>
      <c r="V14" s="52"/>
      <c r="W14" s="52"/>
      <c r="X14" s="52"/>
      <c r="Y14" s="52"/>
    </row>
    <row r="15" spans="1:25" ht="15.75" customHeight="1" x14ac:dyDescent="0.25">
      <c r="A15" s="58">
        <v>14</v>
      </c>
      <c r="B15" s="62" t="s">
        <v>60</v>
      </c>
      <c r="C15" s="52" t="s">
        <v>61</v>
      </c>
      <c r="D15" s="63" t="s">
        <v>59</v>
      </c>
      <c r="E15" s="66" t="s">
        <v>569</v>
      </c>
      <c r="F15" s="52"/>
      <c r="G15" s="59" t="s">
        <v>26</v>
      </c>
      <c r="H15" s="59">
        <v>4</v>
      </c>
      <c r="I15" s="64">
        <v>3.7268519165036601E-3</v>
      </c>
      <c r="J15" s="65">
        <v>52</v>
      </c>
      <c r="K15" s="64">
        <v>5.9259259755803902E-3</v>
      </c>
      <c r="L15" s="65">
        <v>1</v>
      </c>
      <c r="M15" s="64">
        <v>8.2754621105521793E-3</v>
      </c>
      <c r="N15" s="65">
        <v>49</v>
      </c>
      <c r="O15" s="64">
        <v>4.9768608577327304E-4</v>
      </c>
      <c r="P15" s="65">
        <v>10</v>
      </c>
      <c r="Q15" s="60">
        <v>1.8425926088409501E-2</v>
      </c>
      <c r="R15" s="52"/>
      <c r="S15" s="52"/>
      <c r="T15" s="52"/>
      <c r="U15" s="52"/>
      <c r="V15" s="52"/>
      <c r="W15" s="52"/>
      <c r="X15" s="52"/>
      <c r="Y15" s="52"/>
    </row>
    <row r="16" spans="1:25" ht="15.75" customHeight="1" x14ac:dyDescent="0.25">
      <c r="A16" s="58">
        <v>15</v>
      </c>
      <c r="B16" s="62" t="s">
        <v>63</v>
      </c>
      <c r="C16" s="52" t="s">
        <v>64</v>
      </c>
      <c r="D16" s="63" t="s">
        <v>62</v>
      </c>
      <c r="E16" s="57" t="s">
        <v>588</v>
      </c>
      <c r="F16" s="57" t="s">
        <v>469</v>
      </c>
      <c r="G16" s="59" t="s">
        <v>26</v>
      </c>
      <c r="H16" s="59">
        <v>5</v>
      </c>
      <c r="I16" s="64">
        <v>3.4375000031720399E-3</v>
      </c>
      <c r="J16" s="65">
        <v>34</v>
      </c>
      <c r="K16" s="64">
        <v>7.2106482025246898E-3</v>
      </c>
      <c r="L16" s="65">
        <v>38</v>
      </c>
      <c r="M16" s="64">
        <v>7.1296293818181797E-3</v>
      </c>
      <c r="N16" s="65">
        <v>8</v>
      </c>
      <c r="O16" s="64">
        <v>7.2916726083692104E-4</v>
      </c>
      <c r="P16" s="65">
        <v>25</v>
      </c>
      <c r="Q16" s="60">
        <v>1.8506944848351799E-2</v>
      </c>
      <c r="R16" s="52"/>
      <c r="S16" s="52"/>
      <c r="T16" s="52"/>
      <c r="U16" s="52"/>
      <c r="V16" s="52"/>
      <c r="W16" s="52"/>
      <c r="X16" s="52"/>
      <c r="Y16" s="52"/>
    </row>
    <row r="17" spans="1:25" ht="15.75" customHeight="1" x14ac:dyDescent="0.25">
      <c r="A17" s="58">
        <v>16</v>
      </c>
      <c r="B17" s="62" t="s">
        <v>66</v>
      </c>
      <c r="C17" s="52" t="s">
        <v>67</v>
      </c>
      <c r="D17" s="63" t="s">
        <v>65</v>
      </c>
      <c r="E17" s="57" t="s">
        <v>589</v>
      </c>
      <c r="F17" s="57" t="s">
        <v>469</v>
      </c>
      <c r="G17" s="59" t="s">
        <v>26</v>
      </c>
      <c r="H17" s="59">
        <v>6</v>
      </c>
      <c r="I17" s="64">
        <v>3.42592601098447E-3</v>
      </c>
      <c r="J17" s="65">
        <v>32</v>
      </c>
      <c r="K17" s="64">
        <v>7.3495371362036297E-3</v>
      </c>
      <c r="L17" s="65">
        <v>50</v>
      </c>
      <c r="M17" s="64">
        <v>7.0138895165952004E-3</v>
      </c>
      <c r="N17" s="65">
        <v>7</v>
      </c>
      <c r="O17" s="64">
        <v>7.2916696079143996E-4</v>
      </c>
      <c r="P17" s="65">
        <v>23</v>
      </c>
      <c r="Q17" s="60">
        <v>1.8518519624574702E-2</v>
      </c>
      <c r="R17" s="52"/>
      <c r="S17" s="52"/>
      <c r="T17" s="52"/>
      <c r="U17" s="52"/>
      <c r="V17" s="52"/>
      <c r="W17" s="52"/>
      <c r="X17" s="52"/>
      <c r="Y17" s="52"/>
    </row>
    <row r="18" spans="1:25" ht="15.75" customHeight="1" x14ac:dyDescent="0.25">
      <c r="A18" s="58">
        <v>17</v>
      </c>
      <c r="B18" s="62" t="s">
        <v>69</v>
      </c>
      <c r="C18" s="52" t="s">
        <v>70</v>
      </c>
      <c r="D18" s="63" t="s">
        <v>68</v>
      </c>
      <c r="E18" s="57" t="s">
        <v>576</v>
      </c>
      <c r="F18" s="52"/>
      <c r="G18" s="59" t="s">
        <v>22</v>
      </c>
      <c r="H18" s="59">
        <v>2</v>
      </c>
      <c r="I18" s="64">
        <v>2.7893518698182498E-3</v>
      </c>
      <c r="J18" s="65">
        <v>4</v>
      </c>
      <c r="K18" s="64">
        <v>7.3263889676078199E-3</v>
      </c>
      <c r="L18" s="65">
        <v>47</v>
      </c>
      <c r="M18" s="64">
        <v>7.5694437565371701E-3</v>
      </c>
      <c r="N18" s="65">
        <v>24</v>
      </c>
      <c r="O18" s="64">
        <v>9.2592652959084696E-4</v>
      </c>
      <c r="P18" s="65">
        <v>56</v>
      </c>
      <c r="Q18" s="60">
        <v>1.8611111123554101E-2</v>
      </c>
      <c r="R18" s="52"/>
      <c r="S18" s="52"/>
      <c r="T18" s="52"/>
      <c r="U18" s="52"/>
      <c r="V18" s="52"/>
      <c r="W18" s="52"/>
      <c r="X18" s="52"/>
      <c r="Y18" s="52"/>
    </row>
    <row r="19" spans="1:25" ht="15.75" customHeight="1" x14ac:dyDescent="0.25">
      <c r="A19" s="58">
        <v>18</v>
      </c>
      <c r="B19" s="62" t="s">
        <v>72</v>
      </c>
      <c r="C19" s="52" t="s">
        <v>73</v>
      </c>
      <c r="D19" s="63" t="s">
        <v>71</v>
      </c>
      <c r="E19" s="66" t="s">
        <v>565</v>
      </c>
      <c r="F19" s="52"/>
      <c r="G19" s="59" t="s">
        <v>22</v>
      </c>
      <c r="H19" s="59">
        <v>3</v>
      </c>
      <c r="I19" s="64">
        <v>3.7847222873004698E-3</v>
      </c>
      <c r="J19" s="65">
        <v>55</v>
      </c>
      <c r="K19" s="64">
        <v>7.1643519277883299E-3</v>
      </c>
      <c r="L19" s="65">
        <v>34</v>
      </c>
      <c r="M19" s="64">
        <v>7.0138888700196599E-3</v>
      </c>
      <c r="N19" s="65">
        <v>6</v>
      </c>
      <c r="O19" s="64">
        <v>7.7546356623783396E-4</v>
      </c>
      <c r="P19" s="65">
        <v>34</v>
      </c>
      <c r="Q19" s="60">
        <v>1.8738426651346299E-2</v>
      </c>
      <c r="R19" s="52"/>
      <c r="S19" s="52"/>
      <c r="T19" s="52"/>
      <c r="U19" s="52"/>
      <c r="V19" s="52"/>
      <c r="W19" s="52"/>
      <c r="X19" s="52"/>
      <c r="Y19" s="52"/>
    </row>
    <row r="20" spans="1:25" ht="15.75" customHeight="1" x14ac:dyDescent="0.25">
      <c r="A20" s="58">
        <v>19</v>
      </c>
      <c r="B20" s="62" t="s">
        <v>75</v>
      </c>
      <c r="C20" s="52" t="s">
        <v>40</v>
      </c>
      <c r="D20" s="63" t="s">
        <v>74</v>
      </c>
      <c r="E20" s="66" t="s">
        <v>484</v>
      </c>
      <c r="F20" s="52"/>
      <c r="G20" s="59" t="s">
        <v>22</v>
      </c>
      <c r="H20" s="59">
        <v>4</v>
      </c>
      <c r="I20" s="64">
        <v>3.0324075153771802E-3</v>
      </c>
      <c r="J20" s="65">
        <v>13</v>
      </c>
      <c r="K20" s="64">
        <v>7.7314814834089198E-3</v>
      </c>
      <c r="L20" s="65">
        <v>72</v>
      </c>
      <c r="M20" s="64">
        <v>7.29166618480717E-3</v>
      </c>
      <c r="N20" s="65">
        <v>16</v>
      </c>
      <c r="O20" s="64">
        <v>7.9861159545504797E-4</v>
      </c>
      <c r="P20" s="65">
        <v>38</v>
      </c>
      <c r="Q20" s="60">
        <v>1.88541667790483E-2</v>
      </c>
      <c r="R20" s="52"/>
      <c r="S20" s="52"/>
      <c r="T20" s="52"/>
      <c r="U20" s="52"/>
      <c r="V20" s="52"/>
      <c r="W20" s="52"/>
      <c r="X20" s="52"/>
      <c r="Y20" s="52"/>
    </row>
    <row r="21" spans="1:25" ht="15.75" customHeight="1" x14ac:dyDescent="0.25">
      <c r="A21" s="58">
        <v>20</v>
      </c>
      <c r="B21" s="62" t="s">
        <v>77</v>
      </c>
      <c r="C21" s="52" t="s">
        <v>78</v>
      </c>
      <c r="D21" s="63" t="s">
        <v>76</v>
      </c>
      <c r="E21" s="57" t="s">
        <v>590</v>
      </c>
      <c r="F21" s="57" t="s">
        <v>591</v>
      </c>
      <c r="G21" s="59" t="s">
        <v>26</v>
      </c>
      <c r="H21" s="59">
        <v>7</v>
      </c>
      <c r="I21" s="64">
        <v>3.3449074293837601E-3</v>
      </c>
      <c r="J21" s="65">
        <v>25</v>
      </c>
      <c r="K21" s="64">
        <v>6.8518519054570296E-3</v>
      </c>
      <c r="L21" s="65">
        <v>13</v>
      </c>
      <c r="M21" s="64">
        <v>8.1944446838248808E-3</v>
      </c>
      <c r="N21" s="65">
        <v>47</v>
      </c>
      <c r="O21" s="64">
        <v>5.0925961696581597E-4</v>
      </c>
      <c r="P21" s="65">
        <v>11</v>
      </c>
      <c r="Q21" s="60">
        <v>1.8900463635631502E-2</v>
      </c>
      <c r="R21" s="52"/>
      <c r="S21" s="52"/>
      <c r="T21" s="52"/>
      <c r="U21" s="52"/>
      <c r="V21" s="52"/>
      <c r="W21" s="52"/>
      <c r="X21" s="52"/>
      <c r="Y21" s="52"/>
    </row>
    <row r="22" spans="1:25" ht="15.75" customHeight="1" x14ac:dyDescent="0.25">
      <c r="A22" s="58">
        <v>21</v>
      </c>
      <c r="B22" s="62" t="s">
        <v>80</v>
      </c>
      <c r="C22" s="52" t="s">
        <v>81</v>
      </c>
      <c r="D22" s="63" t="s">
        <v>79</v>
      </c>
      <c r="E22" s="66" t="s">
        <v>546</v>
      </c>
      <c r="F22" s="52"/>
      <c r="G22" s="59" t="s">
        <v>18</v>
      </c>
      <c r="H22" s="59">
        <v>5</v>
      </c>
      <c r="I22" s="64">
        <v>3.0555556312046798E-3</v>
      </c>
      <c r="J22" s="65">
        <v>16</v>
      </c>
      <c r="K22" s="64">
        <v>6.6203703766361897E-3</v>
      </c>
      <c r="L22" s="65">
        <v>5</v>
      </c>
      <c r="M22" s="64">
        <v>8.7152777994496007E-3</v>
      </c>
      <c r="N22" s="65">
        <v>71</v>
      </c>
      <c r="O22" s="64">
        <v>6.3657459339358697E-4</v>
      </c>
      <c r="P22" s="65">
        <v>16</v>
      </c>
      <c r="Q22" s="60">
        <v>1.9027778400683999E-2</v>
      </c>
      <c r="R22" s="52"/>
      <c r="S22" s="52"/>
      <c r="T22" s="52"/>
      <c r="U22" s="52"/>
      <c r="V22" s="52"/>
      <c r="W22" s="52"/>
      <c r="X22" s="52"/>
      <c r="Y22" s="52"/>
    </row>
    <row r="23" spans="1:25" ht="15.75" customHeight="1" x14ac:dyDescent="0.25">
      <c r="A23" s="58">
        <v>22</v>
      </c>
      <c r="B23" s="62" t="s">
        <v>83</v>
      </c>
      <c r="C23" s="52" t="s">
        <v>84</v>
      </c>
      <c r="D23" s="63" t="s">
        <v>82</v>
      </c>
      <c r="E23" s="57" t="s">
        <v>592</v>
      </c>
      <c r="F23" s="57" t="s">
        <v>469</v>
      </c>
      <c r="G23" s="59" t="s">
        <v>18</v>
      </c>
      <c r="H23" s="59">
        <v>6</v>
      </c>
      <c r="I23" s="64">
        <v>3.7615741631595299E-3</v>
      </c>
      <c r="J23" s="65">
        <v>53</v>
      </c>
      <c r="K23" s="64">
        <v>7.3032407662456103E-3</v>
      </c>
      <c r="L23" s="65">
        <v>44</v>
      </c>
      <c r="M23" s="64">
        <v>7.1990741441420999E-3</v>
      </c>
      <c r="N23" s="65">
        <v>14</v>
      </c>
      <c r="O23" s="64">
        <v>7.7546317488284095E-4</v>
      </c>
      <c r="P23" s="65">
        <v>32</v>
      </c>
      <c r="Q23" s="60">
        <v>1.9039352248430098E-2</v>
      </c>
      <c r="R23" s="52"/>
      <c r="S23" s="52"/>
      <c r="T23" s="52"/>
      <c r="U23" s="52"/>
      <c r="V23" s="52"/>
      <c r="W23" s="52"/>
      <c r="X23" s="52"/>
      <c r="Y23" s="52"/>
    </row>
    <row r="24" spans="1:25" ht="15.75" customHeight="1" x14ac:dyDescent="0.25">
      <c r="A24" s="58">
        <v>23</v>
      </c>
      <c r="B24" s="62" t="s">
        <v>86</v>
      </c>
      <c r="C24" s="52" t="s">
        <v>87</v>
      </c>
      <c r="D24" s="63" t="s">
        <v>85</v>
      </c>
      <c r="E24" s="57" t="s">
        <v>593</v>
      </c>
      <c r="F24" s="57" t="s">
        <v>469</v>
      </c>
      <c r="G24" s="59" t="s">
        <v>22</v>
      </c>
      <c r="H24" s="59">
        <v>5</v>
      </c>
      <c r="I24" s="64">
        <v>3.9814814990427501E-3</v>
      </c>
      <c r="J24" s="65">
        <v>67</v>
      </c>
      <c r="K24" s="64">
        <v>7.1759259272505798E-3</v>
      </c>
      <c r="L24" s="65">
        <v>35</v>
      </c>
      <c r="M24" s="64">
        <v>7.1527779042303502E-3</v>
      </c>
      <c r="N24" s="65">
        <v>10</v>
      </c>
      <c r="O24" s="64">
        <v>7.7546355318226898E-4</v>
      </c>
      <c r="P24" s="65">
        <v>33</v>
      </c>
      <c r="Q24" s="60">
        <v>1.90856488837059E-2</v>
      </c>
      <c r="R24" s="52"/>
      <c r="S24" s="52"/>
      <c r="T24" s="52"/>
      <c r="U24" s="52"/>
      <c r="V24" s="52"/>
      <c r="W24" s="52"/>
      <c r="X24" s="52"/>
      <c r="Y24" s="52"/>
    </row>
    <row r="25" spans="1:25" ht="15.75" customHeight="1" x14ac:dyDescent="0.25">
      <c r="A25" s="58">
        <v>24</v>
      </c>
      <c r="B25" s="62" t="s">
        <v>89</v>
      </c>
      <c r="C25" s="52" t="s">
        <v>21</v>
      </c>
      <c r="D25" s="63" t="s">
        <v>88</v>
      </c>
      <c r="E25" s="57" t="s">
        <v>594</v>
      </c>
      <c r="F25" s="57" t="s">
        <v>469</v>
      </c>
      <c r="G25" s="59" t="s">
        <v>22</v>
      </c>
      <c r="H25" s="59">
        <v>6</v>
      </c>
      <c r="I25" s="64">
        <v>3.2523149158652401E-3</v>
      </c>
      <c r="J25" s="65">
        <v>23</v>
      </c>
      <c r="K25" s="64">
        <v>7.2222222346235701E-3</v>
      </c>
      <c r="L25" s="65">
        <v>39</v>
      </c>
      <c r="M25" s="64">
        <v>7.8009254914979103E-3</v>
      </c>
      <c r="N25" s="65">
        <v>33</v>
      </c>
      <c r="O25" s="64">
        <v>8.5648195316641795E-4</v>
      </c>
      <c r="P25" s="65">
        <v>47</v>
      </c>
      <c r="Q25" s="60">
        <v>1.9131944595153098E-2</v>
      </c>
      <c r="R25" s="52"/>
      <c r="S25" s="52"/>
      <c r="T25" s="52"/>
      <c r="U25" s="52"/>
      <c r="V25" s="52"/>
      <c r="W25" s="52"/>
      <c r="X25" s="52"/>
      <c r="Y25" s="52"/>
    </row>
    <row r="26" spans="1:25" ht="15.75" customHeight="1" x14ac:dyDescent="0.25">
      <c r="A26" s="58">
        <v>25</v>
      </c>
      <c r="B26" s="62" t="s">
        <v>91</v>
      </c>
      <c r="C26" s="52" t="s">
        <v>92</v>
      </c>
      <c r="D26" s="63" t="s">
        <v>90</v>
      </c>
      <c r="E26" s="66" t="s">
        <v>504</v>
      </c>
      <c r="F26" s="52"/>
      <c r="G26" s="59" t="s">
        <v>18</v>
      </c>
      <c r="H26" s="59">
        <v>7</v>
      </c>
      <c r="I26" s="64">
        <v>3.0439814918683601E-3</v>
      </c>
      <c r="J26" s="65">
        <v>14</v>
      </c>
      <c r="K26" s="64">
        <v>7.08333340427998E-3</v>
      </c>
      <c r="L26" s="65">
        <v>27</v>
      </c>
      <c r="M26" s="64">
        <v>8.1365737543649397E-3</v>
      </c>
      <c r="N26" s="65">
        <v>43</v>
      </c>
      <c r="O26" s="64">
        <v>9.8379689641109997E-4</v>
      </c>
      <c r="P26" s="65">
        <v>61</v>
      </c>
      <c r="Q26" s="60">
        <v>1.9247685546924301E-2</v>
      </c>
      <c r="R26" s="52"/>
      <c r="S26" s="52"/>
      <c r="T26" s="52"/>
      <c r="U26" s="52"/>
      <c r="V26" s="52"/>
      <c r="W26" s="52"/>
      <c r="X26" s="52"/>
      <c r="Y26" s="52"/>
    </row>
    <row r="27" spans="1:25" ht="15.75" customHeight="1" x14ac:dyDescent="0.25">
      <c r="A27" s="58">
        <v>26</v>
      </c>
      <c r="B27" s="62" t="s">
        <v>94</v>
      </c>
      <c r="C27" s="52" t="s">
        <v>95</v>
      </c>
      <c r="D27" s="63" t="s">
        <v>93</v>
      </c>
      <c r="E27" s="57" t="s">
        <v>595</v>
      </c>
      <c r="F27" s="57" t="s">
        <v>596</v>
      </c>
      <c r="G27" s="59" t="s">
        <v>96</v>
      </c>
      <c r="H27" s="59">
        <v>1</v>
      </c>
      <c r="I27" s="64">
        <v>3.3564815391146398E-3</v>
      </c>
      <c r="J27" s="65">
        <v>28</v>
      </c>
      <c r="K27" s="64">
        <v>7.1296296797394004E-3</v>
      </c>
      <c r="L27" s="65">
        <v>30</v>
      </c>
      <c r="M27" s="64">
        <v>7.9976850557627807E-3</v>
      </c>
      <c r="N27" s="65">
        <v>36</v>
      </c>
      <c r="O27" s="64">
        <v>7.8703755596141805E-4</v>
      </c>
      <c r="P27" s="65">
        <v>36</v>
      </c>
      <c r="Q27" s="60">
        <v>1.9270833830578201E-2</v>
      </c>
      <c r="R27" s="52"/>
      <c r="S27" s="52"/>
      <c r="T27" s="52"/>
      <c r="U27" s="52"/>
      <c r="V27" s="52"/>
      <c r="W27" s="52"/>
      <c r="X27" s="52"/>
      <c r="Y27" s="52"/>
    </row>
    <row r="28" spans="1:25" ht="15.75" customHeight="1" x14ac:dyDescent="0.25">
      <c r="A28" s="58">
        <v>27</v>
      </c>
      <c r="B28" s="62" t="s">
        <v>98</v>
      </c>
      <c r="C28" s="52" t="s">
        <v>99</v>
      </c>
      <c r="D28" s="63" t="s">
        <v>97</v>
      </c>
      <c r="E28" s="66" t="s">
        <v>473</v>
      </c>
      <c r="F28" s="52"/>
      <c r="G28" s="59" t="s">
        <v>30</v>
      </c>
      <c r="H28" s="59">
        <v>5</v>
      </c>
      <c r="I28" s="64">
        <v>3.3449075146591099E-3</v>
      </c>
      <c r="J28" s="65">
        <v>27</v>
      </c>
      <c r="K28" s="64">
        <v>7.2569445578934402E-3</v>
      </c>
      <c r="L28" s="65">
        <v>41</v>
      </c>
      <c r="M28" s="64">
        <v>7.5810193587135402E-3</v>
      </c>
      <c r="N28" s="65">
        <v>25</v>
      </c>
      <c r="O28" s="64">
        <v>1.11111101776966E-3</v>
      </c>
      <c r="P28" s="65">
        <v>82</v>
      </c>
      <c r="Q28" s="60">
        <v>1.9293982449035699E-2</v>
      </c>
      <c r="R28" s="52"/>
      <c r="S28" s="52"/>
      <c r="T28" s="52"/>
      <c r="U28" s="52"/>
      <c r="V28" s="52"/>
      <c r="W28" s="52"/>
      <c r="X28" s="52"/>
      <c r="Y28" s="52"/>
    </row>
    <row r="29" spans="1:25" ht="15.75" customHeight="1" x14ac:dyDescent="0.25">
      <c r="A29" s="58">
        <v>28</v>
      </c>
      <c r="B29" s="62" t="s">
        <v>101</v>
      </c>
      <c r="C29" s="52" t="s">
        <v>102</v>
      </c>
      <c r="D29" s="63" t="s">
        <v>100</v>
      </c>
      <c r="E29" s="66" t="s">
        <v>491</v>
      </c>
      <c r="F29" s="52"/>
      <c r="G29" s="59" t="s">
        <v>103</v>
      </c>
      <c r="H29" s="59">
        <v>1</v>
      </c>
      <c r="I29" s="64">
        <v>3.0092593436608799E-3</v>
      </c>
      <c r="J29" s="65">
        <v>11</v>
      </c>
      <c r="K29" s="64">
        <v>8.1250000199282104E-3</v>
      </c>
      <c r="L29" s="65">
        <v>96</v>
      </c>
      <c r="M29" s="64">
        <v>7.4652786344188201E-3</v>
      </c>
      <c r="N29" s="65">
        <v>21</v>
      </c>
      <c r="O29" s="64">
        <v>7.0601857032201497E-4</v>
      </c>
      <c r="P29" s="65">
        <v>21</v>
      </c>
      <c r="Q29" s="60">
        <v>1.9305556568329899E-2</v>
      </c>
      <c r="R29" s="52"/>
      <c r="S29" s="52"/>
      <c r="T29" s="52"/>
      <c r="U29" s="52"/>
      <c r="V29" s="52"/>
      <c r="W29" s="52"/>
      <c r="X29" s="52"/>
      <c r="Y29" s="52"/>
    </row>
    <row r="30" spans="1:25" ht="15.75" customHeight="1" x14ac:dyDescent="0.25">
      <c r="A30" s="58">
        <v>29</v>
      </c>
      <c r="B30" s="62" t="s">
        <v>105</v>
      </c>
      <c r="C30" s="52" t="s">
        <v>106</v>
      </c>
      <c r="D30" s="63" t="s">
        <v>104</v>
      </c>
      <c r="E30" s="57" t="s">
        <v>597</v>
      </c>
      <c r="F30" s="57" t="s">
        <v>469</v>
      </c>
      <c r="G30" s="59" t="s">
        <v>22</v>
      </c>
      <c r="H30" s="59">
        <v>7</v>
      </c>
      <c r="I30" s="64">
        <v>3.91203714040701E-3</v>
      </c>
      <c r="J30" s="65">
        <v>64</v>
      </c>
      <c r="K30" s="64">
        <v>7.1875000969822802E-3</v>
      </c>
      <c r="L30" s="65">
        <v>37</v>
      </c>
      <c r="M30" s="64">
        <v>7.1990740913667299E-3</v>
      </c>
      <c r="N30" s="65">
        <v>13</v>
      </c>
      <c r="O30" s="64">
        <v>1.07638889536355E-3</v>
      </c>
      <c r="P30" s="65">
        <v>75</v>
      </c>
      <c r="Q30" s="60">
        <v>1.9375000224119501E-2</v>
      </c>
      <c r="R30" s="52"/>
      <c r="S30" s="52"/>
      <c r="T30" s="52"/>
      <c r="U30" s="52"/>
      <c r="V30" s="52"/>
      <c r="W30" s="52"/>
      <c r="X30" s="52"/>
      <c r="Y30" s="52"/>
    </row>
    <row r="31" spans="1:25" ht="15.75" customHeight="1" x14ac:dyDescent="0.25">
      <c r="A31" s="58">
        <v>30</v>
      </c>
      <c r="B31" s="62" t="s">
        <v>108</v>
      </c>
      <c r="C31" s="52" t="s">
        <v>109</v>
      </c>
      <c r="D31" s="63" t="s">
        <v>107</v>
      </c>
      <c r="E31" s="66" t="s">
        <v>483</v>
      </c>
      <c r="F31" s="52"/>
      <c r="G31" s="59" t="s">
        <v>18</v>
      </c>
      <c r="H31" s="59">
        <v>8</v>
      </c>
      <c r="I31" s="64">
        <v>3.17129637956081E-3</v>
      </c>
      <c r="J31" s="65">
        <v>19</v>
      </c>
      <c r="K31" s="64">
        <v>7.0370370844809503E-3</v>
      </c>
      <c r="L31" s="65">
        <v>23</v>
      </c>
      <c r="M31" s="64">
        <v>8.6342583764579296E-3</v>
      </c>
      <c r="N31" s="65">
        <v>67</v>
      </c>
      <c r="O31" s="64">
        <v>7.4074159648765403E-4</v>
      </c>
      <c r="P31" s="65">
        <v>28</v>
      </c>
      <c r="Q31" s="60">
        <v>1.9583333436987298E-2</v>
      </c>
      <c r="R31" s="52"/>
      <c r="S31" s="52"/>
      <c r="T31" s="52"/>
      <c r="U31" s="52"/>
      <c r="V31" s="52"/>
      <c r="W31" s="52"/>
      <c r="X31" s="52"/>
      <c r="Y31" s="52"/>
    </row>
    <row r="32" spans="1:25" ht="15.75" customHeight="1" x14ac:dyDescent="0.25">
      <c r="A32" s="58">
        <v>31</v>
      </c>
      <c r="B32" s="62" t="s">
        <v>111</v>
      </c>
      <c r="C32" s="52" t="s">
        <v>112</v>
      </c>
      <c r="D32" s="63" t="s">
        <v>110</v>
      </c>
      <c r="E32" s="57" t="s">
        <v>526</v>
      </c>
      <c r="F32" s="52"/>
      <c r="G32" s="59" t="s">
        <v>26</v>
      </c>
      <c r="H32" s="59">
        <v>8</v>
      </c>
      <c r="I32" s="64">
        <v>3.5648148555487901E-3</v>
      </c>
      <c r="J32" s="65">
        <v>43</v>
      </c>
      <c r="K32" s="64">
        <v>7.3611111131130997E-3</v>
      </c>
      <c r="L32" s="65">
        <v>51</v>
      </c>
      <c r="M32" s="64">
        <v>7.7430557426798E-3</v>
      </c>
      <c r="N32" s="65">
        <v>29</v>
      </c>
      <c r="O32" s="64">
        <v>9.1435236563176803E-4</v>
      </c>
      <c r="P32" s="65">
        <v>55</v>
      </c>
      <c r="Q32" s="60">
        <v>1.9583334076973401E-2</v>
      </c>
      <c r="R32" s="52"/>
      <c r="S32" s="52"/>
      <c r="T32" s="52"/>
      <c r="U32" s="52"/>
      <c r="V32" s="52"/>
      <c r="W32" s="52"/>
      <c r="X32" s="52"/>
      <c r="Y32" s="52"/>
    </row>
    <row r="33" spans="1:25" ht="15.75" customHeight="1" x14ac:dyDescent="0.25">
      <c r="A33" s="58">
        <v>32</v>
      </c>
      <c r="B33" s="62" t="s">
        <v>114</v>
      </c>
      <c r="C33" s="52" t="s">
        <v>115</v>
      </c>
      <c r="D33" s="63" t="s">
        <v>113</v>
      </c>
      <c r="E33" s="69" t="s">
        <v>630</v>
      </c>
      <c r="F33" s="69" t="s">
        <v>631</v>
      </c>
      <c r="G33" s="59" t="s">
        <v>116</v>
      </c>
      <c r="H33" s="59">
        <v>1</v>
      </c>
      <c r="I33" s="64">
        <v>3.8078704052234499E-3</v>
      </c>
      <c r="J33" s="65">
        <v>58</v>
      </c>
      <c r="K33" s="64">
        <v>7.6736111934579904E-3</v>
      </c>
      <c r="L33" s="65">
        <v>70</v>
      </c>
      <c r="M33" s="64">
        <v>7.5231488013987897E-3</v>
      </c>
      <c r="N33" s="65">
        <v>23</v>
      </c>
      <c r="O33" s="64">
        <v>7.7546292606575802E-4</v>
      </c>
      <c r="P33" s="65">
        <v>31</v>
      </c>
      <c r="Q33" s="60">
        <v>1.9780093326146001E-2</v>
      </c>
      <c r="R33" s="52"/>
      <c r="S33" s="52"/>
      <c r="T33" s="52"/>
      <c r="U33" s="52"/>
      <c r="V33" s="52"/>
      <c r="W33" s="52"/>
      <c r="X33" s="52"/>
      <c r="Y33" s="52"/>
    </row>
    <row r="34" spans="1:25" ht="15.75" customHeight="1" x14ac:dyDescent="0.25">
      <c r="A34" s="58">
        <v>33</v>
      </c>
      <c r="B34" s="62" t="s">
        <v>118</v>
      </c>
      <c r="C34" s="52" t="s">
        <v>119</v>
      </c>
      <c r="D34" s="63" t="s">
        <v>117</v>
      </c>
      <c r="E34" s="66" t="s">
        <v>560</v>
      </c>
      <c r="F34" s="52"/>
      <c r="G34" s="59" t="s">
        <v>103</v>
      </c>
      <c r="H34" s="59">
        <v>2</v>
      </c>
      <c r="I34" s="64">
        <v>3.5069444452285E-3</v>
      </c>
      <c r="J34" s="65">
        <v>41</v>
      </c>
      <c r="K34" s="64">
        <v>7.53472229450451E-3</v>
      </c>
      <c r="L34" s="65">
        <v>62</v>
      </c>
      <c r="M34" s="64">
        <v>8.0902781446099692E-3</v>
      </c>
      <c r="N34" s="65">
        <v>39</v>
      </c>
      <c r="O34" s="64">
        <v>8.3333391762429297E-4</v>
      </c>
      <c r="P34" s="65">
        <v>42</v>
      </c>
      <c r="Q34" s="60">
        <v>1.99652788019672E-2</v>
      </c>
      <c r="R34" s="52"/>
      <c r="S34" s="52"/>
      <c r="T34" s="52"/>
      <c r="U34" s="52"/>
      <c r="V34" s="52"/>
      <c r="W34" s="52"/>
      <c r="X34" s="52"/>
      <c r="Y34" s="52"/>
    </row>
    <row r="35" spans="1:25" ht="15.75" customHeight="1" x14ac:dyDescent="0.25">
      <c r="A35" s="58">
        <v>34</v>
      </c>
      <c r="B35" s="62" t="s">
        <v>121</v>
      </c>
      <c r="C35" s="52" t="s">
        <v>122</v>
      </c>
      <c r="D35" s="63" t="s">
        <v>120</v>
      </c>
      <c r="E35" s="57" t="s">
        <v>532</v>
      </c>
      <c r="F35" s="52"/>
      <c r="G35" s="59" t="s">
        <v>22</v>
      </c>
      <c r="H35" s="59">
        <v>8</v>
      </c>
      <c r="I35" s="64">
        <v>2.7777778777812699E-3</v>
      </c>
      <c r="J35" s="65">
        <v>3</v>
      </c>
      <c r="K35" s="64">
        <v>8.1134260033777703E-3</v>
      </c>
      <c r="L35" s="65">
        <v>94</v>
      </c>
      <c r="M35" s="64">
        <v>8.3333324983231299E-3</v>
      </c>
      <c r="N35" s="65">
        <v>50</v>
      </c>
      <c r="O35" s="64">
        <v>7.6388963921357001E-4</v>
      </c>
      <c r="P35" s="65">
        <v>30</v>
      </c>
      <c r="Q35" s="60">
        <v>1.9988426018695701E-2</v>
      </c>
      <c r="R35" s="52"/>
      <c r="S35" s="52"/>
      <c r="T35" s="52"/>
      <c r="U35" s="52"/>
      <c r="V35" s="52"/>
      <c r="W35" s="52"/>
      <c r="X35" s="52"/>
      <c r="Y35" s="52"/>
    </row>
    <row r="36" spans="1:25" ht="15.75" customHeight="1" x14ac:dyDescent="0.25">
      <c r="A36" s="58">
        <v>35</v>
      </c>
      <c r="B36" s="62" t="s">
        <v>124</v>
      </c>
      <c r="C36" s="52" t="s">
        <v>46</v>
      </c>
      <c r="D36" s="63" t="s">
        <v>123</v>
      </c>
      <c r="E36" s="66" t="s">
        <v>519</v>
      </c>
      <c r="F36" s="52"/>
      <c r="G36" s="59" t="s">
        <v>30</v>
      </c>
      <c r="H36" s="59">
        <v>6</v>
      </c>
      <c r="I36" s="64">
        <v>3.58796296777963E-3</v>
      </c>
      <c r="J36" s="65">
        <v>45</v>
      </c>
      <c r="K36" s="64">
        <v>7.0138889746892297E-3</v>
      </c>
      <c r="L36" s="65">
        <v>19</v>
      </c>
      <c r="M36" s="64">
        <v>7.7893515565911602E-3</v>
      </c>
      <c r="N36" s="65">
        <v>32</v>
      </c>
      <c r="O36" s="64">
        <v>1.6435192835087299E-3</v>
      </c>
      <c r="P36" s="65">
        <v>140</v>
      </c>
      <c r="Q36" s="60">
        <v>2.0034722782568699E-2</v>
      </c>
      <c r="R36" s="52"/>
      <c r="S36" s="52"/>
      <c r="T36" s="52"/>
      <c r="U36" s="52"/>
      <c r="V36" s="52"/>
      <c r="W36" s="52"/>
      <c r="X36" s="52"/>
      <c r="Y36" s="52"/>
    </row>
    <row r="37" spans="1:25" ht="15.75" customHeight="1" x14ac:dyDescent="0.25">
      <c r="A37" s="58">
        <v>36</v>
      </c>
      <c r="B37" s="62" t="s">
        <v>126</v>
      </c>
      <c r="C37" s="52" t="s">
        <v>127</v>
      </c>
      <c r="D37" s="63" t="s">
        <v>125</v>
      </c>
      <c r="E37" s="57" t="s">
        <v>598</v>
      </c>
      <c r="F37" s="57" t="s">
        <v>469</v>
      </c>
      <c r="G37" s="59" t="s">
        <v>128</v>
      </c>
      <c r="H37" s="59">
        <v>1</v>
      </c>
      <c r="I37" s="64">
        <v>3.4259260330167102E-3</v>
      </c>
      <c r="J37" s="65">
        <v>33</v>
      </c>
      <c r="K37" s="64">
        <v>7.9166666930543302E-3</v>
      </c>
      <c r="L37" s="65">
        <v>80</v>
      </c>
      <c r="M37" s="64">
        <v>8.1828706108160593E-3</v>
      </c>
      <c r="N37" s="65">
        <v>46</v>
      </c>
      <c r="O37" s="64">
        <v>5.3240752884342797E-4</v>
      </c>
      <c r="P37" s="65">
        <v>12</v>
      </c>
      <c r="Q37" s="60">
        <v>2.00578708657305E-2</v>
      </c>
      <c r="R37" s="52"/>
      <c r="S37" s="52"/>
      <c r="T37" s="52"/>
      <c r="U37" s="52"/>
      <c r="V37" s="52"/>
      <c r="W37" s="52"/>
      <c r="X37" s="52"/>
      <c r="Y37" s="52"/>
    </row>
    <row r="38" spans="1:25" ht="15.75" customHeight="1" x14ac:dyDescent="0.25">
      <c r="A38" s="58">
        <v>37</v>
      </c>
      <c r="B38" s="62" t="s">
        <v>130</v>
      </c>
      <c r="C38" s="52" t="s">
        <v>131</v>
      </c>
      <c r="D38" s="63" t="s">
        <v>129</v>
      </c>
      <c r="E38" s="57" t="s">
        <v>543</v>
      </c>
      <c r="F38" s="52"/>
      <c r="G38" s="59" t="s">
        <v>18</v>
      </c>
      <c r="H38" s="59">
        <v>9</v>
      </c>
      <c r="I38" s="64">
        <v>3.4490741155787201E-3</v>
      </c>
      <c r="J38" s="65">
        <v>36</v>
      </c>
      <c r="K38" s="64">
        <v>7.08333344793949E-3</v>
      </c>
      <c r="L38" s="65">
        <v>28</v>
      </c>
      <c r="M38" s="64">
        <v>8.6805558140108496E-3</v>
      </c>
      <c r="N38" s="65">
        <v>69</v>
      </c>
      <c r="O38" s="64">
        <v>8.9120407808029596E-4</v>
      </c>
      <c r="P38" s="65">
        <v>51</v>
      </c>
      <c r="Q38" s="60">
        <v>2.0104167455609299E-2</v>
      </c>
      <c r="R38" s="52"/>
      <c r="S38" s="52"/>
      <c r="T38" s="52"/>
      <c r="U38" s="52"/>
      <c r="V38" s="52"/>
      <c r="W38" s="52"/>
      <c r="X38" s="52"/>
      <c r="Y38" s="52"/>
    </row>
    <row r="39" spans="1:25" ht="15.75" customHeight="1" x14ac:dyDescent="0.25">
      <c r="A39" s="58">
        <v>38</v>
      </c>
      <c r="B39" s="62" t="s">
        <v>133</v>
      </c>
      <c r="C39" s="52" t="s">
        <v>21</v>
      </c>
      <c r="D39" s="63" t="s">
        <v>132</v>
      </c>
      <c r="E39" s="57" t="s">
        <v>599</v>
      </c>
      <c r="F39" s="57" t="s">
        <v>600</v>
      </c>
      <c r="G39" s="59" t="s">
        <v>116</v>
      </c>
      <c r="H39" s="59">
        <v>2</v>
      </c>
      <c r="I39" s="64">
        <v>4.45601862575324E-3</v>
      </c>
      <c r="J39" s="65">
        <v>100</v>
      </c>
      <c r="K39" s="64">
        <v>7.3611111607227997E-3</v>
      </c>
      <c r="L39" s="65">
        <v>53</v>
      </c>
      <c r="M39" s="64">
        <v>7.4999996946193996E-3</v>
      </c>
      <c r="N39" s="65">
        <v>22</v>
      </c>
      <c r="O39" s="64">
        <v>8.6805647344481501E-4</v>
      </c>
      <c r="P39" s="65">
        <v>49</v>
      </c>
      <c r="Q39" s="60">
        <v>2.0185185954540202E-2</v>
      </c>
      <c r="R39" s="52"/>
      <c r="S39" s="52"/>
      <c r="T39" s="52"/>
      <c r="U39" s="52"/>
      <c r="V39" s="52"/>
      <c r="W39" s="52"/>
      <c r="X39" s="52"/>
      <c r="Y39" s="52"/>
    </row>
    <row r="40" spans="1:25" ht="15.75" customHeight="1" x14ac:dyDescent="0.25">
      <c r="A40" s="58">
        <v>39</v>
      </c>
      <c r="B40" s="62" t="s">
        <v>135</v>
      </c>
      <c r="C40" s="52" t="s">
        <v>136</v>
      </c>
      <c r="D40" s="63" t="s">
        <v>134</v>
      </c>
      <c r="E40" s="66" t="s">
        <v>514</v>
      </c>
      <c r="F40" s="52"/>
      <c r="G40" s="59" t="s">
        <v>18</v>
      </c>
      <c r="H40" s="59">
        <v>10</v>
      </c>
      <c r="I40" s="64">
        <v>4.0856482336048402E-3</v>
      </c>
      <c r="J40" s="65">
        <v>79</v>
      </c>
      <c r="K40" s="64">
        <v>7.1064815584722298E-3</v>
      </c>
      <c r="L40" s="65">
        <v>29</v>
      </c>
      <c r="M40" s="64">
        <v>7.9629630236309305E-3</v>
      </c>
      <c r="N40" s="65">
        <v>35</v>
      </c>
      <c r="O40" s="64">
        <v>1.06481537825165E-3</v>
      </c>
      <c r="P40" s="65">
        <v>73</v>
      </c>
      <c r="Q40" s="60">
        <v>2.02199081939596E-2</v>
      </c>
      <c r="R40" s="52"/>
      <c r="S40" s="52"/>
      <c r="T40" s="52"/>
      <c r="U40" s="52"/>
      <c r="V40" s="52"/>
      <c r="W40" s="52"/>
      <c r="X40" s="52"/>
      <c r="Y40" s="52"/>
    </row>
    <row r="41" spans="1:25" ht="15.75" customHeight="1" x14ac:dyDescent="0.25">
      <c r="A41" s="58">
        <v>40</v>
      </c>
      <c r="B41" s="62" t="s">
        <v>138</v>
      </c>
      <c r="C41" s="52" t="s">
        <v>139</v>
      </c>
      <c r="D41" s="63" t="s">
        <v>137</v>
      </c>
      <c r="E41" s="57" t="s">
        <v>496</v>
      </c>
      <c r="F41" s="52"/>
      <c r="G41" s="59" t="s">
        <v>26</v>
      </c>
      <c r="H41" s="59">
        <v>9</v>
      </c>
      <c r="I41" s="64">
        <v>3.1597222815215702E-3</v>
      </c>
      <c r="J41" s="65">
        <v>18</v>
      </c>
      <c r="K41" s="64">
        <v>7.1875000520179796E-3</v>
      </c>
      <c r="L41" s="65">
        <v>36</v>
      </c>
      <c r="M41" s="64">
        <v>8.6805561011476708E-3</v>
      </c>
      <c r="N41" s="65">
        <v>70</v>
      </c>
      <c r="O41" s="64">
        <v>1.21527771213265E-3</v>
      </c>
      <c r="P41" s="65">
        <v>94</v>
      </c>
      <c r="Q41" s="60">
        <v>2.0243056146819802E-2</v>
      </c>
      <c r="R41" s="52"/>
      <c r="S41" s="52"/>
      <c r="T41" s="52"/>
      <c r="U41" s="52"/>
      <c r="V41" s="52"/>
      <c r="W41" s="52"/>
      <c r="X41" s="52"/>
      <c r="Y41" s="52"/>
    </row>
    <row r="42" spans="1:25" ht="15.75" customHeight="1" x14ac:dyDescent="0.25">
      <c r="A42" s="58">
        <v>41</v>
      </c>
      <c r="B42" s="62" t="s">
        <v>141</v>
      </c>
      <c r="C42" s="52" t="s">
        <v>142</v>
      </c>
      <c r="D42" s="63" t="s">
        <v>140</v>
      </c>
      <c r="E42" s="57" t="s">
        <v>601</v>
      </c>
      <c r="F42" s="57" t="s">
        <v>602</v>
      </c>
      <c r="G42" s="59" t="s">
        <v>143</v>
      </c>
      <c r="H42" s="59">
        <v>1</v>
      </c>
      <c r="I42" s="64">
        <v>3.6689815781600701E-3</v>
      </c>
      <c r="J42" s="65">
        <v>50</v>
      </c>
      <c r="K42" s="64">
        <v>7.3379630453165902E-3</v>
      </c>
      <c r="L42" s="65">
        <v>49</v>
      </c>
      <c r="M42" s="64">
        <v>8.9930558990162206E-3</v>
      </c>
      <c r="N42" s="65">
        <v>81</v>
      </c>
      <c r="O42" s="64">
        <v>3.4722264592549398E-4</v>
      </c>
      <c r="P42" s="65">
        <v>1</v>
      </c>
      <c r="Q42" s="60">
        <v>2.0347223168418301E-2</v>
      </c>
      <c r="R42" s="52"/>
      <c r="S42" s="52"/>
      <c r="T42" s="52"/>
      <c r="U42" s="52"/>
      <c r="V42" s="52"/>
      <c r="W42" s="52"/>
      <c r="X42" s="52"/>
      <c r="Y42" s="52"/>
    </row>
    <row r="43" spans="1:25" ht="15.75" customHeight="1" x14ac:dyDescent="0.25">
      <c r="A43" s="58">
        <v>42</v>
      </c>
      <c r="B43" s="62" t="s">
        <v>145</v>
      </c>
      <c r="C43" s="52" t="s">
        <v>146</v>
      </c>
      <c r="D43" s="63" t="s">
        <v>144</v>
      </c>
      <c r="E43" s="66" t="s">
        <v>547</v>
      </c>
      <c r="F43" s="52"/>
      <c r="G43" s="59" t="s">
        <v>116</v>
      </c>
      <c r="H43" s="59">
        <v>3</v>
      </c>
      <c r="I43" s="64">
        <v>3.5995370783875398E-3</v>
      </c>
      <c r="J43" s="65">
        <v>46</v>
      </c>
      <c r="K43" s="64">
        <v>7.3032408046833598E-3</v>
      </c>
      <c r="L43" s="65">
        <v>45</v>
      </c>
      <c r="M43" s="64">
        <v>8.0671302086511194E-3</v>
      </c>
      <c r="N43" s="65">
        <v>37</v>
      </c>
      <c r="O43" s="64">
        <v>1.4814814716695101E-3</v>
      </c>
      <c r="P43" s="65">
        <v>124</v>
      </c>
      <c r="Q43" s="60">
        <v>2.04513895633915E-2</v>
      </c>
      <c r="R43" s="52"/>
      <c r="S43" s="52"/>
      <c r="T43" s="52"/>
      <c r="U43" s="52"/>
      <c r="V43" s="52"/>
      <c r="W43" s="52"/>
      <c r="X43" s="52"/>
      <c r="Y43" s="52"/>
    </row>
    <row r="44" spans="1:25" ht="15.75" customHeight="1" x14ac:dyDescent="0.25">
      <c r="A44" s="58">
        <v>43</v>
      </c>
      <c r="B44" s="62" t="s">
        <v>148</v>
      </c>
      <c r="C44" s="52" t="s">
        <v>149</v>
      </c>
      <c r="D44" s="63" t="s">
        <v>147</v>
      </c>
      <c r="E44" s="66" t="s">
        <v>561</v>
      </c>
      <c r="F44" s="52"/>
      <c r="G44" s="59" t="s">
        <v>103</v>
      </c>
      <c r="H44" s="59">
        <v>3</v>
      </c>
      <c r="I44" s="64">
        <v>3.8310185635945398E-3</v>
      </c>
      <c r="J44" s="65">
        <v>59</v>
      </c>
      <c r="K44" s="64">
        <v>7.0601852319225403E-3</v>
      </c>
      <c r="L44" s="65">
        <v>24</v>
      </c>
      <c r="M44" s="64">
        <v>8.4606483354436393E-3</v>
      </c>
      <c r="N44" s="65">
        <v>57</v>
      </c>
      <c r="O44" s="64">
        <v>1.14583361104635E-3</v>
      </c>
      <c r="P44" s="65">
        <v>85</v>
      </c>
      <c r="Q44" s="60">
        <v>2.0497685742006999E-2</v>
      </c>
      <c r="R44" s="52"/>
      <c r="S44" s="52"/>
      <c r="T44" s="52"/>
      <c r="U44" s="52"/>
      <c r="V44" s="52"/>
      <c r="W44" s="52"/>
      <c r="X44" s="52"/>
      <c r="Y44" s="52"/>
    </row>
    <row r="45" spans="1:25" ht="15.75" customHeight="1" x14ac:dyDescent="0.25">
      <c r="A45" s="58">
        <v>44</v>
      </c>
      <c r="B45" s="62" t="s">
        <v>151</v>
      </c>
      <c r="C45" s="52" t="s">
        <v>152</v>
      </c>
      <c r="D45" s="63" t="s">
        <v>150</v>
      </c>
      <c r="E45" s="52" t="s">
        <v>585</v>
      </c>
      <c r="F45" s="52"/>
      <c r="G45" s="59" t="s">
        <v>22</v>
      </c>
      <c r="H45" s="59">
        <v>9</v>
      </c>
      <c r="I45" s="64">
        <v>4.4791667740950404E-3</v>
      </c>
      <c r="J45" s="65">
        <v>101</v>
      </c>
      <c r="K45" s="64">
        <v>7.3611111520389899E-3</v>
      </c>
      <c r="L45" s="65">
        <v>52</v>
      </c>
      <c r="M45" s="64">
        <v>7.7430561667523297E-3</v>
      </c>
      <c r="N45" s="65">
        <v>30</v>
      </c>
      <c r="O45" s="64">
        <v>1.0069448292816499E-3</v>
      </c>
      <c r="P45" s="65">
        <v>66</v>
      </c>
      <c r="Q45" s="60">
        <v>2.0590278922167998E-2</v>
      </c>
      <c r="R45" s="52"/>
      <c r="S45" s="52"/>
      <c r="T45" s="52"/>
      <c r="U45" s="52"/>
      <c r="V45" s="52"/>
      <c r="W45" s="52"/>
      <c r="X45" s="52"/>
      <c r="Y45" s="52"/>
    </row>
    <row r="46" spans="1:25" ht="15.75" customHeight="1" x14ac:dyDescent="0.25">
      <c r="A46" s="58">
        <v>45</v>
      </c>
      <c r="B46" s="62" t="s">
        <v>154</v>
      </c>
      <c r="C46" s="52" t="s">
        <v>155</v>
      </c>
      <c r="D46" s="63" t="s">
        <v>153</v>
      </c>
      <c r="E46" s="57" t="s">
        <v>603</v>
      </c>
      <c r="F46" s="57" t="s">
        <v>469</v>
      </c>
      <c r="G46" s="59" t="s">
        <v>22</v>
      </c>
      <c r="H46" s="59">
        <v>10</v>
      </c>
      <c r="I46" s="64">
        <v>4.0046296938426101E-3</v>
      </c>
      <c r="J46" s="65">
        <v>71</v>
      </c>
      <c r="K46" s="64">
        <v>7.3263889170192397E-3</v>
      </c>
      <c r="L46" s="65">
        <v>46</v>
      </c>
      <c r="M46" s="64">
        <v>8.1828694887833599E-3</v>
      </c>
      <c r="N46" s="65">
        <v>45</v>
      </c>
      <c r="O46" s="64">
        <v>1.08796394055131E-3</v>
      </c>
      <c r="P46" s="65">
        <v>80</v>
      </c>
      <c r="Q46" s="60">
        <v>2.0601852040196499E-2</v>
      </c>
      <c r="R46" s="52"/>
      <c r="S46" s="52"/>
      <c r="T46" s="52"/>
      <c r="U46" s="52"/>
      <c r="V46" s="52"/>
      <c r="W46" s="52"/>
      <c r="X46" s="52"/>
      <c r="Y46" s="52"/>
    </row>
    <row r="47" spans="1:25" ht="15.75" customHeight="1" x14ac:dyDescent="0.25">
      <c r="A47" s="58">
        <v>46</v>
      </c>
      <c r="B47" s="62" t="s">
        <v>157</v>
      </c>
      <c r="C47" s="52" t="s">
        <v>158</v>
      </c>
      <c r="D47" s="63" t="s">
        <v>156</v>
      </c>
      <c r="E47" s="66" t="s">
        <v>506</v>
      </c>
      <c r="F47" s="52"/>
      <c r="G47" s="59" t="s">
        <v>18</v>
      </c>
      <c r="H47" s="59">
        <v>11</v>
      </c>
      <c r="I47" s="64">
        <v>2.7199074819777101E-3</v>
      </c>
      <c r="J47" s="65">
        <v>2</v>
      </c>
      <c r="K47" s="64">
        <v>8.1365741741789704E-3</v>
      </c>
      <c r="L47" s="65">
        <v>99</v>
      </c>
      <c r="M47" s="64">
        <v>9.0277782555311208E-3</v>
      </c>
      <c r="N47" s="65">
        <v>83</v>
      </c>
      <c r="O47" s="64">
        <v>7.9861114432137198E-4</v>
      </c>
      <c r="P47" s="65">
        <v>37</v>
      </c>
      <c r="Q47" s="60">
        <v>2.0682871056009099E-2</v>
      </c>
      <c r="R47" s="52"/>
      <c r="S47" s="52"/>
      <c r="T47" s="52"/>
      <c r="U47" s="52"/>
      <c r="V47" s="52"/>
      <c r="W47" s="52"/>
      <c r="X47" s="52"/>
      <c r="Y47" s="52"/>
    </row>
    <row r="48" spans="1:25" ht="15.75" customHeight="1" x14ac:dyDescent="0.25">
      <c r="A48" s="58">
        <v>47</v>
      </c>
      <c r="B48" s="62" t="s">
        <v>160</v>
      </c>
      <c r="C48" s="52" t="s">
        <v>161</v>
      </c>
      <c r="D48" s="63" t="s">
        <v>159</v>
      </c>
      <c r="E48" s="66" t="s">
        <v>573</v>
      </c>
      <c r="F48" s="52"/>
      <c r="G48" s="59" t="s">
        <v>128</v>
      </c>
      <c r="H48" s="59">
        <v>2</v>
      </c>
      <c r="I48" s="64">
        <v>3.9814815497383003E-3</v>
      </c>
      <c r="J48" s="65">
        <v>68</v>
      </c>
      <c r="K48" s="64">
        <v>7.24537042540637E-3</v>
      </c>
      <c r="L48" s="65">
        <v>40</v>
      </c>
      <c r="M48" s="64">
        <v>8.5995376510917595E-3</v>
      </c>
      <c r="N48" s="65">
        <v>63</v>
      </c>
      <c r="O48" s="64">
        <v>8.9120399801344199E-4</v>
      </c>
      <c r="P48" s="65">
        <v>50</v>
      </c>
      <c r="Q48" s="60">
        <v>2.0717593624249801E-2</v>
      </c>
      <c r="R48" s="52"/>
      <c r="S48" s="52"/>
      <c r="T48" s="52"/>
      <c r="U48" s="52"/>
      <c r="V48" s="52"/>
      <c r="W48" s="52"/>
      <c r="X48" s="52"/>
      <c r="Y48" s="52"/>
    </row>
    <row r="49" spans="1:25" ht="15.75" customHeight="1" x14ac:dyDescent="0.25">
      <c r="A49" s="58">
        <v>48</v>
      </c>
      <c r="B49" s="62" t="s">
        <v>163</v>
      </c>
      <c r="C49" s="52" t="s">
        <v>164</v>
      </c>
      <c r="D49" s="63" t="s">
        <v>162</v>
      </c>
      <c r="E49" s="66" t="s">
        <v>498</v>
      </c>
      <c r="F49" s="52"/>
      <c r="G49" s="59" t="s">
        <v>30</v>
      </c>
      <c r="H49" s="59">
        <v>7</v>
      </c>
      <c r="I49" s="64">
        <v>3.7962963977955701E-3</v>
      </c>
      <c r="J49" s="65">
        <v>56</v>
      </c>
      <c r="K49" s="64">
        <v>7.0601852431258503E-3</v>
      </c>
      <c r="L49" s="65">
        <v>25</v>
      </c>
      <c r="M49" s="64">
        <v>8.6226851788845996E-3</v>
      </c>
      <c r="N49" s="65">
        <v>65</v>
      </c>
      <c r="O49" s="64">
        <v>1.29629621518917E-3</v>
      </c>
      <c r="P49" s="65">
        <v>105</v>
      </c>
      <c r="Q49" s="60">
        <v>2.0775463034995199E-2</v>
      </c>
      <c r="R49" s="52"/>
      <c r="S49" s="52"/>
      <c r="T49" s="52"/>
      <c r="U49" s="52"/>
      <c r="V49" s="52"/>
      <c r="W49" s="52"/>
      <c r="X49" s="52"/>
      <c r="Y49" s="52"/>
    </row>
    <row r="50" spans="1:25" ht="15.75" customHeight="1" x14ac:dyDescent="0.25">
      <c r="A50" s="58">
        <v>49</v>
      </c>
      <c r="B50" s="62" t="s">
        <v>166</v>
      </c>
      <c r="C50" s="52" t="s">
        <v>167</v>
      </c>
      <c r="D50" s="63" t="s">
        <v>165</v>
      </c>
      <c r="E50" s="57" t="s">
        <v>604</v>
      </c>
      <c r="F50" s="57" t="s">
        <v>605</v>
      </c>
      <c r="G50" s="59" t="s">
        <v>168</v>
      </c>
      <c r="H50" s="59">
        <v>1</v>
      </c>
      <c r="I50" s="64">
        <v>3.0902778830412801E-3</v>
      </c>
      <c r="J50" s="65">
        <v>17</v>
      </c>
      <c r="K50" s="64">
        <v>7.65046303314376E-3</v>
      </c>
      <c r="L50" s="65">
        <v>67</v>
      </c>
      <c r="M50" s="64">
        <v>9.0856485461181698E-3</v>
      </c>
      <c r="N50" s="65">
        <v>86</v>
      </c>
      <c r="O50" s="64">
        <v>9.953705317926121E-4</v>
      </c>
      <c r="P50" s="65">
        <v>63</v>
      </c>
      <c r="Q50" s="60">
        <v>2.0821759994095801E-2</v>
      </c>
      <c r="R50" s="52"/>
      <c r="S50" s="52"/>
      <c r="T50" s="52"/>
      <c r="U50" s="52"/>
      <c r="V50" s="52"/>
      <c r="W50" s="52"/>
      <c r="X50" s="52"/>
      <c r="Y50" s="52"/>
    </row>
    <row r="51" spans="1:25" ht="15.75" customHeight="1" x14ac:dyDescent="0.25">
      <c r="A51" s="58">
        <v>50</v>
      </c>
      <c r="B51" s="62" t="s">
        <v>170</v>
      </c>
      <c r="C51" s="52" t="s">
        <v>106</v>
      </c>
      <c r="D51" s="63" t="s">
        <v>169</v>
      </c>
      <c r="E51" s="66" t="s">
        <v>563</v>
      </c>
      <c r="F51" s="52"/>
      <c r="G51" s="59" t="s">
        <v>18</v>
      </c>
      <c r="H51" s="59">
        <v>12</v>
      </c>
      <c r="I51" s="64">
        <v>4.0162037067836501E-3</v>
      </c>
      <c r="J51" s="65">
        <v>73</v>
      </c>
      <c r="K51" s="64">
        <v>7.30324076472597E-3</v>
      </c>
      <c r="L51" s="65">
        <v>43</v>
      </c>
      <c r="M51" s="64">
        <v>8.8425921814336405E-3</v>
      </c>
      <c r="N51" s="65">
        <v>78</v>
      </c>
      <c r="O51" s="64">
        <v>7.29167215491502E-4</v>
      </c>
      <c r="P51" s="65">
        <v>24</v>
      </c>
      <c r="Q51" s="60">
        <v>2.08912038684347E-2</v>
      </c>
      <c r="R51" s="52"/>
      <c r="S51" s="52"/>
      <c r="T51" s="52"/>
      <c r="U51" s="52"/>
      <c r="V51" s="52"/>
      <c r="W51" s="52"/>
      <c r="X51" s="52"/>
      <c r="Y51" s="52"/>
    </row>
    <row r="52" spans="1:25" ht="15.75" customHeight="1" x14ac:dyDescent="0.25">
      <c r="A52" s="58">
        <v>51</v>
      </c>
      <c r="B52" s="62" t="s">
        <v>172</v>
      </c>
      <c r="C52" s="52" t="s">
        <v>67</v>
      </c>
      <c r="D52" s="63" t="s">
        <v>171</v>
      </c>
      <c r="E52" s="66" t="s">
        <v>548</v>
      </c>
      <c r="F52" s="52"/>
      <c r="G52" s="59" t="s">
        <v>22</v>
      </c>
      <c r="H52" s="59">
        <v>11</v>
      </c>
      <c r="I52" s="64">
        <v>2.9513889286523799E-3</v>
      </c>
      <c r="J52" s="65">
        <v>9</v>
      </c>
      <c r="K52" s="64">
        <v>7.3842593055718402E-3</v>
      </c>
      <c r="L52" s="65">
        <v>55</v>
      </c>
      <c r="M52" s="64">
        <v>9.4791670624419302E-3</v>
      </c>
      <c r="N52" s="65">
        <v>99</v>
      </c>
      <c r="O52" s="64">
        <v>1.0879635174287699E-3</v>
      </c>
      <c r="P52" s="65">
        <v>77</v>
      </c>
      <c r="Q52" s="60">
        <v>2.0902778814094899E-2</v>
      </c>
      <c r="R52" s="52"/>
      <c r="S52" s="52"/>
      <c r="T52" s="52"/>
      <c r="U52" s="52"/>
      <c r="V52" s="52"/>
      <c r="W52" s="52"/>
      <c r="X52" s="52"/>
      <c r="Y52" s="52"/>
    </row>
    <row r="53" spans="1:25" ht="15.75" customHeight="1" x14ac:dyDescent="0.25">
      <c r="A53" s="58">
        <v>52</v>
      </c>
      <c r="B53" s="62" t="s">
        <v>174</v>
      </c>
      <c r="C53" s="52" t="s">
        <v>92</v>
      </c>
      <c r="D53" s="63" t="s">
        <v>173</v>
      </c>
      <c r="E53" s="66" t="s">
        <v>582</v>
      </c>
      <c r="F53" s="52"/>
      <c r="G53" s="59" t="s">
        <v>26</v>
      </c>
      <c r="H53" s="59">
        <v>10</v>
      </c>
      <c r="I53" s="64">
        <v>3.4953704333015802E-3</v>
      </c>
      <c r="J53" s="65">
        <v>40</v>
      </c>
      <c r="K53" s="64">
        <v>6.7824074109509797E-3</v>
      </c>
      <c r="L53" s="65">
        <v>10</v>
      </c>
      <c r="M53" s="64">
        <v>9.3518520343500496E-3</v>
      </c>
      <c r="N53" s="65">
        <v>93</v>
      </c>
      <c r="O53" s="64">
        <v>1.2962967561404E-3</v>
      </c>
      <c r="P53" s="65">
        <v>107</v>
      </c>
      <c r="Q53" s="60">
        <v>2.0925926634742999E-2</v>
      </c>
      <c r="R53" s="52"/>
      <c r="S53" s="52"/>
      <c r="T53" s="52"/>
      <c r="U53" s="52"/>
      <c r="V53" s="52"/>
      <c r="W53" s="52"/>
      <c r="X53" s="52"/>
      <c r="Y53" s="52"/>
    </row>
    <row r="54" spans="1:25" ht="15.75" customHeight="1" x14ac:dyDescent="0.25">
      <c r="A54" s="58">
        <v>53</v>
      </c>
      <c r="B54" s="62" t="s">
        <v>176</v>
      </c>
      <c r="C54" s="52" t="s">
        <v>177</v>
      </c>
      <c r="D54" s="63" t="s">
        <v>175</v>
      </c>
      <c r="E54" s="66" t="s">
        <v>574</v>
      </c>
      <c r="F54" s="52"/>
      <c r="G54" s="59" t="s">
        <v>22</v>
      </c>
      <c r="H54" s="59">
        <v>12</v>
      </c>
      <c r="I54" s="64">
        <v>3.2175926042292101E-3</v>
      </c>
      <c r="J54" s="65">
        <v>21</v>
      </c>
      <c r="K54" s="64">
        <v>8.0324074584924802E-3</v>
      </c>
      <c r="L54" s="65">
        <v>89</v>
      </c>
      <c r="M54" s="64">
        <v>8.3564823249085707E-3</v>
      </c>
      <c r="N54" s="65">
        <v>53</v>
      </c>
      <c r="O54" s="64">
        <v>1.3194446904837499E-3</v>
      </c>
      <c r="P54" s="65">
        <v>111</v>
      </c>
      <c r="Q54" s="60">
        <v>2.0925927078113998E-2</v>
      </c>
      <c r="R54" s="52"/>
      <c r="S54" s="52"/>
      <c r="T54" s="52"/>
      <c r="U54" s="52"/>
      <c r="V54" s="52"/>
      <c r="W54" s="52"/>
      <c r="X54" s="52"/>
      <c r="Y54" s="52"/>
    </row>
    <row r="55" spans="1:25" ht="15.75" customHeight="1" x14ac:dyDescent="0.25">
      <c r="A55" s="58">
        <v>54</v>
      </c>
      <c r="B55" s="62" t="s">
        <v>179</v>
      </c>
      <c r="C55" s="52" t="s">
        <v>180</v>
      </c>
      <c r="D55" s="63" t="s">
        <v>178</v>
      </c>
      <c r="E55" s="57" t="s">
        <v>606</v>
      </c>
      <c r="F55" s="57" t="s">
        <v>602</v>
      </c>
      <c r="G55" s="59" t="s">
        <v>128</v>
      </c>
      <c r="H55" s="59">
        <v>3</v>
      </c>
      <c r="I55" s="64">
        <v>3.6689815360476702E-3</v>
      </c>
      <c r="J55" s="65">
        <v>49</v>
      </c>
      <c r="K55" s="64">
        <v>8.0092593681393501E-3</v>
      </c>
      <c r="L55" s="65">
        <v>88</v>
      </c>
      <c r="M55" s="64">
        <v>8.6226852041688794E-3</v>
      </c>
      <c r="N55" s="65">
        <v>66</v>
      </c>
      <c r="O55" s="64">
        <v>7.8703689468007402E-4</v>
      </c>
      <c r="P55" s="65">
        <v>35</v>
      </c>
      <c r="Q55" s="60">
        <v>2.1087963003035899E-2</v>
      </c>
      <c r="R55" s="52"/>
      <c r="S55" s="52"/>
      <c r="T55" s="52"/>
      <c r="U55" s="52"/>
      <c r="V55" s="52"/>
      <c r="W55" s="52"/>
      <c r="X55" s="52"/>
      <c r="Y55" s="52"/>
    </row>
    <row r="56" spans="1:25" ht="15.75" customHeight="1" x14ac:dyDescent="0.25">
      <c r="A56" s="58">
        <v>55</v>
      </c>
      <c r="B56" s="62" t="s">
        <v>182</v>
      </c>
      <c r="C56" s="52" t="s">
        <v>183</v>
      </c>
      <c r="D56" s="63" t="s">
        <v>181</v>
      </c>
      <c r="E56" s="66" t="s">
        <v>503</v>
      </c>
      <c r="F56" s="52"/>
      <c r="G56" s="59" t="s">
        <v>18</v>
      </c>
      <c r="H56" s="59">
        <v>13</v>
      </c>
      <c r="I56" s="64">
        <v>4.45601854586972E-3</v>
      </c>
      <c r="J56" s="65">
        <v>99</v>
      </c>
      <c r="K56" s="64">
        <v>7.1412037134930802E-3</v>
      </c>
      <c r="L56" s="65">
        <v>32</v>
      </c>
      <c r="M56" s="64">
        <v>8.1018522604615392E-3</v>
      </c>
      <c r="N56" s="65">
        <v>41</v>
      </c>
      <c r="O56" s="64">
        <v>1.3888892059560399E-3</v>
      </c>
      <c r="P56" s="65">
        <v>117</v>
      </c>
      <c r="Q56" s="60">
        <v>2.1087963725780302E-2</v>
      </c>
      <c r="R56" s="52"/>
      <c r="S56" s="52"/>
      <c r="T56" s="52"/>
      <c r="U56" s="52"/>
      <c r="V56" s="52"/>
      <c r="W56" s="52"/>
      <c r="X56" s="52"/>
      <c r="Y56" s="52"/>
    </row>
    <row r="57" spans="1:25" ht="15.75" customHeight="1" x14ac:dyDescent="0.25">
      <c r="A57" s="58">
        <v>56</v>
      </c>
      <c r="B57" s="62" t="s">
        <v>141</v>
      </c>
      <c r="C57" s="52" t="s">
        <v>185</v>
      </c>
      <c r="D57" s="63" t="s">
        <v>184</v>
      </c>
      <c r="E57" s="57" t="s">
        <v>607</v>
      </c>
      <c r="F57" s="57" t="s">
        <v>605</v>
      </c>
      <c r="G57" s="59" t="s">
        <v>103</v>
      </c>
      <c r="H57" s="59">
        <v>4</v>
      </c>
      <c r="I57" s="64">
        <v>4.2476851868045199E-3</v>
      </c>
      <c r="J57" s="65">
        <v>86</v>
      </c>
      <c r="K57" s="64">
        <v>7.8356482506113292E-3</v>
      </c>
      <c r="L57" s="65">
        <v>78</v>
      </c>
      <c r="M57" s="64">
        <v>8.4722218947250894E-3</v>
      </c>
      <c r="N57" s="65">
        <v>58</v>
      </c>
      <c r="O57" s="64">
        <v>5.6712986728822299E-4</v>
      </c>
      <c r="P57" s="65">
        <v>13</v>
      </c>
      <c r="Q57" s="60">
        <v>2.11226851994291E-2</v>
      </c>
      <c r="R57" s="52"/>
      <c r="S57" s="52"/>
      <c r="T57" s="52"/>
      <c r="U57" s="52"/>
      <c r="V57" s="52"/>
      <c r="W57" s="52"/>
      <c r="X57" s="52"/>
      <c r="Y57" s="52"/>
    </row>
    <row r="58" spans="1:25" ht="15.75" customHeight="1" x14ac:dyDescent="0.25">
      <c r="A58" s="58">
        <v>57</v>
      </c>
      <c r="B58" s="62" t="s">
        <v>187</v>
      </c>
      <c r="C58" s="52" t="s">
        <v>188</v>
      </c>
      <c r="D58" s="63" t="s">
        <v>186</v>
      </c>
      <c r="E58" s="66" t="s">
        <v>545</v>
      </c>
      <c r="F58" s="52"/>
      <c r="G58" s="59" t="s">
        <v>26</v>
      </c>
      <c r="H58" s="59">
        <v>11</v>
      </c>
      <c r="I58" s="64">
        <v>4.7800927009730597E-3</v>
      </c>
      <c r="J58" s="65">
        <v>117</v>
      </c>
      <c r="K58" s="64">
        <v>8.5879629920815204E-3</v>
      </c>
      <c r="L58" s="65">
        <v>121</v>
      </c>
      <c r="M58" s="64">
        <v>6.6203711403015298E-3</v>
      </c>
      <c r="N58" s="65">
        <v>3</v>
      </c>
      <c r="O58" s="64">
        <v>1.1342594881277399E-3</v>
      </c>
      <c r="P58" s="65">
        <v>84</v>
      </c>
      <c r="Q58" s="60">
        <v>2.11226863214838E-2</v>
      </c>
      <c r="R58" s="52"/>
      <c r="S58" s="52"/>
      <c r="T58" s="52"/>
      <c r="U58" s="52"/>
      <c r="V58" s="52"/>
      <c r="W58" s="52"/>
      <c r="X58" s="52"/>
      <c r="Y58" s="52"/>
    </row>
    <row r="59" spans="1:25" ht="15.75" customHeight="1" x14ac:dyDescent="0.25">
      <c r="A59" s="58">
        <v>58</v>
      </c>
      <c r="B59" s="62" t="s">
        <v>190</v>
      </c>
      <c r="C59" s="52" t="s">
        <v>191</v>
      </c>
      <c r="D59" s="63" t="s">
        <v>189</v>
      </c>
      <c r="E59" s="66" t="s">
        <v>510</v>
      </c>
      <c r="F59" s="52"/>
      <c r="G59" s="59" t="s">
        <v>26</v>
      </c>
      <c r="H59" s="59">
        <v>12</v>
      </c>
      <c r="I59" s="64">
        <v>4.6643519445176904E-3</v>
      </c>
      <c r="J59" s="65">
        <v>111</v>
      </c>
      <c r="K59" s="64">
        <v>7.3263889970204303E-3</v>
      </c>
      <c r="L59" s="65">
        <v>48</v>
      </c>
      <c r="M59" s="64">
        <v>8.3449074276598298E-3</v>
      </c>
      <c r="N59" s="65">
        <v>52</v>
      </c>
      <c r="O59" s="64">
        <v>8.4490792240415305E-4</v>
      </c>
      <c r="P59" s="65">
        <v>44</v>
      </c>
      <c r="Q59" s="60">
        <v>2.11805562916021E-2</v>
      </c>
      <c r="R59" s="52"/>
      <c r="S59" s="52"/>
      <c r="T59" s="52"/>
      <c r="U59" s="52"/>
      <c r="V59" s="52"/>
      <c r="W59" s="52"/>
      <c r="X59" s="52"/>
      <c r="Y59" s="52"/>
    </row>
    <row r="60" spans="1:25" ht="15.75" customHeight="1" x14ac:dyDescent="0.25">
      <c r="A60" s="58">
        <v>59</v>
      </c>
      <c r="B60" s="62" t="s">
        <v>193</v>
      </c>
      <c r="C60" s="52" t="s">
        <v>40</v>
      </c>
      <c r="D60" s="63" t="s">
        <v>192</v>
      </c>
      <c r="E60" s="57" t="s">
        <v>608</v>
      </c>
      <c r="F60" s="57" t="s">
        <v>605</v>
      </c>
      <c r="G60" s="59" t="s">
        <v>30</v>
      </c>
      <c r="H60" s="59">
        <v>8</v>
      </c>
      <c r="I60" s="64">
        <v>5.0694445355406702E-3</v>
      </c>
      <c r="J60" s="65">
        <v>130</v>
      </c>
      <c r="K60" s="64">
        <v>6.7708333425634398E-3</v>
      </c>
      <c r="L60" s="65">
        <v>9</v>
      </c>
      <c r="M60" s="64">
        <v>8.0902779477664503E-3</v>
      </c>
      <c r="N60" s="65">
        <v>38</v>
      </c>
      <c r="O60" s="64">
        <v>1.2962963850142301E-3</v>
      </c>
      <c r="P60" s="65">
        <v>106</v>
      </c>
      <c r="Q60" s="60">
        <v>2.12268522108848E-2</v>
      </c>
      <c r="R60" s="52"/>
      <c r="S60" s="52"/>
      <c r="T60" s="52"/>
      <c r="U60" s="52"/>
      <c r="V60" s="52"/>
      <c r="W60" s="52"/>
      <c r="X60" s="52"/>
      <c r="Y60" s="52"/>
    </row>
    <row r="61" spans="1:25" ht="15.75" customHeight="1" x14ac:dyDescent="0.25">
      <c r="A61" s="58">
        <v>60</v>
      </c>
      <c r="B61" s="62" t="s">
        <v>195</v>
      </c>
      <c r="C61" s="52" t="s">
        <v>196</v>
      </c>
      <c r="D61" s="63" t="s">
        <v>194</v>
      </c>
      <c r="E61" s="66" t="s">
        <v>572</v>
      </c>
      <c r="F61" s="52"/>
      <c r="G61" s="59" t="s">
        <v>26</v>
      </c>
      <c r="H61" s="59">
        <v>13</v>
      </c>
      <c r="I61" s="64">
        <v>4.0162037992951503E-3</v>
      </c>
      <c r="J61" s="65">
        <v>74</v>
      </c>
      <c r="K61" s="64">
        <v>6.9212963586078799E-3</v>
      </c>
      <c r="L61" s="65">
        <v>14</v>
      </c>
      <c r="M61" s="64">
        <v>8.6111112913374605E-3</v>
      </c>
      <c r="N61" s="65">
        <v>64</v>
      </c>
      <c r="O61" s="64">
        <v>1.67824084138951E-3</v>
      </c>
      <c r="P61" s="65">
        <v>142</v>
      </c>
      <c r="Q61" s="60">
        <v>2.122685229063E-2</v>
      </c>
      <c r="R61" s="52"/>
      <c r="S61" s="52"/>
      <c r="T61" s="52"/>
      <c r="U61" s="52"/>
      <c r="V61" s="52"/>
      <c r="W61" s="52"/>
      <c r="X61" s="52"/>
      <c r="Y61" s="52"/>
    </row>
    <row r="62" spans="1:25" ht="15.75" customHeight="1" x14ac:dyDescent="0.25">
      <c r="A62" s="58">
        <v>61</v>
      </c>
      <c r="B62" s="62" t="s">
        <v>54</v>
      </c>
      <c r="C62" s="52" t="s">
        <v>198</v>
      </c>
      <c r="D62" s="63" t="s">
        <v>197</v>
      </c>
      <c r="E62" s="66" t="s">
        <v>552</v>
      </c>
      <c r="F62" s="52"/>
      <c r="G62" s="59" t="s">
        <v>199</v>
      </c>
      <c r="H62" s="59">
        <v>1</v>
      </c>
      <c r="I62" s="64">
        <v>4.3981482534162404E-3</v>
      </c>
      <c r="J62" s="65">
        <v>96</v>
      </c>
      <c r="K62" s="64">
        <v>7.9398148825356799E-3</v>
      </c>
      <c r="L62" s="65">
        <v>82</v>
      </c>
      <c r="M62" s="64">
        <v>7.7546294497071004E-3</v>
      </c>
      <c r="N62" s="65">
        <v>31</v>
      </c>
      <c r="O62" s="64">
        <v>1.2152781815309101E-3</v>
      </c>
      <c r="P62" s="65">
        <v>95</v>
      </c>
      <c r="Q62" s="60">
        <v>2.1307870767189901E-2</v>
      </c>
      <c r="R62" s="52"/>
      <c r="S62" s="52"/>
      <c r="T62" s="52"/>
      <c r="U62" s="52"/>
      <c r="V62" s="52"/>
      <c r="W62" s="52"/>
      <c r="X62" s="52"/>
      <c r="Y62" s="52"/>
    </row>
    <row r="63" spans="1:25" ht="15.75" customHeight="1" x14ac:dyDescent="0.25">
      <c r="A63" s="58">
        <v>62</v>
      </c>
      <c r="B63" s="62" t="s">
        <v>201</v>
      </c>
      <c r="C63" s="52" t="s">
        <v>202</v>
      </c>
      <c r="D63" s="63" t="s">
        <v>200</v>
      </c>
      <c r="E63" s="57" t="s">
        <v>609</v>
      </c>
      <c r="F63" s="57" t="s">
        <v>469</v>
      </c>
      <c r="G63" s="59" t="s">
        <v>18</v>
      </c>
      <c r="H63" s="59">
        <v>14</v>
      </c>
      <c r="I63" s="64">
        <v>4.31712963298165E-3</v>
      </c>
      <c r="J63" s="65">
        <v>89</v>
      </c>
      <c r="K63" s="64">
        <v>8.1365741294812093E-3</v>
      </c>
      <c r="L63" s="65">
        <v>98</v>
      </c>
      <c r="M63" s="64">
        <v>8.2407412661263807E-3</v>
      </c>
      <c r="N63" s="65">
        <v>48</v>
      </c>
      <c r="O63" s="64">
        <v>6.3657435043631798E-4</v>
      </c>
      <c r="P63" s="65">
        <v>15</v>
      </c>
      <c r="Q63" s="60">
        <v>2.1331019379025502E-2</v>
      </c>
      <c r="R63" s="52"/>
      <c r="S63" s="52"/>
      <c r="T63" s="52"/>
      <c r="U63" s="52"/>
      <c r="V63" s="52"/>
      <c r="W63" s="52"/>
      <c r="X63" s="52"/>
      <c r="Y63" s="52"/>
    </row>
    <row r="64" spans="1:25" ht="15.75" customHeight="1" x14ac:dyDescent="0.25">
      <c r="A64" s="58">
        <v>63</v>
      </c>
      <c r="B64" s="62" t="s">
        <v>204</v>
      </c>
      <c r="C64" s="52" t="s">
        <v>70</v>
      </c>
      <c r="D64" s="63" t="s">
        <v>203</v>
      </c>
      <c r="E64" s="66" t="s">
        <v>558</v>
      </c>
      <c r="F64" s="52"/>
      <c r="G64" s="59" t="s">
        <v>22</v>
      </c>
      <c r="H64" s="59">
        <v>13</v>
      </c>
      <c r="I64" s="64">
        <v>4.2824075198444602E-3</v>
      </c>
      <c r="J64" s="65">
        <v>88</v>
      </c>
      <c r="K64" s="64">
        <v>7.6504630305122001E-3</v>
      </c>
      <c r="L64" s="65">
        <v>66</v>
      </c>
      <c r="M64" s="64">
        <v>8.1712960280285792E-3</v>
      </c>
      <c r="N64" s="65">
        <v>44</v>
      </c>
      <c r="O64" s="64">
        <v>1.2384261136080201E-3</v>
      </c>
      <c r="P64" s="65">
        <v>99</v>
      </c>
      <c r="Q64" s="60">
        <v>2.1342592691993199E-2</v>
      </c>
      <c r="R64" s="52"/>
      <c r="S64" s="52"/>
      <c r="T64" s="52"/>
      <c r="U64" s="52"/>
      <c r="V64" s="52"/>
      <c r="W64" s="52"/>
      <c r="X64" s="52"/>
      <c r="Y64" s="52"/>
    </row>
    <row r="65" spans="1:25" ht="15.75" customHeight="1" x14ac:dyDescent="0.25">
      <c r="A65" s="58">
        <v>64</v>
      </c>
      <c r="B65" s="62" t="s">
        <v>206</v>
      </c>
      <c r="C65" s="52" t="s">
        <v>207</v>
      </c>
      <c r="D65" s="63" t="s">
        <v>205</v>
      </c>
      <c r="E65" s="66" t="s">
        <v>475</v>
      </c>
      <c r="F65" s="52"/>
      <c r="G65" s="59" t="s">
        <v>30</v>
      </c>
      <c r="H65" s="59">
        <v>9</v>
      </c>
      <c r="I65" s="64">
        <v>4.0625001065461496E-3</v>
      </c>
      <c r="J65" s="65">
        <v>78</v>
      </c>
      <c r="K65" s="64">
        <v>7.2916667572838897E-3</v>
      </c>
      <c r="L65" s="65">
        <v>42</v>
      </c>
      <c r="M65" s="64">
        <v>8.4606483077513499E-3</v>
      </c>
      <c r="N65" s="65">
        <v>56</v>
      </c>
      <c r="O65" s="64">
        <v>1.6782414344561701E-3</v>
      </c>
      <c r="P65" s="65">
        <v>143</v>
      </c>
      <c r="Q65" s="60">
        <v>2.1493056606037501E-2</v>
      </c>
      <c r="R65" s="52"/>
      <c r="S65" s="52"/>
      <c r="T65" s="52"/>
      <c r="U65" s="52"/>
      <c r="V65" s="52"/>
      <c r="W65" s="52"/>
      <c r="X65" s="52"/>
      <c r="Y65" s="52"/>
    </row>
    <row r="66" spans="1:25" ht="15.75" customHeight="1" x14ac:dyDescent="0.25">
      <c r="A66" s="58">
        <v>65</v>
      </c>
      <c r="B66" s="62" t="s">
        <v>209</v>
      </c>
      <c r="C66" s="52" t="s">
        <v>210</v>
      </c>
      <c r="D66" s="63" t="s">
        <v>208</v>
      </c>
      <c r="E66" s="66" t="s">
        <v>487</v>
      </c>
      <c r="F66" s="52"/>
      <c r="G66" s="59" t="s">
        <v>18</v>
      </c>
      <c r="H66" s="59">
        <v>15</v>
      </c>
      <c r="I66" s="64">
        <v>4.3865741354384398E-3</v>
      </c>
      <c r="J66" s="65">
        <v>94</v>
      </c>
      <c r="K66" s="64">
        <v>7.0370370537804899E-3</v>
      </c>
      <c r="L66" s="65">
        <v>22</v>
      </c>
      <c r="M66" s="64">
        <v>8.6458328669049792E-3</v>
      </c>
      <c r="N66" s="65">
        <v>68</v>
      </c>
      <c r="O66" s="64">
        <v>1.45833418894165E-3</v>
      </c>
      <c r="P66" s="65">
        <v>122</v>
      </c>
      <c r="Q66" s="60">
        <v>2.15277782450655E-2</v>
      </c>
      <c r="R66" s="52"/>
      <c r="S66" s="52"/>
      <c r="T66" s="52"/>
      <c r="U66" s="52"/>
      <c r="V66" s="52"/>
      <c r="W66" s="52"/>
      <c r="X66" s="52"/>
      <c r="Y66" s="52"/>
    </row>
    <row r="67" spans="1:25" ht="15.75" customHeight="1" x14ac:dyDescent="0.25">
      <c r="A67" s="58">
        <v>66</v>
      </c>
      <c r="B67" s="62" t="s">
        <v>212</v>
      </c>
      <c r="C67" s="52" t="s">
        <v>213</v>
      </c>
      <c r="D67" s="63" t="s">
        <v>211</v>
      </c>
      <c r="E67" s="66" t="s">
        <v>568</v>
      </c>
      <c r="F67" s="52"/>
      <c r="G67" s="59" t="s">
        <v>96</v>
      </c>
      <c r="H67" s="59">
        <v>2</v>
      </c>
      <c r="I67" s="64">
        <v>3.9467592895888904E-3</v>
      </c>
      <c r="J67" s="65">
        <v>65</v>
      </c>
      <c r="K67" s="64">
        <v>7.4768519005403503E-3</v>
      </c>
      <c r="L67" s="65">
        <v>59</v>
      </c>
      <c r="M67" s="64">
        <v>8.9351855538072501E-3</v>
      </c>
      <c r="N67" s="65">
        <v>80</v>
      </c>
      <c r="O67" s="64">
        <v>1.23842610036804E-3</v>
      </c>
      <c r="P67" s="65">
        <v>98</v>
      </c>
      <c r="Q67" s="60">
        <v>2.1597222844304501E-2</v>
      </c>
      <c r="R67" s="52"/>
      <c r="S67" s="52"/>
      <c r="T67" s="52"/>
      <c r="U67" s="52"/>
      <c r="V67" s="52"/>
      <c r="W67" s="52"/>
      <c r="X67" s="52"/>
      <c r="Y67" s="52"/>
    </row>
    <row r="68" spans="1:25" ht="15.75" customHeight="1" x14ac:dyDescent="0.25">
      <c r="A68" s="58">
        <v>67</v>
      </c>
      <c r="B68" s="62" t="s">
        <v>215</v>
      </c>
      <c r="C68" s="52" t="s">
        <v>216</v>
      </c>
      <c r="D68" s="63" t="s">
        <v>214</v>
      </c>
      <c r="E68" s="57" t="s">
        <v>610</v>
      </c>
      <c r="F68" s="57" t="s">
        <v>605</v>
      </c>
      <c r="G68" s="59" t="s">
        <v>128</v>
      </c>
      <c r="H68" s="59">
        <v>4</v>
      </c>
      <c r="I68" s="64">
        <v>3.47222231904129E-3</v>
      </c>
      <c r="J68" s="65">
        <v>38</v>
      </c>
      <c r="K68" s="64">
        <v>8.5185185206923305E-3</v>
      </c>
      <c r="L68" s="65">
        <v>116</v>
      </c>
      <c r="M68" s="64">
        <v>8.8425924870409595E-3</v>
      </c>
      <c r="N68" s="65">
        <v>79</v>
      </c>
      <c r="O68" s="64">
        <v>8.2175953380526001E-4</v>
      </c>
      <c r="P68" s="65">
        <v>40</v>
      </c>
      <c r="Q68" s="60">
        <v>2.1655092860579799E-2</v>
      </c>
      <c r="R68" s="52"/>
      <c r="S68" s="52"/>
      <c r="T68" s="52"/>
      <c r="U68" s="52"/>
      <c r="V68" s="52"/>
      <c r="W68" s="52"/>
      <c r="X68" s="52"/>
      <c r="Y68" s="52"/>
    </row>
    <row r="69" spans="1:25" ht="15.75" customHeight="1" x14ac:dyDescent="0.25">
      <c r="A69" s="58">
        <v>68</v>
      </c>
      <c r="B69" s="62" t="s">
        <v>218</v>
      </c>
      <c r="C69" s="52" t="s">
        <v>219</v>
      </c>
      <c r="D69" s="63" t="s">
        <v>217</v>
      </c>
      <c r="E69" s="57" t="s">
        <v>482</v>
      </c>
      <c r="F69" s="52"/>
      <c r="G69" s="59" t="s">
        <v>128</v>
      </c>
      <c r="H69" s="59">
        <v>5</v>
      </c>
      <c r="I69" s="64">
        <v>4.81481482323596E-3</v>
      </c>
      <c r="J69" s="65">
        <v>120</v>
      </c>
      <c r="K69" s="64">
        <v>8.4490741657077904E-3</v>
      </c>
      <c r="L69" s="65">
        <v>111</v>
      </c>
      <c r="M69" s="64">
        <v>7.2685184790507998E-3</v>
      </c>
      <c r="N69" s="65">
        <v>15</v>
      </c>
      <c r="O69" s="64">
        <v>1.1226853947332799E-3</v>
      </c>
      <c r="P69" s="65">
        <v>83</v>
      </c>
      <c r="Q69" s="60">
        <v>2.16550928627278E-2</v>
      </c>
      <c r="R69" s="52"/>
      <c r="S69" s="52"/>
      <c r="T69" s="52"/>
      <c r="U69" s="52"/>
      <c r="V69" s="52"/>
      <c r="W69" s="52"/>
      <c r="X69" s="52"/>
      <c r="Y69" s="52"/>
    </row>
    <row r="70" spans="1:25" ht="15.75" customHeight="1" x14ac:dyDescent="0.25">
      <c r="A70" s="58">
        <v>69</v>
      </c>
      <c r="B70" s="62" t="s">
        <v>221</v>
      </c>
      <c r="C70" s="52" t="s">
        <v>222</v>
      </c>
      <c r="D70" s="63" t="s">
        <v>220</v>
      </c>
      <c r="E70" s="57" t="s">
        <v>611</v>
      </c>
      <c r="F70" s="57" t="s">
        <v>469</v>
      </c>
      <c r="G70" s="59" t="s">
        <v>22</v>
      </c>
      <c r="H70" s="59">
        <v>14</v>
      </c>
      <c r="I70" s="64">
        <v>4.6759260066562202E-3</v>
      </c>
      <c r="J70" s="65">
        <v>112</v>
      </c>
      <c r="K70" s="64">
        <v>6.8518518562370604E-3</v>
      </c>
      <c r="L70" s="65">
        <v>12</v>
      </c>
      <c r="M70" s="64">
        <v>8.8194448304538403E-3</v>
      </c>
      <c r="N70" s="65">
        <v>75</v>
      </c>
      <c r="O70" s="64">
        <v>1.3773147342197999E-3</v>
      </c>
      <c r="P70" s="65">
        <v>115</v>
      </c>
      <c r="Q70" s="60">
        <v>2.1724537427566901E-2</v>
      </c>
      <c r="R70" s="52"/>
      <c r="S70" s="52"/>
      <c r="T70" s="52"/>
      <c r="U70" s="52"/>
      <c r="V70" s="52"/>
      <c r="W70" s="52"/>
      <c r="X70" s="52"/>
      <c r="Y70" s="52"/>
    </row>
    <row r="71" spans="1:25" ht="15.75" customHeight="1" x14ac:dyDescent="0.25">
      <c r="A71" s="58">
        <v>70</v>
      </c>
      <c r="B71" s="62" t="s">
        <v>224</v>
      </c>
      <c r="C71" s="52" t="s">
        <v>225</v>
      </c>
      <c r="D71" s="63" t="s">
        <v>223</v>
      </c>
      <c r="E71" s="57" t="s">
        <v>612</v>
      </c>
      <c r="F71" s="57" t="s">
        <v>613</v>
      </c>
      <c r="G71" s="59" t="s">
        <v>116</v>
      </c>
      <c r="H71" s="59">
        <v>4</v>
      </c>
      <c r="I71" s="64">
        <v>4.5833334111003597E-3</v>
      </c>
      <c r="J71" s="65">
        <v>104</v>
      </c>
      <c r="K71" s="64">
        <v>8.1597222883791898E-3</v>
      </c>
      <c r="L71" s="65">
        <v>100</v>
      </c>
      <c r="M71" s="64">
        <v>7.3958335322296797E-3</v>
      </c>
      <c r="N71" s="65">
        <v>19</v>
      </c>
      <c r="O71" s="64">
        <v>1.6319450533620499E-3</v>
      </c>
      <c r="P71" s="65">
        <v>138</v>
      </c>
      <c r="Q71" s="60">
        <v>2.1770834285071199E-2</v>
      </c>
      <c r="R71" s="52"/>
      <c r="S71" s="52"/>
      <c r="T71" s="52"/>
      <c r="U71" s="52"/>
      <c r="V71" s="52"/>
      <c r="W71" s="52"/>
      <c r="X71" s="52"/>
      <c r="Y71" s="52"/>
    </row>
    <row r="72" spans="1:25" ht="15.75" customHeight="1" x14ac:dyDescent="0.25">
      <c r="A72" s="58">
        <v>71</v>
      </c>
      <c r="B72" s="62" t="s">
        <v>227</v>
      </c>
      <c r="C72" s="52" t="s">
        <v>21</v>
      </c>
      <c r="D72" s="63" t="s">
        <v>226</v>
      </c>
      <c r="E72" s="66" t="s">
        <v>490</v>
      </c>
      <c r="F72" s="52"/>
      <c r="G72" s="59" t="s">
        <v>116</v>
      </c>
      <c r="H72" s="59">
        <v>5</v>
      </c>
      <c r="I72" s="64">
        <v>3.6689814973740599E-3</v>
      </c>
      <c r="J72" s="65">
        <v>48</v>
      </c>
      <c r="K72" s="64">
        <v>7.9282407820683697E-3</v>
      </c>
      <c r="L72" s="65">
        <v>81</v>
      </c>
      <c r="M72" s="64">
        <v>9.1782405404792593E-3</v>
      </c>
      <c r="N72" s="65">
        <v>90</v>
      </c>
      <c r="O72" s="64">
        <v>1.0416671780692399E-3</v>
      </c>
      <c r="P72" s="65">
        <v>71</v>
      </c>
      <c r="Q72" s="60">
        <v>2.1817129997990899E-2</v>
      </c>
      <c r="R72" s="52"/>
      <c r="S72" s="52"/>
      <c r="T72" s="52"/>
      <c r="U72" s="52"/>
      <c r="V72" s="52"/>
      <c r="W72" s="52"/>
      <c r="X72" s="52"/>
      <c r="Y72" s="52"/>
    </row>
    <row r="73" spans="1:25" ht="15.75" customHeight="1" x14ac:dyDescent="0.25">
      <c r="A73" s="58">
        <v>72</v>
      </c>
      <c r="B73" s="62" t="s">
        <v>229</v>
      </c>
      <c r="C73" s="52" t="s">
        <v>230</v>
      </c>
      <c r="D73" s="63" t="s">
        <v>228</v>
      </c>
      <c r="E73" s="66" t="s">
        <v>474</v>
      </c>
      <c r="F73" s="52"/>
      <c r="G73" s="59" t="s">
        <v>128</v>
      </c>
      <c r="H73" s="59">
        <v>6</v>
      </c>
      <c r="I73" s="64">
        <v>3.4953704031983799E-3</v>
      </c>
      <c r="J73" s="65">
        <v>39</v>
      </c>
      <c r="K73" s="64">
        <v>8.1250000828987194E-3</v>
      </c>
      <c r="L73" s="65">
        <v>97</v>
      </c>
      <c r="M73" s="64">
        <v>9.5023151286293493E-3</v>
      </c>
      <c r="N73" s="65">
        <v>101</v>
      </c>
      <c r="O73" s="64">
        <v>8.4490797965857301E-4</v>
      </c>
      <c r="P73" s="65">
        <v>45</v>
      </c>
      <c r="Q73" s="60">
        <v>2.1967593594385E-2</v>
      </c>
      <c r="R73" s="52"/>
      <c r="S73" s="52"/>
      <c r="T73" s="52"/>
      <c r="U73" s="52"/>
      <c r="V73" s="52"/>
      <c r="W73" s="52"/>
      <c r="X73" s="52"/>
      <c r="Y73" s="52"/>
    </row>
    <row r="74" spans="1:25" ht="15.75" customHeight="1" x14ac:dyDescent="0.25">
      <c r="A74" s="58">
        <v>73</v>
      </c>
      <c r="B74" s="62" t="s">
        <v>232</v>
      </c>
      <c r="C74" s="52" t="s">
        <v>233</v>
      </c>
      <c r="D74" s="63" t="s">
        <v>231</v>
      </c>
      <c r="E74" s="66" t="s">
        <v>472</v>
      </c>
      <c r="F74" s="52"/>
      <c r="G74" s="59" t="s">
        <v>22</v>
      </c>
      <c r="H74" s="59">
        <v>15</v>
      </c>
      <c r="I74" s="64">
        <v>3.5648149286175799E-3</v>
      </c>
      <c r="J74" s="65">
        <v>44</v>
      </c>
      <c r="K74" s="64">
        <v>8.0555556330711899E-3</v>
      </c>
      <c r="L74" s="65">
        <v>91</v>
      </c>
      <c r="M74" s="64">
        <v>9.36342584278862E-3</v>
      </c>
      <c r="N74" s="65">
        <v>94</v>
      </c>
      <c r="O74" s="64">
        <v>9.9537110134122891E-4</v>
      </c>
      <c r="P74" s="65">
        <v>64</v>
      </c>
      <c r="Q74" s="60">
        <v>2.19791675058186E-2</v>
      </c>
      <c r="R74" s="52"/>
      <c r="S74" s="52"/>
      <c r="T74" s="52"/>
      <c r="U74" s="52"/>
      <c r="V74" s="52"/>
      <c r="W74" s="52"/>
      <c r="X74" s="52"/>
      <c r="Y74" s="52"/>
    </row>
    <row r="75" spans="1:25" ht="15.75" customHeight="1" x14ac:dyDescent="0.25">
      <c r="A75" s="58">
        <v>74</v>
      </c>
      <c r="B75" s="62" t="s">
        <v>235</v>
      </c>
      <c r="C75" s="52" t="s">
        <v>236</v>
      </c>
      <c r="D75" s="63" t="s">
        <v>234</v>
      </c>
      <c r="E75" s="66" t="s">
        <v>581</v>
      </c>
      <c r="F75" s="52"/>
      <c r="G75" s="59" t="s">
        <v>168</v>
      </c>
      <c r="H75" s="59">
        <v>2</v>
      </c>
      <c r="I75" s="64">
        <v>4.6412037539076099E-3</v>
      </c>
      <c r="J75" s="65">
        <v>108</v>
      </c>
      <c r="K75" s="64">
        <v>7.99768521998615E-3</v>
      </c>
      <c r="L75" s="65">
        <v>86</v>
      </c>
      <c r="M75" s="64">
        <v>8.3449072390905498E-3</v>
      </c>
      <c r="N75" s="65">
        <v>51</v>
      </c>
      <c r="O75" s="64">
        <v>1.0069453354112801E-3</v>
      </c>
      <c r="P75" s="65">
        <v>67</v>
      </c>
      <c r="Q75" s="60">
        <v>2.1990741548395601E-2</v>
      </c>
      <c r="R75" s="52"/>
      <c r="S75" s="52"/>
      <c r="T75" s="52"/>
      <c r="U75" s="52"/>
      <c r="V75" s="52"/>
      <c r="W75" s="52"/>
      <c r="X75" s="52"/>
      <c r="Y75" s="52"/>
    </row>
    <row r="76" spans="1:25" ht="15.75" customHeight="1" x14ac:dyDescent="0.25">
      <c r="A76" s="58">
        <v>75</v>
      </c>
      <c r="B76" s="62" t="s">
        <v>238</v>
      </c>
      <c r="C76" s="52" t="s">
        <v>239</v>
      </c>
      <c r="D76" s="63" t="s">
        <v>237</v>
      </c>
      <c r="E76" s="66" t="s">
        <v>578</v>
      </c>
      <c r="F76" s="52"/>
      <c r="G76" s="59" t="s">
        <v>128</v>
      </c>
      <c r="H76" s="59">
        <v>7</v>
      </c>
      <c r="I76" s="64">
        <v>4.3750000909967201E-3</v>
      </c>
      <c r="J76" s="65">
        <v>93</v>
      </c>
      <c r="K76" s="64">
        <v>8.1944444800628197E-3</v>
      </c>
      <c r="L76" s="65">
        <v>102</v>
      </c>
      <c r="M76" s="64">
        <v>8.4490732121615692E-3</v>
      </c>
      <c r="N76" s="65">
        <v>54</v>
      </c>
      <c r="O76" s="64">
        <v>9.9537129235541407E-4</v>
      </c>
      <c r="P76" s="65">
        <v>65</v>
      </c>
      <c r="Q76" s="60">
        <v>2.2013889075576502E-2</v>
      </c>
      <c r="R76" s="52"/>
      <c r="S76" s="52"/>
      <c r="T76" s="52"/>
      <c r="U76" s="52"/>
      <c r="V76" s="52"/>
      <c r="W76" s="52"/>
      <c r="X76" s="52"/>
      <c r="Y76" s="52"/>
    </row>
    <row r="77" spans="1:25" ht="15.75" customHeight="1" x14ac:dyDescent="0.25">
      <c r="A77" s="58">
        <v>76</v>
      </c>
      <c r="B77" s="62" t="s">
        <v>241</v>
      </c>
      <c r="C77" s="52" t="s">
        <v>242</v>
      </c>
      <c r="D77" s="63" t="s">
        <v>240</v>
      </c>
      <c r="E77" s="66" t="s">
        <v>509</v>
      </c>
      <c r="F77" s="52"/>
      <c r="G77" s="59" t="s">
        <v>30</v>
      </c>
      <c r="H77" s="59">
        <v>10</v>
      </c>
      <c r="I77" s="64">
        <v>4.79166675852764E-3</v>
      </c>
      <c r="J77" s="65">
        <v>118</v>
      </c>
      <c r="K77" s="64">
        <v>7.0717593181716699E-3</v>
      </c>
      <c r="L77" s="65">
        <v>26</v>
      </c>
      <c r="M77" s="64">
        <v>8.1018515747900404E-3</v>
      </c>
      <c r="N77" s="65">
        <v>40</v>
      </c>
      <c r="O77" s="64">
        <v>2.09490760136084E-3</v>
      </c>
      <c r="P77" s="65">
        <v>150</v>
      </c>
      <c r="Q77" s="60">
        <v>2.2060185252850199E-2</v>
      </c>
      <c r="R77" s="52"/>
      <c r="S77" s="52"/>
      <c r="T77" s="52"/>
      <c r="U77" s="52"/>
      <c r="V77" s="52"/>
      <c r="W77" s="52"/>
      <c r="X77" s="52"/>
      <c r="Y77" s="52"/>
    </row>
    <row r="78" spans="1:25" ht="15.75" customHeight="1" x14ac:dyDescent="0.25">
      <c r="A78" s="58">
        <v>77</v>
      </c>
      <c r="B78" s="62" t="s">
        <v>244</v>
      </c>
      <c r="C78" s="52" t="s">
        <v>55</v>
      </c>
      <c r="D78" s="63" t="s">
        <v>243</v>
      </c>
      <c r="E78" s="66" t="s">
        <v>556</v>
      </c>
      <c r="F78" s="52"/>
      <c r="G78" s="59" t="s">
        <v>30</v>
      </c>
      <c r="H78" s="59">
        <v>11</v>
      </c>
      <c r="I78" s="64">
        <v>4.2245371129110698E-3</v>
      </c>
      <c r="J78" s="65">
        <v>84</v>
      </c>
      <c r="K78" s="64">
        <v>9.5370371478664898E-3</v>
      </c>
      <c r="L78" s="65">
        <v>150</v>
      </c>
      <c r="M78" s="64">
        <v>7.1759256177076998E-3</v>
      </c>
      <c r="N78" s="65">
        <v>12</v>
      </c>
      <c r="O78" s="64">
        <v>1.1574078968537599E-3</v>
      </c>
      <c r="P78" s="65">
        <v>87</v>
      </c>
      <c r="Q78" s="60">
        <v>2.2094907775338998E-2</v>
      </c>
      <c r="R78" s="52"/>
      <c r="S78" s="52"/>
      <c r="T78" s="52"/>
      <c r="U78" s="52"/>
      <c r="V78" s="52"/>
      <c r="W78" s="52"/>
      <c r="X78" s="52"/>
      <c r="Y78" s="52"/>
    </row>
    <row r="79" spans="1:25" ht="15.75" customHeight="1" x14ac:dyDescent="0.25">
      <c r="A79" s="58">
        <v>78</v>
      </c>
      <c r="B79" s="62" t="s">
        <v>246</v>
      </c>
      <c r="C79" s="52" t="s">
        <v>247</v>
      </c>
      <c r="D79" s="63" t="s">
        <v>245</v>
      </c>
      <c r="E79" s="66" t="s">
        <v>488</v>
      </c>
      <c r="F79" s="52"/>
      <c r="G79" s="59" t="s">
        <v>199</v>
      </c>
      <c r="H79" s="59">
        <v>2</v>
      </c>
      <c r="I79" s="64">
        <v>3.03240749282841E-3</v>
      </c>
      <c r="J79" s="65">
        <v>12</v>
      </c>
      <c r="K79" s="64">
        <v>8.7268518783941897E-3</v>
      </c>
      <c r="L79" s="65">
        <v>129</v>
      </c>
      <c r="M79" s="64">
        <v>9.1319451509612702E-3</v>
      </c>
      <c r="N79" s="65">
        <v>88</v>
      </c>
      <c r="O79" s="64">
        <v>1.20370400663525E-3</v>
      </c>
      <c r="P79" s="65">
        <v>92</v>
      </c>
      <c r="Q79" s="60">
        <v>2.20949085288191E-2</v>
      </c>
      <c r="R79" s="52"/>
      <c r="S79" s="52"/>
      <c r="T79" s="52"/>
      <c r="U79" s="52"/>
      <c r="V79" s="52"/>
      <c r="W79" s="52"/>
      <c r="X79" s="52"/>
      <c r="Y79" s="52"/>
    </row>
    <row r="80" spans="1:25" ht="15.75" customHeight="1" x14ac:dyDescent="0.25">
      <c r="A80" s="58">
        <v>79</v>
      </c>
      <c r="B80" s="62" t="s">
        <v>249</v>
      </c>
      <c r="C80" s="52" t="s">
        <v>219</v>
      </c>
      <c r="D80" s="63" t="s">
        <v>248</v>
      </c>
      <c r="E80" s="66" t="s">
        <v>511</v>
      </c>
      <c r="F80" s="52"/>
      <c r="G80" s="59" t="s">
        <v>199</v>
      </c>
      <c r="H80" s="59">
        <v>3</v>
      </c>
      <c r="I80" s="64">
        <v>4.9884260217252499E-3</v>
      </c>
      <c r="J80" s="65">
        <v>125</v>
      </c>
      <c r="K80" s="64">
        <v>7.75462968012191E-3</v>
      </c>
      <c r="L80" s="65">
        <v>75</v>
      </c>
      <c r="M80" s="64">
        <v>8.1134268140921999E-3</v>
      </c>
      <c r="N80" s="65">
        <v>42</v>
      </c>
      <c r="O80" s="64">
        <v>1.27314807768447E-3</v>
      </c>
      <c r="P80" s="65">
        <v>104</v>
      </c>
      <c r="Q80" s="60">
        <v>2.21296305936238E-2</v>
      </c>
      <c r="R80" s="52"/>
      <c r="S80" s="52"/>
      <c r="T80" s="52"/>
      <c r="U80" s="52"/>
      <c r="V80" s="52"/>
      <c r="W80" s="52"/>
      <c r="X80" s="52"/>
      <c r="Y80" s="52"/>
    </row>
    <row r="81" spans="1:25" ht="15.75" customHeight="1" x14ac:dyDescent="0.25">
      <c r="A81" s="58">
        <v>80</v>
      </c>
      <c r="B81" s="62" t="s">
        <v>251</v>
      </c>
      <c r="C81" s="52" t="s">
        <v>252</v>
      </c>
      <c r="D81" s="63" t="s">
        <v>250</v>
      </c>
      <c r="E81" s="57" t="s">
        <v>528</v>
      </c>
      <c r="F81" s="52"/>
      <c r="G81" s="59" t="s">
        <v>18</v>
      </c>
      <c r="H81" s="59">
        <v>16</v>
      </c>
      <c r="I81" s="64">
        <v>4.6527778031877302E-3</v>
      </c>
      <c r="J81" s="65">
        <v>109</v>
      </c>
      <c r="K81" s="64">
        <v>7.51157412515024E-3</v>
      </c>
      <c r="L81" s="65">
        <v>61</v>
      </c>
      <c r="M81" s="64">
        <v>8.7962959658055093E-3</v>
      </c>
      <c r="N81" s="65">
        <v>74</v>
      </c>
      <c r="O81" s="64">
        <v>1.1921305076143299E-3</v>
      </c>
      <c r="P81" s="65">
        <v>91</v>
      </c>
      <c r="Q81" s="60">
        <v>2.2152778401757799E-2</v>
      </c>
      <c r="R81" s="52"/>
      <c r="S81" s="52"/>
      <c r="T81" s="52"/>
      <c r="U81" s="52"/>
      <c r="V81" s="52"/>
      <c r="W81" s="52"/>
      <c r="X81" s="52"/>
      <c r="Y81" s="52"/>
    </row>
    <row r="82" spans="1:25" ht="15.75" customHeight="1" x14ac:dyDescent="0.25">
      <c r="A82" s="58">
        <v>81</v>
      </c>
      <c r="B82" s="62" t="s">
        <v>254</v>
      </c>
      <c r="C82" s="52" t="s">
        <v>255</v>
      </c>
      <c r="D82" s="63" t="s">
        <v>253</v>
      </c>
      <c r="E82" s="66" t="s">
        <v>577</v>
      </c>
      <c r="F82" s="52"/>
      <c r="G82" s="59" t="s">
        <v>22</v>
      </c>
      <c r="H82" s="59">
        <v>16</v>
      </c>
      <c r="I82" s="64">
        <v>4.5254630408609296E-3</v>
      </c>
      <c r="J82" s="65">
        <v>102</v>
      </c>
      <c r="K82" s="64">
        <v>7.3958333721679198E-3</v>
      </c>
      <c r="L82" s="65">
        <v>56</v>
      </c>
      <c r="M82" s="64">
        <v>8.7962955315545807E-3</v>
      </c>
      <c r="N82" s="65">
        <v>73</v>
      </c>
      <c r="O82" s="64">
        <v>1.4467601180772E-3</v>
      </c>
      <c r="P82" s="65">
        <v>121</v>
      </c>
      <c r="Q82" s="60">
        <v>2.2164352062660601E-2</v>
      </c>
      <c r="R82" s="52"/>
      <c r="S82" s="52"/>
      <c r="T82" s="52"/>
      <c r="U82" s="52"/>
      <c r="V82" s="52"/>
      <c r="W82" s="52"/>
      <c r="X82" s="52"/>
      <c r="Y82" s="52"/>
    </row>
    <row r="83" spans="1:25" ht="15.75" customHeight="1" x14ac:dyDescent="0.25">
      <c r="A83" s="58">
        <v>82</v>
      </c>
      <c r="B83" s="62" t="s">
        <v>257</v>
      </c>
      <c r="C83" s="52" t="s">
        <v>258</v>
      </c>
      <c r="D83" s="63" t="s">
        <v>256</v>
      </c>
      <c r="E83" s="66" t="s">
        <v>564</v>
      </c>
      <c r="F83" s="52"/>
      <c r="G83" s="59" t="s">
        <v>22</v>
      </c>
      <c r="H83" s="59">
        <v>17</v>
      </c>
      <c r="I83" s="64">
        <v>4.0625000979989303E-3</v>
      </c>
      <c r="J83" s="65">
        <v>77</v>
      </c>
      <c r="K83" s="64">
        <v>7.7430556278380398E-3</v>
      </c>
      <c r="L83" s="65">
        <v>74</v>
      </c>
      <c r="M83" s="64">
        <v>9.0972219059758993E-3</v>
      </c>
      <c r="N83" s="65">
        <v>87</v>
      </c>
      <c r="O83" s="64">
        <v>1.30787075430337E-3</v>
      </c>
      <c r="P83" s="65">
        <v>109</v>
      </c>
      <c r="Q83" s="60">
        <v>2.2210648386116201E-2</v>
      </c>
      <c r="R83" s="52"/>
      <c r="S83" s="52"/>
      <c r="T83" s="52"/>
      <c r="U83" s="52"/>
      <c r="V83" s="52"/>
      <c r="W83" s="52"/>
      <c r="X83" s="52"/>
      <c r="Y83" s="52"/>
    </row>
    <row r="84" spans="1:25" ht="15.75" customHeight="1" x14ac:dyDescent="0.25">
      <c r="A84" s="58">
        <v>83</v>
      </c>
      <c r="B84" s="62" t="s">
        <v>260</v>
      </c>
      <c r="C84" s="52" t="s">
        <v>261</v>
      </c>
      <c r="D84" s="63" t="s">
        <v>259</v>
      </c>
      <c r="E84" s="66" t="s">
        <v>481</v>
      </c>
      <c r="F84" s="52"/>
      <c r="G84" s="59" t="s">
        <v>143</v>
      </c>
      <c r="H84" s="59">
        <v>2</v>
      </c>
      <c r="I84" s="64">
        <v>3.90046304827284E-3</v>
      </c>
      <c r="J84" s="65">
        <v>63</v>
      </c>
      <c r="K84" s="64">
        <v>8.4375001102011803E-3</v>
      </c>
      <c r="L84" s="65">
        <v>110</v>
      </c>
      <c r="M84" s="64">
        <v>9.0393527678358492E-3</v>
      </c>
      <c r="N84" s="65">
        <v>85</v>
      </c>
      <c r="O84" s="64">
        <v>8.4490741870766597E-4</v>
      </c>
      <c r="P84" s="65">
        <v>43</v>
      </c>
      <c r="Q84" s="60">
        <v>2.22222233450175E-2</v>
      </c>
      <c r="R84" s="52"/>
      <c r="S84" s="52"/>
      <c r="T84" s="52"/>
      <c r="U84" s="52"/>
      <c r="V84" s="52"/>
      <c r="W84" s="52"/>
      <c r="X84" s="52"/>
      <c r="Y84" s="52"/>
    </row>
    <row r="85" spans="1:25" ht="15.75" customHeight="1" x14ac:dyDescent="0.25">
      <c r="A85" s="58">
        <v>84</v>
      </c>
      <c r="B85" s="62" t="s">
        <v>263</v>
      </c>
      <c r="C85" s="52" t="s">
        <v>264</v>
      </c>
      <c r="D85" s="63" t="s">
        <v>262</v>
      </c>
      <c r="E85" s="52" t="s">
        <v>585</v>
      </c>
      <c r="F85" s="52"/>
      <c r="G85" s="59" t="s">
        <v>199</v>
      </c>
      <c r="H85" s="59">
        <v>4</v>
      </c>
      <c r="I85" s="64">
        <v>3.7731482307079198E-3</v>
      </c>
      <c r="J85" s="65">
        <v>54</v>
      </c>
      <c r="K85" s="64">
        <v>8.6111111425433897E-3</v>
      </c>
      <c r="L85" s="65">
        <v>124</v>
      </c>
      <c r="M85" s="64">
        <v>9.0393516560978594E-3</v>
      </c>
      <c r="N85" s="65">
        <v>84</v>
      </c>
      <c r="O85" s="64">
        <v>8.5648157004879699E-4</v>
      </c>
      <c r="P85" s="65">
        <v>46</v>
      </c>
      <c r="Q85" s="60">
        <v>2.2280092599397901E-2</v>
      </c>
      <c r="R85" s="52"/>
      <c r="S85" s="52"/>
      <c r="T85" s="52"/>
      <c r="U85" s="52"/>
      <c r="V85" s="52"/>
      <c r="W85" s="52"/>
      <c r="X85" s="52"/>
      <c r="Y85" s="52"/>
    </row>
    <row r="86" spans="1:25" ht="15.75" customHeight="1" x14ac:dyDescent="0.25">
      <c r="A86" s="58">
        <v>85</v>
      </c>
      <c r="B86" s="62" t="s">
        <v>266</v>
      </c>
      <c r="C86" s="52" t="s">
        <v>267</v>
      </c>
      <c r="D86" s="63" t="s">
        <v>265</v>
      </c>
      <c r="E86" s="66" t="s">
        <v>566</v>
      </c>
      <c r="F86" s="52"/>
      <c r="G86" s="59" t="s">
        <v>26</v>
      </c>
      <c r="H86" s="59">
        <v>14</v>
      </c>
      <c r="I86" s="64">
        <v>3.9583334465366901E-3</v>
      </c>
      <c r="J86" s="65">
        <v>66</v>
      </c>
      <c r="K86" s="64">
        <v>7.3958334004088997E-3</v>
      </c>
      <c r="L86" s="65">
        <v>57</v>
      </c>
      <c r="M86" s="64">
        <v>9.6412032269400007E-3</v>
      </c>
      <c r="N86" s="65">
        <v>104</v>
      </c>
      <c r="O86" s="64">
        <v>1.3078709283668301E-3</v>
      </c>
      <c r="P86" s="65">
        <v>110</v>
      </c>
      <c r="Q86" s="60">
        <v>2.2303241002252401E-2</v>
      </c>
      <c r="R86" s="52"/>
      <c r="S86" s="52"/>
      <c r="T86" s="52"/>
      <c r="U86" s="52"/>
      <c r="V86" s="52"/>
      <c r="W86" s="52"/>
      <c r="X86" s="52"/>
      <c r="Y86" s="52"/>
    </row>
    <row r="87" spans="1:25" ht="15.75" customHeight="1" x14ac:dyDescent="0.25">
      <c r="A87" s="58">
        <v>86</v>
      </c>
      <c r="B87" s="62" t="s">
        <v>269</v>
      </c>
      <c r="C87" s="52" t="s">
        <v>216</v>
      </c>
      <c r="D87" s="63" t="s">
        <v>268</v>
      </c>
      <c r="E87" s="57" t="s">
        <v>614</v>
      </c>
      <c r="F87" s="57" t="s">
        <v>469</v>
      </c>
      <c r="G87" s="59" t="s">
        <v>128</v>
      </c>
      <c r="H87" s="59">
        <v>8</v>
      </c>
      <c r="I87" s="64">
        <v>4.0393519649011903E-3</v>
      </c>
      <c r="J87" s="65">
        <v>76</v>
      </c>
      <c r="K87" s="64">
        <v>8.4027777955852992E-3</v>
      </c>
      <c r="L87" s="65">
        <v>107</v>
      </c>
      <c r="M87" s="64">
        <v>8.5300917808506897E-3</v>
      </c>
      <c r="N87" s="65">
        <v>61</v>
      </c>
      <c r="O87" s="64">
        <v>1.37731577987096E-3</v>
      </c>
      <c r="P87" s="65">
        <v>116</v>
      </c>
      <c r="Q87" s="60">
        <v>2.2349537321208101E-2</v>
      </c>
      <c r="R87" s="52"/>
      <c r="S87" s="52"/>
      <c r="T87" s="52"/>
      <c r="U87" s="52"/>
      <c r="V87" s="52"/>
      <c r="W87" s="52"/>
      <c r="X87" s="52"/>
      <c r="Y87" s="52"/>
    </row>
    <row r="88" spans="1:25" ht="15.75" customHeight="1" x14ac:dyDescent="0.25">
      <c r="A88" s="58">
        <v>87</v>
      </c>
      <c r="B88" s="62" t="s">
        <v>271</v>
      </c>
      <c r="C88" s="52" t="s">
        <v>216</v>
      </c>
      <c r="D88" s="63" t="s">
        <v>270</v>
      </c>
      <c r="E88" s="66" t="s">
        <v>479</v>
      </c>
      <c r="F88" s="52"/>
      <c r="G88" s="59" t="s">
        <v>199</v>
      </c>
      <c r="H88" s="59">
        <v>5</v>
      </c>
      <c r="I88" s="64">
        <v>4.7800926237089097E-3</v>
      </c>
      <c r="J88" s="65">
        <v>116</v>
      </c>
      <c r="K88" s="64">
        <v>7.9861111381635298E-3</v>
      </c>
      <c r="L88" s="65">
        <v>85</v>
      </c>
      <c r="M88" s="64">
        <v>8.8310194495868494E-3</v>
      </c>
      <c r="N88" s="65">
        <v>77</v>
      </c>
      <c r="O88" s="64">
        <v>8.21759410422529E-4</v>
      </c>
      <c r="P88" s="65">
        <v>39</v>
      </c>
      <c r="Q88" s="60">
        <v>2.24189826218818E-2</v>
      </c>
      <c r="R88" s="52"/>
      <c r="S88" s="52"/>
      <c r="T88" s="52"/>
      <c r="U88" s="52"/>
      <c r="V88" s="52"/>
      <c r="W88" s="52"/>
      <c r="X88" s="52"/>
      <c r="Y88" s="52"/>
    </row>
    <row r="89" spans="1:25" ht="15.75" customHeight="1" x14ac:dyDescent="0.25">
      <c r="A89" s="58">
        <v>88</v>
      </c>
      <c r="B89" s="62" t="s">
        <v>273</v>
      </c>
      <c r="C89" s="52" t="s">
        <v>274</v>
      </c>
      <c r="D89" s="63" t="s">
        <v>272</v>
      </c>
      <c r="E89" s="66" t="s">
        <v>533</v>
      </c>
      <c r="F89" s="52"/>
      <c r="G89" s="59" t="s">
        <v>18</v>
      </c>
      <c r="H89" s="59">
        <v>17</v>
      </c>
      <c r="I89" s="64">
        <v>3.6574074247798698E-3</v>
      </c>
      <c r="J89" s="65">
        <v>47</v>
      </c>
      <c r="K89" s="64">
        <v>7.1527778471312297E-3</v>
      </c>
      <c r="L89" s="65">
        <v>33</v>
      </c>
      <c r="M89" s="64">
        <v>1.01273147239171E-2</v>
      </c>
      <c r="N89" s="65">
        <v>114</v>
      </c>
      <c r="O89" s="64">
        <v>1.5972231064788E-3</v>
      </c>
      <c r="P89" s="65">
        <v>135</v>
      </c>
      <c r="Q89" s="60">
        <v>2.25347231023071E-2</v>
      </c>
      <c r="R89" s="52"/>
      <c r="S89" s="52"/>
      <c r="T89" s="52"/>
      <c r="U89" s="52"/>
      <c r="V89" s="52"/>
      <c r="W89" s="52"/>
      <c r="X89" s="52"/>
      <c r="Y89" s="52"/>
    </row>
    <row r="90" spans="1:25" ht="15.75" customHeight="1" x14ac:dyDescent="0.25">
      <c r="A90" s="58">
        <v>89</v>
      </c>
      <c r="B90" s="62" t="s">
        <v>276</v>
      </c>
      <c r="C90" s="52" t="s">
        <v>40</v>
      </c>
      <c r="D90" s="63" t="s">
        <v>275</v>
      </c>
      <c r="E90" s="66" t="s">
        <v>559</v>
      </c>
      <c r="F90" s="52"/>
      <c r="G90" s="59" t="s">
        <v>18</v>
      </c>
      <c r="H90" s="59">
        <v>18</v>
      </c>
      <c r="I90" s="64">
        <v>3.8425926766454902E-3</v>
      </c>
      <c r="J90" s="65">
        <v>60</v>
      </c>
      <c r="K90" s="64">
        <v>6.8287037406475201E-3</v>
      </c>
      <c r="L90" s="65">
        <v>11</v>
      </c>
      <c r="M90" s="64">
        <v>1.08333329293524E-2</v>
      </c>
      <c r="N90" s="65">
        <v>126</v>
      </c>
      <c r="O90" s="64">
        <v>1.0763894295337201E-3</v>
      </c>
      <c r="P90" s="65">
        <v>76</v>
      </c>
      <c r="Q90" s="60">
        <v>2.2581018776179199E-2</v>
      </c>
      <c r="R90" s="52"/>
      <c r="S90" s="52"/>
      <c r="T90" s="52"/>
      <c r="U90" s="52"/>
      <c r="V90" s="52"/>
      <c r="W90" s="52"/>
      <c r="X90" s="52"/>
      <c r="Y90" s="52"/>
    </row>
    <row r="91" spans="1:25" ht="15.75" customHeight="1" x14ac:dyDescent="0.25">
      <c r="A91" s="58">
        <v>90</v>
      </c>
      <c r="B91" s="62" t="s">
        <v>278</v>
      </c>
      <c r="C91" s="52" t="s">
        <v>106</v>
      </c>
      <c r="D91" s="63" t="s">
        <v>277</v>
      </c>
      <c r="E91" s="66" t="s">
        <v>538</v>
      </c>
      <c r="F91" s="52"/>
      <c r="G91" s="59" t="s">
        <v>30</v>
      </c>
      <c r="H91" s="59">
        <v>12</v>
      </c>
      <c r="I91" s="64">
        <v>4.0046297126177001E-3</v>
      </c>
      <c r="J91" s="65">
        <v>72</v>
      </c>
      <c r="K91" s="64">
        <v>8.0671296697676694E-3</v>
      </c>
      <c r="L91" s="65">
        <v>92</v>
      </c>
      <c r="M91" s="64">
        <v>8.8310193542792109E-3</v>
      </c>
      <c r="N91" s="65">
        <v>76</v>
      </c>
      <c r="O91" s="64">
        <v>1.7592592892237901E-3</v>
      </c>
      <c r="P91" s="65">
        <v>146</v>
      </c>
      <c r="Q91" s="60">
        <v>2.2662038025888301E-2</v>
      </c>
      <c r="R91" s="52"/>
      <c r="S91" s="52"/>
      <c r="T91" s="52"/>
      <c r="U91" s="52"/>
      <c r="V91" s="52"/>
      <c r="W91" s="52"/>
      <c r="X91" s="52"/>
      <c r="Y91" s="52"/>
    </row>
    <row r="92" spans="1:25" ht="15.75" customHeight="1" x14ac:dyDescent="0.25">
      <c r="A92" s="58">
        <v>91</v>
      </c>
      <c r="B92" s="62" t="s">
        <v>280</v>
      </c>
      <c r="C92" s="52" t="s">
        <v>122</v>
      </c>
      <c r="D92" s="63" t="s">
        <v>279</v>
      </c>
      <c r="E92" s="57" t="s">
        <v>480</v>
      </c>
      <c r="F92" s="52"/>
      <c r="G92" s="59" t="s">
        <v>18</v>
      </c>
      <c r="H92" s="59">
        <v>19</v>
      </c>
      <c r="I92" s="64">
        <v>4.03935194708906E-3</v>
      </c>
      <c r="J92" s="65">
        <v>75</v>
      </c>
      <c r="K92" s="64">
        <v>7.6620370645146202E-3</v>
      </c>
      <c r="L92" s="65">
        <v>69</v>
      </c>
      <c r="M92" s="64">
        <v>9.4444442871783E-3</v>
      </c>
      <c r="N92" s="65">
        <v>97</v>
      </c>
      <c r="O92" s="64">
        <v>1.57407440615217E-3</v>
      </c>
      <c r="P92" s="65">
        <v>134</v>
      </c>
      <c r="Q92" s="60">
        <v>2.2719907704934102E-2</v>
      </c>
      <c r="R92" s="52"/>
      <c r="S92" s="52"/>
      <c r="T92" s="52"/>
      <c r="U92" s="52"/>
      <c r="V92" s="52"/>
      <c r="W92" s="52"/>
      <c r="X92" s="52"/>
      <c r="Y92" s="52"/>
    </row>
    <row r="93" spans="1:25" ht="15.75" customHeight="1" x14ac:dyDescent="0.25">
      <c r="A93" s="58">
        <v>92</v>
      </c>
      <c r="B93" s="62" t="s">
        <v>282</v>
      </c>
      <c r="C93" s="52" t="s">
        <v>78</v>
      </c>
      <c r="D93" s="63" t="s">
        <v>281</v>
      </c>
      <c r="E93" s="66" t="s">
        <v>525</v>
      </c>
      <c r="F93" s="52"/>
      <c r="G93" s="59" t="s">
        <v>18</v>
      </c>
      <c r="H93" s="59">
        <v>20</v>
      </c>
      <c r="I93" s="64">
        <v>5.1736111588005802E-3</v>
      </c>
      <c r="J93" s="65">
        <v>139</v>
      </c>
      <c r="K93" s="64">
        <v>7.3726851991792299E-3</v>
      </c>
      <c r="L93" s="65">
        <v>54</v>
      </c>
      <c r="M93" s="64">
        <v>8.4837969129186001E-3</v>
      </c>
      <c r="N93" s="65">
        <v>59</v>
      </c>
      <c r="O93" s="64">
        <v>1.70138884081627E-3</v>
      </c>
      <c r="P93" s="65">
        <v>144</v>
      </c>
      <c r="Q93" s="60">
        <v>2.27314821117146E-2</v>
      </c>
      <c r="R93" s="52"/>
      <c r="S93" s="52"/>
      <c r="T93" s="52"/>
      <c r="U93" s="52"/>
      <c r="V93" s="52"/>
      <c r="W93" s="52"/>
      <c r="X93" s="52"/>
      <c r="Y93" s="52"/>
    </row>
    <row r="94" spans="1:25" ht="15.75" customHeight="1" x14ac:dyDescent="0.25">
      <c r="A94" s="58">
        <v>93</v>
      </c>
      <c r="B94" s="62" t="s">
        <v>284</v>
      </c>
      <c r="C94" s="52" t="s">
        <v>285</v>
      </c>
      <c r="D94" s="63" t="s">
        <v>283</v>
      </c>
      <c r="E94" s="66" t="s">
        <v>505</v>
      </c>
      <c r="F94" s="52"/>
      <c r="G94" s="59" t="s">
        <v>18</v>
      </c>
      <c r="H94" s="59">
        <v>21</v>
      </c>
      <c r="I94" s="64">
        <v>4.0046296891333797E-3</v>
      </c>
      <c r="J94" s="65">
        <v>70</v>
      </c>
      <c r="K94" s="64">
        <v>8.0787037776323695E-3</v>
      </c>
      <c r="L94" s="65">
        <v>93</v>
      </c>
      <c r="M94" s="64">
        <v>9.15509252262405E-3</v>
      </c>
      <c r="N94" s="65">
        <v>89</v>
      </c>
      <c r="O94" s="64">
        <v>1.5393528420848299E-3</v>
      </c>
      <c r="P94" s="65">
        <v>131</v>
      </c>
      <c r="Q94" s="60">
        <v>2.27777788314746E-2</v>
      </c>
      <c r="R94" s="52"/>
      <c r="S94" s="52"/>
      <c r="T94" s="52"/>
      <c r="U94" s="52"/>
      <c r="V94" s="52"/>
      <c r="W94" s="52"/>
      <c r="X94" s="52"/>
      <c r="Y94" s="52"/>
    </row>
    <row r="95" spans="1:25" ht="15.75" customHeight="1" x14ac:dyDescent="0.25">
      <c r="A95" s="58">
        <v>94</v>
      </c>
      <c r="B95" s="62" t="s">
        <v>287</v>
      </c>
      <c r="C95" s="52" t="s">
        <v>288</v>
      </c>
      <c r="D95" s="63" t="s">
        <v>286</v>
      </c>
      <c r="E95" s="66" t="s">
        <v>499</v>
      </c>
      <c r="F95" s="52"/>
      <c r="G95" s="59" t="s">
        <v>116</v>
      </c>
      <c r="H95" s="59">
        <v>6</v>
      </c>
      <c r="I95" s="64">
        <v>4.6180555780080601E-3</v>
      </c>
      <c r="J95" s="65">
        <v>105</v>
      </c>
      <c r="K95" s="64">
        <v>8.5069445558614201E-3</v>
      </c>
      <c r="L95" s="65">
        <v>115</v>
      </c>
      <c r="M95" s="64">
        <v>8.7268516401547806E-3</v>
      </c>
      <c r="N95" s="65">
        <v>72</v>
      </c>
      <c r="O95" s="64">
        <v>1.2268525769351701E-3</v>
      </c>
      <c r="P95" s="65">
        <v>96</v>
      </c>
      <c r="Q95" s="60">
        <v>2.3078704350959399E-2</v>
      </c>
      <c r="R95" s="52"/>
      <c r="S95" s="52"/>
      <c r="T95" s="52"/>
      <c r="U95" s="52"/>
      <c r="V95" s="52"/>
      <c r="W95" s="52"/>
      <c r="X95" s="52"/>
      <c r="Y95" s="52"/>
    </row>
    <row r="96" spans="1:25" ht="15.75" customHeight="1" x14ac:dyDescent="0.25">
      <c r="A96" s="58">
        <v>95</v>
      </c>
      <c r="B96" s="62" t="s">
        <v>290</v>
      </c>
      <c r="C96" s="52" t="s">
        <v>291</v>
      </c>
      <c r="D96" s="63" t="s">
        <v>289</v>
      </c>
      <c r="E96" s="57" t="s">
        <v>615</v>
      </c>
      <c r="F96" s="57" t="s">
        <v>596</v>
      </c>
      <c r="G96" s="59" t="s">
        <v>292</v>
      </c>
      <c r="H96" s="59">
        <v>1</v>
      </c>
      <c r="I96" s="64">
        <v>4.2708333711699497E-3</v>
      </c>
      <c r="J96" s="65">
        <v>87</v>
      </c>
      <c r="K96" s="64">
        <v>8.5416667691953392E-3</v>
      </c>
      <c r="L96" s="65">
        <v>117</v>
      </c>
      <c r="M96" s="64">
        <v>9.3402779169011897E-3</v>
      </c>
      <c r="N96" s="65">
        <v>92</v>
      </c>
      <c r="O96" s="64">
        <v>1.0185192577514301E-3</v>
      </c>
      <c r="P96" s="65">
        <v>68</v>
      </c>
      <c r="Q96" s="60">
        <v>2.3171297315017901E-2</v>
      </c>
      <c r="R96" s="52"/>
      <c r="S96" s="52"/>
      <c r="T96" s="52"/>
      <c r="U96" s="52"/>
      <c r="V96" s="52"/>
      <c r="W96" s="52"/>
      <c r="X96" s="52"/>
      <c r="Y96" s="52"/>
    </row>
    <row r="97" spans="1:25" ht="15.75" customHeight="1" x14ac:dyDescent="0.25">
      <c r="A97" s="58">
        <v>96</v>
      </c>
      <c r="B97" s="62" t="s">
        <v>294</v>
      </c>
      <c r="C97" s="52" t="s">
        <v>295</v>
      </c>
      <c r="D97" s="63" t="s">
        <v>293</v>
      </c>
      <c r="E97" s="66" t="s">
        <v>494</v>
      </c>
      <c r="F97" s="52"/>
      <c r="G97" s="59" t="s">
        <v>103</v>
      </c>
      <c r="H97" s="59">
        <v>5</v>
      </c>
      <c r="I97" s="64">
        <v>3.2291667062853999E-3</v>
      </c>
      <c r="J97" s="65">
        <v>22</v>
      </c>
      <c r="K97" s="64">
        <v>8.0324075010617096E-3</v>
      </c>
      <c r="L97" s="65">
        <v>90</v>
      </c>
      <c r="M97" s="64">
        <v>1.10416667933948E-2</v>
      </c>
      <c r="N97" s="65">
        <v>136</v>
      </c>
      <c r="O97" s="64">
        <v>9.6064813585876199E-4</v>
      </c>
      <c r="P97" s="65">
        <v>59</v>
      </c>
      <c r="Q97" s="60">
        <v>2.3263889136600699E-2</v>
      </c>
      <c r="R97" s="52"/>
      <c r="S97" s="52"/>
      <c r="T97" s="52"/>
      <c r="U97" s="52"/>
      <c r="V97" s="52"/>
      <c r="W97" s="52"/>
      <c r="X97" s="52"/>
      <c r="Y97" s="52"/>
    </row>
    <row r="98" spans="1:25" ht="15.75" customHeight="1" x14ac:dyDescent="0.25">
      <c r="A98" s="58">
        <v>97</v>
      </c>
      <c r="B98" s="62" t="s">
        <v>297</v>
      </c>
      <c r="C98" s="52" t="s">
        <v>298</v>
      </c>
      <c r="D98" s="63" t="s">
        <v>296</v>
      </c>
      <c r="E98" s="66" t="s">
        <v>476</v>
      </c>
      <c r="F98" s="52"/>
      <c r="G98" s="59" t="s">
        <v>26</v>
      </c>
      <c r="H98" s="59">
        <v>15</v>
      </c>
      <c r="I98" s="64">
        <v>4.12037045428423E-3</v>
      </c>
      <c r="J98" s="65">
        <v>82</v>
      </c>
      <c r="K98" s="64">
        <v>7.4421296682760998E-3</v>
      </c>
      <c r="L98" s="65">
        <v>58</v>
      </c>
      <c r="M98" s="64">
        <v>1.08912036045587E-2</v>
      </c>
      <c r="N98" s="65">
        <v>129</v>
      </c>
      <c r="O98" s="64">
        <v>8.9120455252898105E-4</v>
      </c>
      <c r="P98" s="65">
        <v>54</v>
      </c>
      <c r="Q98" s="60">
        <v>2.3344908279648E-2</v>
      </c>
      <c r="R98" s="52"/>
      <c r="S98" s="52"/>
      <c r="T98" s="52"/>
      <c r="U98" s="52"/>
      <c r="V98" s="52"/>
      <c r="W98" s="52"/>
      <c r="X98" s="52"/>
      <c r="Y98" s="52"/>
    </row>
    <row r="99" spans="1:25" ht="15.75" customHeight="1" x14ac:dyDescent="0.25">
      <c r="A99" s="58">
        <v>98</v>
      </c>
      <c r="B99" s="62" t="s">
        <v>300</v>
      </c>
      <c r="C99" s="52" t="s">
        <v>264</v>
      </c>
      <c r="D99" s="63" t="s">
        <v>299</v>
      </c>
      <c r="E99" s="66" t="s">
        <v>524</v>
      </c>
      <c r="F99" s="52"/>
      <c r="G99" s="59" t="s">
        <v>103</v>
      </c>
      <c r="H99" s="59">
        <v>6</v>
      </c>
      <c r="I99" s="64">
        <v>3.8078703849245602E-3</v>
      </c>
      <c r="J99" s="65">
        <v>57</v>
      </c>
      <c r="K99" s="64">
        <v>9.2708334228146106E-3</v>
      </c>
      <c r="L99" s="65">
        <v>147</v>
      </c>
      <c r="M99" s="64">
        <v>9.5833335093130304E-3</v>
      </c>
      <c r="N99" s="65">
        <v>103</v>
      </c>
      <c r="O99" s="64">
        <v>7.4074147264280201E-4</v>
      </c>
      <c r="P99" s="65">
        <v>27</v>
      </c>
      <c r="Q99" s="60">
        <v>2.3402778789694999E-2</v>
      </c>
      <c r="R99" s="52"/>
      <c r="S99" s="52"/>
      <c r="T99" s="52"/>
      <c r="U99" s="52"/>
      <c r="V99" s="52"/>
      <c r="W99" s="52"/>
      <c r="X99" s="52"/>
      <c r="Y99" s="52"/>
    </row>
    <row r="100" spans="1:25" ht="15.75" customHeight="1" x14ac:dyDescent="0.25">
      <c r="A100" s="58">
        <v>99</v>
      </c>
      <c r="B100" s="62" t="s">
        <v>302</v>
      </c>
      <c r="C100" s="52" t="s">
        <v>191</v>
      </c>
      <c r="D100" s="63" t="s">
        <v>301</v>
      </c>
      <c r="E100" s="66" t="s">
        <v>521</v>
      </c>
      <c r="F100" s="52"/>
      <c r="G100" s="59" t="s">
        <v>18</v>
      </c>
      <c r="H100" s="59">
        <v>22</v>
      </c>
      <c r="I100" s="64">
        <v>5.6365741472707096E-3</v>
      </c>
      <c r="J100" s="65">
        <v>148</v>
      </c>
      <c r="K100" s="64">
        <v>7.6504629815356403E-3</v>
      </c>
      <c r="L100" s="65">
        <v>65</v>
      </c>
      <c r="M100" s="64">
        <v>8.4953706239686497E-3</v>
      </c>
      <c r="N100" s="65">
        <v>60</v>
      </c>
      <c r="O100" s="64">
        <v>1.64351866657135E-3</v>
      </c>
      <c r="P100" s="65">
        <v>139</v>
      </c>
      <c r="Q100" s="60">
        <v>2.34259264193463E-2</v>
      </c>
      <c r="R100" s="52"/>
      <c r="S100" s="52"/>
      <c r="T100" s="52"/>
      <c r="U100" s="52"/>
      <c r="V100" s="52"/>
      <c r="W100" s="52"/>
      <c r="X100" s="52"/>
      <c r="Y100" s="52"/>
    </row>
    <row r="101" spans="1:25" ht="15.75" customHeight="1" x14ac:dyDescent="0.25">
      <c r="A101" s="58">
        <v>100</v>
      </c>
      <c r="B101" s="62" t="s">
        <v>304</v>
      </c>
      <c r="C101" s="52" t="s">
        <v>305</v>
      </c>
      <c r="D101" s="63" t="s">
        <v>303</v>
      </c>
      <c r="E101" s="66" t="s">
        <v>493</v>
      </c>
      <c r="F101" s="52"/>
      <c r="G101" s="59" t="s">
        <v>22</v>
      </c>
      <c r="H101" s="59">
        <v>18</v>
      </c>
      <c r="I101" s="64">
        <v>4.0972223103155703E-3</v>
      </c>
      <c r="J101" s="65">
        <v>80</v>
      </c>
      <c r="K101" s="64">
        <v>7.9398149257596199E-3</v>
      </c>
      <c r="L101" s="65">
        <v>83</v>
      </c>
      <c r="M101" s="64">
        <v>9.7453700475719392E-3</v>
      </c>
      <c r="N101" s="65">
        <v>106</v>
      </c>
      <c r="O101" s="64">
        <v>1.7013895623595901E-3</v>
      </c>
      <c r="P101" s="65">
        <v>145</v>
      </c>
      <c r="Q101" s="60">
        <v>2.34837968460067E-2</v>
      </c>
      <c r="R101" s="52"/>
      <c r="S101" s="52"/>
      <c r="T101" s="52"/>
      <c r="U101" s="52"/>
      <c r="V101" s="52"/>
      <c r="W101" s="52"/>
      <c r="X101" s="52"/>
      <c r="Y101" s="52"/>
    </row>
    <row r="102" spans="1:25" ht="15.75" customHeight="1" x14ac:dyDescent="0.25">
      <c r="A102" s="58">
        <v>101</v>
      </c>
      <c r="B102" s="62" t="s">
        <v>307</v>
      </c>
      <c r="C102" s="52" t="s">
        <v>308</v>
      </c>
      <c r="D102" s="63" t="s">
        <v>306</v>
      </c>
      <c r="E102" s="66" t="s">
        <v>501</v>
      </c>
      <c r="F102" s="52"/>
      <c r="G102" s="59" t="s">
        <v>103</v>
      </c>
      <c r="H102" s="59">
        <v>7</v>
      </c>
      <c r="I102" s="64">
        <v>3.3912037068552598E-3</v>
      </c>
      <c r="J102" s="65">
        <v>29</v>
      </c>
      <c r="K102" s="64">
        <v>9.2013889013756092E-3</v>
      </c>
      <c r="L102" s="65">
        <v>144</v>
      </c>
      <c r="M102" s="64">
        <v>9.3981478057017995E-3</v>
      </c>
      <c r="N102" s="65">
        <v>95</v>
      </c>
      <c r="O102" s="64">
        <v>1.5625005362130901E-3</v>
      </c>
      <c r="P102" s="65">
        <v>133</v>
      </c>
      <c r="Q102" s="60">
        <v>2.3553240950145701E-2</v>
      </c>
      <c r="R102" s="52"/>
      <c r="S102" s="52"/>
      <c r="T102" s="52"/>
      <c r="U102" s="52"/>
      <c r="V102" s="52"/>
      <c r="W102" s="52"/>
      <c r="X102" s="52"/>
      <c r="Y102" s="52"/>
    </row>
    <row r="103" spans="1:25" ht="15.75" customHeight="1" x14ac:dyDescent="0.25">
      <c r="A103" s="58">
        <v>102</v>
      </c>
      <c r="B103" s="62" t="s">
        <v>310</v>
      </c>
      <c r="C103" s="52" t="s">
        <v>188</v>
      </c>
      <c r="D103" s="63" t="s">
        <v>309</v>
      </c>
      <c r="E103" s="52" t="s">
        <v>585</v>
      </c>
      <c r="F103" s="52"/>
      <c r="G103" s="59" t="s">
        <v>311</v>
      </c>
      <c r="H103" s="59">
        <v>1</v>
      </c>
      <c r="I103" s="64">
        <v>4.7337963096213496E-3</v>
      </c>
      <c r="J103" s="65">
        <v>114</v>
      </c>
      <c r="K103" s="64">
        <v>7.1296297300518698E-3</v>
      </c>
      <c r="L103" s="65">
        <v>31</v>
      </c>
      <c r="M103" s="64">
        <v>1.03472222905731E-2</v>
      </c>
      <c r="N103" s="65">
        <v>119</v>
      </c>
      <c r="O103" s="64">
        <v>1.3657412508684701E-3</v>
      </c>
      <c r="P103" s="65">
        <v>114</v>
      </c>
      <c r="Q103" s="60">
        <v>2.3576389581114798E-2</v>
      </c>
      <c r="R103" s="52"/>
      <c r="S103" s="52"/>
      <c r="T103" s="52"/>
      <c r="U103" s="52"/>
      <c r="V103" s="52"/>
      <c r="W103" s="52"/>
      <c r="X103" s="52"/>
      <c r="Y103" s="52"/>
    </row>
    <row r="104" spans="1:25" ht="15.75" customHeight="1" x14ac:dyDescent="0.25">
      <c r="A104" s="58">
        <v>103</v>
      </c>
      <c r="B104" s="62" t="s">
        <v>313</v>
      </c>
      <c r="C104" s="52" t="s">
        <v>314</v>
      </c>
      <c r="D104" s="63" t="s">
        <v>312</v>
      </c>
      <c r="E104" s="66" t="s">
        <v>567</v>
      </c>
      <c r="F104" s="52"/>
      <c r="G104" s="59" t="s">
        <v>128</v>
      </c>
      <c r="H104" s="59">
        <v>9</v>
      </c>
      <c r="I104" s="64">
        <v>3.4027778449159398E-3</v>
      </c>
      <c r="J104" s="65">
        <v>30</v>
      </c>
      <c r="K104" s="64">
        <v>9.1203703788853095E-3</v>
      </c>
      <c r="L104" s="65">
        <v>143</v>
      </c>
      <c r="M104" s="64">
        <v>1.01157414131229E-2</v>
      </c>
      <c r="N104" s="65">
        <v>113</v>
      </c>
      <c r="O104" s="64">
        <v>9.4907419622762795E-4</v>
      </c>
      <c r="P104" s="65">
        <v>58</v>
      </c>
      <c r="Q104" s="60">
        <v>2.3587963833151801E-2</v>
      </c>
      <c r="R104" s="52"/>
      <c r="S104" s="52"/>
      <c r="T104" s="52"/>
      <c r="U104" s="52"/>
      <c r="V104" s="52"/>
      <c r="W104" s="52"/>
      <c r="X104" s="52"/>
      <c r="Y104" s="52"/>
    </row>
    <row r="105" spans="1:25" ht="15.75" customHeight="1" x14ac:dyDescent="0.25">
      <c r="A105" s="58">
        <v>104</v>
      </c>
      <c r="B105" s="62" t="s">
        <v>166</v>
      </c>
      <c r="C105" s="52" t="s">
        <v>316</v>
      </c>
      <c r="D105" s="63" t="s">
        <v>315</v>
      </c>
      <c r="E105" s="57" t="s">
        <v>616</v>
      </c>
      <c r="F105" s="57" t="s">
        <v>617</v>
      </c>
      <c r="G105" s="59" t="s">
        <v>168</v>
      </c>
      <c r="H105" s="59">
        <v>3</v>
      </c>
      <c r="I105" s="64">
        <v>3.9814815953260101E-3</v>
      </c>
      <c r="J105" s="65">
        <v>69</v>
      </c>
      <c r="K105" s="64">
        <v>8.1250000089219607E-3</v>
      </c>
      <c r="L105" s="65">
        <v>95</v>
      </c>
      <c r="M105" s="64">
        <v>1.06365736175182E-2</v>
      </c>
      <c r="N105" s="65">
        <v>124</v>
      </c>
      <c r="O105" s="64">
        <v>8.9120444406645401E-4</v>
      </c>
      <c r="P105" s="65">
        <v>53</v>
      </c>
      <c r="Q105" s="60">
        <v>2.3634259665832599E-2</v>
      </c>
      <c r="R105" s="52"/>
      <c r="S105" s="52"/>
      <c r="T105" s="52"/>
      <c r="U105" s="52"/>
      <c r="V105" s="52"/>
      <c r="W105" s="52"/>
      <c r="X105" s="52"/>
      <c r="Y105" s="52"/>
    </row>
    <row r="106" spans="1:25" ht="15.75" customHeight="1" x14ac:dyDescent="0.25">
      <c r="A106" s="58">
        <v>105</v>
      </c>
      <c r="B106" s="62" t="s">
        <v>318</v>
      </c>
      <c r="C106" s="52" t="s">
        <v>319</v>
      </c>
      <c r="D106" s="63" t="s">
        <v>317</v>
      </c>
      <c r="E106" s="67" t="s">
        <v>585</v>
      </c>
      <c r="F106" s="52"/>
      <c r="G106" s="59" t="s">
        <v>37</v>
      </c>
      <c r="H106" s="59">
        <v>2</v>
      </c>
      <c r="I106" s="64">
        <v>4.4444445113136699E-3</v>
      </c>
      <c r="J106" s="65">
        <v>98</v>
      </c>
      <c r="K106" s="64">
        <v>8.6111112074099307E-3</v>
      </c>
      <c r="L106" s="65">
        <v>125</v>
      </c>
      <c r="M106" s="64">
        <v>9.5023148967630401E-3</v>
      </c>
      <c r="N106" s="65">
        <v>100</v>
      </c>
      <c r="O106" s="64">
        <v>1.0879635281343899E-3</v>
      </c>
      <c r="P106" s="65">
        <v>78</v>
      </c>
      <c r="Q106" s="60">
        <v>2.3645834143621001E-2</v>
      </c>
      <c r="R106" s="52"/>
      <c r="S106" s="52"/>
      <c r="T106" s="52"/>
      <c r="U106" s="52"/>
      <c r="V106" s="52"/>
      <c r="W106" s="52"/>
      <c r="X106" s="52"/>
      <c r="Y106" s="52"/>
    </row>
    <row r="107" spans="1:25" ht="15.75" customHeight="1" x14ac:dyDescent="0.25">
      <c r="A107" s="58">
        <v>106</v>
      </c>
      <c r="B107" s="62" t="s">
        <v>321</v>
      </c>
      <c r="C107" s="52" t="s">
        <v>322</v>
      </c>
      <c r="D107" s="63" t="s">
        <v>320</v>
      </c>
      <c r="E107" s="57" t="s">
        <v>618</v>
      </c>
      <c r="F107" s="57" t="s">
        <v>469</v>
      </c>
      <c r="G107" s="59" t="s">
        <v>22</v>
      </c>
      <c r="H107" s="59">
        <v>19</v>
      </c>
      <c r="I107" s="64">
        <v>4.6296297078689298E-3</v>
      </c>
      <c r="J107" s="65">
        <v>107</v>
      </c>
      <c r="K107" s="64">
        <v>7.9976852857578992E-3</v>
      </c>
      <c r="L107" s="65">
        <v>87</v>
      </c>
      <c r="M107" s="64">
        <v>9.4560184130358504E-3</v>
      </c>
      <c r="N107" s="65">
        <v>98</v>
      </c>
      <c r="O107" s="64">
        <v>1.6087964426842599E-3</v>
      </c>
      <c r="P107" s="65">
        <v>136</v>
      </c>
      <c r="Q107" s="60">
        <v>2.3692129849346901E-2</v>
      </c>
      <c r="R107" s="52"/>
      <c r="S107" s="52"/>
      <c r="T107" s="52"/>
      <c r="U107" s="52"/>
      <c r="V107" s="52"/>
      <c r="W107" s="52"/>
      <c r="X107" s="52"/>
      <c r="Y107" s="52"/>
    </row>
    <row r="108" spans="1:25" ht="15.75" customHeight="1" x14ac:dyDescent="0.25">
      <c r="A108" s="58">
        <v>107</v>
      </c>
      <c r="B108" s="62" t="s">
        <v>324</v>
      </c>
      <c r="C108" s="52" t="s">
        <v>325</v>
      </c>
      <c r="D108" s="63" t="s">
        <v>323</v>
      </c>
      <c r="E108" s="66" t="s">
        <v>486</v>
      </c>
      <c r="F108" s="52"/>
      <c r="G108" s="59" t="s">
        <v>22</v>
      </c>
      <c r="H108" s="59">
        <v>20</v>
      </c>
      <c r="I108" s="64">
        <v>4.75694446546014E-3</v>
      </c>
      <c r="J108" s="65">
        <v>115</v>
      </c>
      <c r="K108" s="64">
        <v>8.7152778595702904E-3</v>
      </c>
      <c r="L108" s="65">
        <v>128</v>
      </c>
      <c r="M108" s="64">
        <v>9.4328708508020897E-3</v>
      </c>
      <c r="N108" s="65">
        <v>96</v>
      </c>
      <c r="O108" s="64">
        <v>8.3333325038561297E-4</v>
      </c>
      <c r="P108" s="65">
        <v>41</v>
      </c>
      <c r="Q108" s="60">
        <v>2.3738426426218099E-2</v>
      </c>
      <c r="R108" s="52"/>
      <c r="S108" s="52"/>
      <c r="T108" s="52"/>
      <c r="U108" s="52"/>
      <c r="V108" s="52"/>
      <c r="W108" s="52"/>
      <c r="X108" s="52"/>
      <c r="Y108" s="52"/>
    </row>
    <row r="109" spans="1:25" ht="15.75" customHeight="1" x14ac:dyDescent="0.25">
      <c r="A109" s="58">
        <v>108</v>
      </c>
      <c r="B109" s="62" t="s">
        <v>327</v>
      </c>
      <c r="C109" s="52" t="s">
        <v>328</v>
      </c>
      <c r="D109" s="63" t="s">
        <v>326</v>
      </c>
      <c r="E109" s="66" t="s">
        <v>471</v>
      </c>
      <c r="F109" s="52"/>
      <c r="G109" s="59" t="s">
        <v>18</v>
      </c>
      <c r="H109" s="59">
        <v>23</v>
      </c>
      <c r="I109" s="64">
        <v>4.8263889779436896E-3</v>
      </c>
      <c r="J109" s="65">
        <v>121</v>
      </c>
      <c r="K109" s="64">
        <v>7.8009259419803603E-3</v>
      </c>
      <c r="L109" s="65">
        <v>76</v>
      </c>
      <c r="M109" s="64">
        <v>9.6527769797395708E-3</v>
      </c>
      <c r="N109" s="65">
        <v>105</v>
      </c>
      <c r="O109" s="64">
        <v>1.46990828874405E-3</v>
      </c>
      <c r="P109" s="65">
        <v>123</v>
      </c>
      <c r="Q109" s="60">
        <v>2.3750000188407599E-2</v>
      </c>
      <c r="R109" s="52"/>
      <c r="S109" s="52"/>
      <c r="T109" s="52"/>
      <c r="U109" s="52"/>
      <c r="V109" s="52"/>
      <c r="W109" s="52"/>
      <c r="X109" s="52"/>
      <c r="Y109" s="52"/>
    </row>
    <row r="110" spans="1:25" ht="15.75" customHeight="1" x14ac:dyDescent="0.25">
      <c r="A110" s="58">
        <v>109</v>
      </c>
      <c r="B110" s="62" t="s">
        <v>330</v>
      </c>
      <c r="C110" s="52" t="s">
        <v>331</v>
      </c>
      <c r="D110" s="63" t="s">
        <v>329</v>
      </c>
      <c r="E110" s="66" t="s">
        <v>512</v>
      </c>
      <c r="F110" s="52"/>
      <c r="G110" s="59" t="s">
        <v>96</v>
      </c>
      <c r="H110" s="59">
        <v>3</v>
      </c>
      <c r="I110" s="64">
        <v>4.3981481782746704E-3</v>
      </c>
      <c r="J110" s="65">
        <v>95</v>
      </c>
      <c r="K110" s="64">
        <v>8.5879630648892299E-3</v>
      </c>
      <c r="L110" s="65">
        <v>122</v>
      </c>
      <c r="M110" s="64">
        <v>8.5532402961478599E-3</v>
      </c>
      <c r="N110" s="65">
        <v>62</v>
      </c>
      <c r="O110" s="64">
        <v>2.3032414766851498E-3</v>
      </c>
      <c r="P110" s="65">
        <v>154</v>
      </c>
      <c r="Q110" s="60">
        <v>2.38425930159969E-2</v>
      </c>
      <c r="R110" s="52"/>
      <c r="S110" s="52"/>
      <c r="T110" s="52"/>
      <c r="U110" s="52"/>
      <c r="V110" s="52"/>
      <c r="W110" s="52"/>
      <c r="X110" s="52"/>
      <c r="Y110" s="52"/>
    </row>
    <row r="111" spans="1:25" ht="15.75" customHeight="1" x14ac:dyDescent="0.25">
      <c r="A111" s="58">
        <v>110</v>
      </c>
      <c r="B111" s="62" t="s">
        <v>333</v>
      </c>
      <c r="C111" s="52" t="s">
        <v>334</v>
      </c>
      <c r="D111" s="63" t="s">
        <v>332</v>
      </c>
      <c r="E111" s="66" t="s">
        <v>485</v>
      </c>
      <c r="F111" s="52"/>
      <c r="G111" s="59" t="s">
        <v>128</v>
      </c>
      <c r="H111" s="59">
        <v>10</v>
      </c>
      <c r="I111" s="64">
        <v>4.3402778172365198E-3</v>
      </c>
      <c r="J111" s="65">
        <v>91</v>
      </c>
      <c r="K111" s="64">
        <v>8.9699075230846408E-3</v>
      </c>
      <c r="L111" s="65">
        <v>137</v>
      </c>
      <c r="M111" s="64">
        <v>9.0046296038126996E-3</v>
      </c>
      <c r="N111" s="65">
        <v>82</v>
      </c>
      <c r="O111" s="64">
        <v>1.5277783736694301E-3</v>
      </c>
      <c r="P111" s="65">
        <v>130</v>
      </c>
      <c r="Q111" s="60">
        <v>2.38425933178033E-2</v>
      </c>
      <c r="R111" s="52"/>
      <c r="S111" s="52"/>
      <c r="T111" s="52"/>
      <c r="U111" s="52"/>
      <c r="V111" s="52"/>
      <c r="W111" s="52"/>
      <c r="X111" s="52"/>
      <c r="Y111" s="52"/>
    </row>
    <row r="112" spans="1:25" ht="15.75" customHeight="1" x14ac:dyDescent="0.25">
      <c r="A112" s="58">
        <v>111</v>
      </c>
      <c r="B112" s="62" t="s">
        <v>336</v>
      </c>
      <c r="C112" s="52" t="s">
        <v>36</v>
      </c>
      <c r="D112" s="63" t="s">
        <v>335</v>
      </c>
      <c r="E112" s="66" t="s">
        <v>540</v>
      </c>
      <c r="F112" s="52"/>
      <c r="G112" s="59" t="s">
        <v>116</v>
      </c>
      <c r="H112" s="59">
        <v>7</v>
      </c>
      <c r="I112" s="64">
        <v>3.8773149238030299E-3</v>
      </c>
      <c r="J112" s="65">
        <v>61</v>
      </c>
      <c r="K112" s="64">
        <v>8.1828703746775096E-3</v>
      </c>
      <c r="L112" s="65">
        <v>101</v>
      </c>
      <c r="M112" s="64">
        <v>1.0636573348581599E-2</v>
      </c>
      <c r="N112" s="65">
        <v>123</v>
      </c>
      <c r="O112" s="64">
        <v>1.20370446821246E-3</v>
      </c>
      <c r="P112" s="65">
        <v>93</v>
      </c>
      <c r="Q112" s="60">
        <v>2.3900463115274599E-2</v>
      </c>
      <c r="R112" s="52"/>
      <c r="S112" s="52"/>
      <c r="T112" s="52"/>
      <c r="U112" s="52"/>
      <c r="V112" s="52"/>
      <c r="W112" s="52"/>
      <c r="X112" s="52"/>
      <c r="Y112" s="52"/>
    </row>
    <row r="113" spans="1:25" ht="15.75" customHeight="1" x14ac:dyDescent="0.25">
      <c r="A113" s="58">
        <v>112</v>
      </c>
      <c r="B113" s="62" t="s">
        <v>338</v>
      </c>
      <c r="C113" s="52" t="s">
        <v>339</v>
      </c>
      <c r="D113" s="63" t="s">
        <v>337</v>
      </c>
      <c r="E113" s="66" t="s">
        <v>508</v>
      </c>
      <c r="F113" s="52"/>
      <c r="G113" s="59" t="s">
        <v>116</v>
      </c>
      <c r="H113" s="59">
        <v>8</v>
      </c>
      <c r="I113" s="64">
        <v>4.8495370506455903E-3</v>
      </c>
      <c r="J113" s="65">
        <v>122</v>
      </c>
      <c r="K113" s="64">
        <v>7.6504630754168001E-3</v>
      </c>
      <c r="L113" s="65">
        <v>68</v>
      </c>
      <c r="M113" s="64">
        <v>9.9768519264059607E-3</v>
      </c>
      <c r="N113" s="65">
        <v>108</v>
      </c>
      <c r="O113" s="64">
        <v>1.50462983370123E-3</v>
      </c>
      <c r="P113" s="65">
        <v>127</v>
      </c>
      <c r="Q113" s="60">
        <v>2.3981481886169598E-2</v>
      </c>
      <c r="R113" s="52"/>
      <c r="S113" s="52"/>
      <c r="T113" s="52"/>
      <c r="U113" s="52"/>
      <c r="V113" s="52"/>
      <c r="W113" s="52"/>
      <c r="X113" s="52"/>
      <c r="Y113" s="52"/>
    </row>
    <row r="114" spans="1:25" ht="15.75" customHeight="1" x14ac:dyDescent="0.25">
      <c r="A114" s="58">
        <v>113</v>
      </c>
      <c r="B114" s="62" t="s">
        <v>341</v>
      </c>
      <c r="C114" s="52" t="s">
        <v>342</v>
      </c>
      <c r="D114" s="63" t="s">
        <v>340</v>
      </c>
      <c r="E114" s="57" t="s">
        <v>530</v>
      </c>
      <c r="F114" s="52"/>
      <c r="G114" s="59" t="s">
        <v>143</v>
      </c>
      <c r="H114" s="59">
        <v>3</v>
      </c>
      <c r="I114" s="64">
        <v>3.4722222994053101E-3</v>
      </c>
      <c r="J114" s="65">
        <v>37</v>
      </c>
      <c r="K114" s="64">
        <v>8.9930556358486305E-3</v>
      </c>
      <c r="L114" s="65">
        <v>138</v>
      </c>
      <c r="M114" s="64">
        <v>1.03356476410939E-2</v>
      </c>
      <c r="N114" s="65">
        <v>117</v>
      </c>
      <c r="O114" s="64">
        <v>1.3310189896212101E-3</v>
      </c>
      <c r="P114" s="65">
        <v>113</v>
      </c>
      <c r="Q114" s="60">
        <v>2.4131944565969E-2</v>
      </c>
      <c r="R114" s="52"/>
      <c r="S114" s="52"/>
      <c r="T114" s="52"/>
      <c r="U114" s="52"/>
      <c r="V114" s="52"/>
      <c r="W114" s="52"/>
      <c r="X114" s="52"/>
      <c r="Y114" s="52"/>
    </row>
    <row r="115" spans="1:25" ht="15.75" customHeight="1" x14ac:dyDescent="0.25">
      <c r="A115" s="58">
        <v>114</v>
      </c>
      <c r="B115" s="62" t="s">
        <v>344</v>
      </c>
      <c r="C115" s="52" t="s">
        <v>291</v>
      </c>
      <c r="D115" s="63" t="s">
        <v>343</v>
      </c>
      <c r="E115" s="66" t="s">
        <v>489</v>
      </c>
      <c r="F115" s="52"/>
      <c r="G115" s="59" t="s">
        <v>292</v>
      </c>
      <c r="H115" s="59">
        <v>2</v>
      </c>
      <c r="I115" s="64">
        <v>5.0810185582125496E-3</v>
      </c>
      <c r="J115" s="65">
        <v>131</v>
      </c>
      <c r="K115" s="64">
        <v>8.5532407994409303E-3</v>
      </c>
      <c r="L115" s="65">
        <v>118</v>
      </c>
      <c r="M115" s="64">
        <v>9.5254625900790795E-3</v>
      </c>
      <c r="N115" s="65">
        <v>102</v>
      </c>
      <c r="O115" s="64">
        <v>9.7222311244247496E-4</v>
      </c>
      <c r="P115" s="65">
        <v>60</v>
      </c>
      <c r="Q115" s="60">
        <v>2.4131945060174999E-2</v>
      </c>
      <c r="R115" s="52"/>
      <c r="S115" s="52"/>
      <c r="T115" s="52"/>
      <c r="U115" s="52"/>
      <c r="V115" s="52"/>
      <c r="W115" s="52"/>
      <c r="X115" s="52"/>
      <c r="Y115" s="52"/>
    </row>
    <row r="116" spans="1:25" ht="15.75" customHeight="1" x14ac:dyDescent="0.25">
      <c r="A116" s="58">
        <v>115</v>
      </c>
      <c r="B116" s="62" t="s">
        <v>346</v>
      </c>
      <c r="C116" s="52" t="s">
        <v>347</v>
      </c>
      <c r="D116" s="63" t="s">
        <v>345</v>
      </c>
      <c r="E116" s="66" t="s">
        <v>527</v>
      </c>
      <c r="F116" s="52"/>
      <c r="G116" s="59" t="s">
        <v>128</v>
      </c>
      <c r="H116" s="59">
        <v>11</v>
      </c>
      <c r="I116" s="64">
        <v>3.3449074663761701E-3</v>
      </c>
      <c r="J116" s="65">
        <v>26</v>
      </c>
      <c r="K116" s="64">
        <v>8.3449074624545403E-3</v>
      </c>
      <c r="L116" s="65">
        <v>104</v>
      </c>
      <c r="M116" s="64">
        <v>1.1805555789964501E-2</v>
      </c>
      <c r="N116" s="65">
        <v>147</v>
      </c>
      <c r="O116" s="64">
        <v>7.2916661974749297E-4</v>
      </c>
      <c r="P116" s="65">
        <v>22</v>
      </c>
      <c r="Q116" s="60">
        <v>2.4224537338542702E-2</v>
      </c>
      <c r="R116" s="52"/>
      <c r="S116" s="52"/>
      <c r="T116" s="52"/>
      <c r="U116" s="52"/>
      <c r="V116" s="52"/>
      <c r="W116" s="52"/>
      <c r="X116" s="52"/>
      <c r="Y116" s="52"/>
    </row>
    <row r="117" spans="1:25" ht="15.75" customHeight="1" x14ac:dyDescent="0.25">
      <c r="A117" s="58">
        <v>116</v>
      </c>
      <c r="B117" s="62" t="s">
        <v>349</v>
      </c>
      <c r="C117" s="52" t="s">
        <v>350</v>
      </c>
      <c r="D117" s="63" t="s">
        <v>348</v>
      </c>
      <c r="E117" s="66" t="s">
        <v>584</v>
      </c>
      <c r="F117" s="52"/>
      <c r="G117" s="59" t="s">
        <v>199</v>
      </c>
      <c r="H117" s="59">
        <v>6</v>
      </c>
      <c r="I117" s="64">
        <v>4.65277780853845E-3</v>
      </c>
      <c r="J117" s="65">
        <v>110</v>
      </c>
      <c r="K117" s="64">
        <v>7.9745370767207394E-3</v>
      </c>
      <c r="L117" s="65">
        <v>84</v>
      </c>
      <c r="M117" s="64">
        <v>1.0428240781232501E-2</v>
      </c>
      <c r="N117" s="65">
        <v>120</v>
      </c>
      <c r="O117" s="64">
        <v>1.18055614706735E-3</v>
      </c>
      <c r="P117" s="65">
        <v>89</v>
      </c>
      <c r="Q117" s="60">
        <v>2.4236111813558999E-2</v>
      </c>
      <c r="R117" s="52"/>
      <c r="S117" s="52"/>
      <c r="T117" s="52"/>
      <c r="U117" s="52"/>
      <c r="V117" s="52"/>
      <c r="W117" s="52"/>
      <c r="X117" s="52"/>
      <c r="Y117" s="52"/>
    </row>
    <row r="118" spans="1:25" ht="15.75" customHeight="1" x14ac:dyDescent="0.25">
      <c r="A118" s="58">
        <v>117</v>
      </c>
      <c r="B118" s="62" t="s">
        <v>352</v>
      </c>
      <c r="C118" s="52" t="s">
        <v>185</v>
      </c>
      <c r="D118" s="63" t="s">
        <v>351</v>
      </c>
      <c r="E118" s="66" t="s">
        <v>518</v>
      </c>
      <c r="F118" s="52"/>
      <c r="G118" s="59" t="s">
        <v>353</v>
      </c>
      <c r="H118" s="59">
        <v>1</v>
      </c>
      <c r="I118" s="64">
        <v>4.1203703852722203E-3</v>
      </c>
      <c r="J118" s="65">
        <v>81</v>
      </c>
      <c r="K118" s="64">
        <v>8.7615740945852193E-3</v>
      </c>
      <c r="L118" s="65">
        <v>132</v>
      </c>
      <c r="M118" s="64">
        <v>1.0335647876720601E-2</v>
      </c>
      <c r="N118" s="65">
        <v>118</v>
      </c>
      <c r="O118" s="64">
        <v>1.0300933735224299E-3</v>
      </c>
      <c r="P118" s="65">
        <v>69</v>
      </c>
      <c r="Q118" s="60">
        <v>2.4247685730100499E-2</v>
      </c>
      <c r="R118" s="52"/>
      <c r="S118" s="52"/>
      <c r="T118" s="52"/>
      <c r="U118" s="52"/>
      <c r="V118" s="52"/>
      <c r="W118" s="52"/>
      <c r="X118" s="52"/>
      <c r="Y118" s="52"/>
    </row>
    <row r="119" spans="1:25" ht="15.75" customHeight="1" x14ac:dyDescent="0.25">
      <c r="A119" s="58">
        <v>118</v>
      </c>
      <c r="B119" s="62" t="s">
        <v>355</v>
      </c>
      <c r="C119" s="52" t="s">
        <v>155</v>
      </c>
      <c r="D119" s="63" t="s">
        <v>354</v>
      </c>
      <c r="E119" s="66" t="s">
        <v>492</v>
      </c>
      <c r="F119" s="52"/>
      <c r="G119" s="59" t="s">
        <v>26</v>
      </c>
      <c r="H119" s="59">
        <v>16</v>
      </c>
      <c r="I119" s="64">
        <v>6.0300926270902399E-3</v>
      </c>
      <c r="J119" s="65">
        <v>151</v>
      </c>
      <c r="K119" s="64">
        <v>8.7500001066215805E-3</v>
      </c>
      <c r="L119" s="65">
        <v>131</v>
      </c>
      <c r="M119" s="64">
        <v>8.4490746439087102E-3</v>
      </c>
      <c r="N119" s="65">
        <v>55</v>
      </c>
      <c r="O119" s="64">
        <v>1.19212971083539E-3</v>
      </c>
      <c r="P119" s="65">
        <v>90</v>
      </c>
      <c r="Q119" s="60">
        <v>2.44212970884559E-2</v>
      </c>
      <c r="R119" s="52"/>
      <c r="S119" s="52"/>
      <c r="T119" s="52"/>
      <c r="U119" s="52"/>
      <c r="V119" s="52"/>
      <c r="W119" s="52"/>
      <c r="X119" s="52"/>
      <c r="Y119" s="52"/>
    </row>
    <row r="120" spans="1:25" ht="15.75" customHeight="1" x14ac:dyDescent="0.25">
      <c r="A120" s="58">
        <v>119</v>
      </c>
      <c r="B120" s="62" t="s">
        <v>357</v>
      </c>
      <c r="C120" s="52" t="s">
        <v>358</v>
      </c>
      <c r="D120" s="63" t="s">
        <v>356</v>
      </c>
      <c r="E120" s="52" t="s">
        <v>585</v>
      </c>
      <c r="F120" s="52"/>
      <c r="G120" s="59" t="s">
        <v>103</v>
      </c>
      <c r="H120" s="59">
        <v>8</v>
      </c>
      <c r="I120" s="64">
        <v>4.8032408429678E-3</v>
      </c>
      <c r="J120" s="65">
        <v>119</v>
      </c>
      <c r="K120" s="64">
        <v>8.5995370807084998E-3</v>
      </c>
      <c r="L120" s="65">
        <v>123</v>
      </c>
      <c r="M120" s="64">
        <v>1.0034723106187899E-2</v>
      </c>
      <c r="N120" s="65">
        <v>111</v>
      </c>
      <c r="O120" s="64">
        <v>1.0532406844122001E-3</v>
      </c>
      <c r="P120" s="65">
        <v>72</v>
      </c>
      <c r="Q120" s="60">
        <v>2.4490741714276499E-2</v>
      </c>
      <c r="R120" s="52"/>
      <c r="S120" s="52"/>
      <c r="T120" s="52"/>
      <c r="U120" s="52"/>
      <c r="V120" s="52"/>
      <c r="W120" s="52"/>
      <c r="X120" s="52"/>
      <c r="Y120" s="52"/>
    </row>
    <row r="121" spans="1:25" ht="15.75" customHeight="1" x14ac:dyDescent="0.25">
      <c r="A121" s="58">
        <v>120</v>
      </c>
      <c r="B121" s="62" t="s">
        <v>360</v>
      </c>
      <c r="C121" s="52" t="s">
        <v>361</v>
      </c>
      <c r="D121" s="63" t="s">
        <v>359</v>
      </c>
      <c r="E121" s="66" t="s">
        <v>536</v>
      </c>
      <c r="F121" s="52"/>
      <c r="G121" s="59" t="s">
        <v>103</v>
      </c>
      <c r="H121" s="59">
        <v>9</v>
      </c>
      <c r="I121" s="64">
        <v>4.4097222418167702E-3</v>
      </c>
      <c r="J121" s="65">
        <v>97</v>
      </c>
      <c r="K121" s="64">
        <v>8.8078704105765196E-3</v>
      </c>
      <c r="L121" s="65">
        <v>133</v>
      </c>
      <c r="M121" s="64">
        <v>1.04745369432974E-2</v>
      </c>
      <c r="N121" s="65">
        <v>121</v>
      </c>
      <c r="O121" s="64">
        <v>8.9120409645373003E-4</v>
      </c>
      <c r="P121" s="65">
        <v>52</v>
      </c>
      <c r="Q121" s="60">
        <v>2.45833336921444E-2</v>
      </c>
      <c r="R121" s="52"/>
      <c r="S121" s="52"/>
      <c r="T121" s="52"/>
      <c r="U121" s="52"/>
      <c r="V121" s="52"/>
      <c r="W121" s="52"/>
      <c r="X121" s="52"/>
      <c r="Y121" s="52"/>
    </row>
    <row r="122" spans="1:25" ht="15.75" customHeight="1" x14ac:dyDescent="0.25">
      <c r="A122" s="58">
        <v>121</v>
      </c>
      <c r="B122" s="62" t="s">
        <v>363</v>
      </c>
      <c r="C122" s="52" t="s">
        <v>364</v>
      </c>
      <c r="D122" s="63" t="s">
        <v>362</v>
      </c>
      <c r="E122" s="66" t="s">
        <v>571</v>
      </c>
      <c r="F122" s="52"/>
      <c r="G122" s="59" t="s">
        <v>22</v>
      </c>
      <c r="H122" s="59">
        <v>21</v>
      </c>
      <c r="I122" s="64">
        <v>5.4513889430777797E-3</v>
      </c>
      <c r="J122" s="65">
        <v>144</v>
      </c>
      <c r="K122" s="64">
        <v>8.4143519184900796E-3</v>
      </c>
      <c r="L122" s="65">
        <v>109</v>
      </c>
      <c r="M122" s="64">
        <v>9.3055561369001696E-3</v>
      </c>
      <c r="N122" s="65">
        <v>91</v>
      </c>
      <c r="O122" s="64">
        <v>1.52777783783948E-3</v>
      </c>
      <c r="P122" s="65">
        <v>129</v>
      </c>
      <c r="Q122" s="60">
        <v>2.46990748363075E-2</v>
      </c>
      <c r="R122" s="52"/>
      <c r="S122" s="52"/>
      <c r="T122" s="52"/>
      <c r="U122" s="52"/>
      <c r="V122" s="52"/>
      <c r="W122" s="52"/>
      <c r="X122" s="52"/>
      <c r="Y122" s="52"/>
    </row>
    <row r="123" spans="1:25" ht="15.75" customHeight="1" x14ac:dyDescent="0.25">
      <c r="A123" s="58">
        <v>122</v>
      </c>
      <c r="B123" s="62" t="s">
        <v>366</v>
      </c>
      <c r="C123" s="52" t="s">
        <v>367</v>
      </c>
      <c r="D123" s="63" t="s">
        <v>365</v>
      </c>
      <c r="E123" s="57" t="s">
        <v>619</v>
      </c>
      <c r="F123" s="57" t="s">
        <v>620</v>
      </c>
      <c r="G123" s="59" t="s">
        <v>368</v>
      </c>
      <c r="H123" s="59">
        <v>1</v>
      </c>
      <c r="I123" s="64">
        <v>5.7523148462830303E-3</v>
      </c>
      <c r="J123" s="65">
        <v>149</v>
      </c>
      <c r="K123" s="64">
        <v>7.5694444763660098E-3</v>
      </c>
      <c r="L123" s="65">
        <v>63</v>
      </c>
      <c r="M123" s="64">
        <v>9.9999999224980804E-3</v>
      </c>
      <c r="N123" s="65">
        <v>110</v>
      </c>
      <c r="O123" s="64">
        <v>1.42361195148119E-3</v>
      </c>
      <c r="P123" s="65">
        <v>119</v>
      </c>
      <c r="Q123" s="60">
        <v>2.4745371196628299E-2</v>
      </c>
      <c r="R123" s="52"/>
      <c r="S123" s="52"/>
      <c r="T123" s="52"/>
      <c r="U123" s="52"/>
      <c r="V123" s="52"/>
      <c r="W123" s="52"/>
      <c r="X123" s="52"/>
      <c r="Y123" s="52"/>
    </row>
    <row r="124" spans="1:25" ht="15.75" customHeight="1" x14ac:dyDescent="0.25">
      <c r="A124" s="58">
        <v>123</v>
      </c>
      <c r="B124" s="62" t="s">
        <v>370</v>
      </c>
      <c r="C124" s="52" t="s">
        <v>371</v>
      </c>
      <c r="D124" s="63" t="s">
        <v>369</v>
      </c>
      <c r="E124" s="66" t="s">
        <v>500</v>
      </c>
      <c r="F124" s="52"/>
      <c r="G124" s="59" t="s">
        <v>199</v>
      </c>
      <c r="H124" s="59">
        <v>7</v>
      </c>
      <c r="I124" s="64">
        <v>4.3634260234877197E-3</v>
      </c>
      <c r="J124" s="65">
        <v>92</v>
      </c>
      <c r="K124" s="64">
        <v>9.0856481615802995E-3</v>
      </c>
      <c r="L124" s="65">
        <v>140</v>
      </c>
      <c r="M124" s="64">
        <v>1.0231481062657999E-2</v>
      </c>
      <c r="N124" s="65">
        <v>116</v>
      </c>
      <c r="O124" s="64">
        <v>1.0879639404782701E-3</v>
      </c>
      <c r="P124" s="65">
        <v>79</v>
      </c>
      <c r="Q124" s="60">
        <v>2.4768519188204299E-2</v>
      </c>
      <c r="R124" s="52"/>
      <c r="S124" s="52"/>
      <c r="T124" s="52"/>
      <c r="U124" s="52"/>
      <c r="V124" s="52"/>
      <c r="W124" s="52"/>
      <c r="X124" s="52"/>
      <c r="Y124" s="52"/>
    </row>
    <row r="125" spans="1:25" ht="15.75" customHeight="1" x14ac:dyDescent="0.25">
      <c r="A125" s="58">
        <v>124</v>
      </c>
      <c r="B125" s="62" t="s">
        <v>373</v>
      </c>
      <c r="C125" s="52" t="s">
        <v>374</v>
      </c>
      <c r="D125" s="63" t="s">
        <v>372</v>
      </c>
      <c r="E125" s="66" t="s">
        <v>553</v>
      </c>
      <c r="F125" s="52"/>
      <c r="G125" s="59" t="s">
        <v>18</v>
      </c>
      <c r="H125" s="59">
        <v>24</v>
      </c>
      <c r="I125" s="64">
        <v>5.5902778754501302E-3</v>
      </c>
      <c r="J125" s="65">
        <v>146</v>
      </c>
      <c r="K125" s="64">
        <v>7.7314815466817399E-3</v>
      </c>
      <c r="L125" s="65">
        <v>73</v>
      </c>
      <c r="M125" s="64">
        <v>9.98842523936108E-3</v>
      </c>
      <c r="N125" s="65">
        <v>109</v>
      </c>
      <c r="O125" s="64">
        <v>1.6203710295281701E-3</v>
      </c>
      <c r="P125" s="65">
        <v>137</v>
      </c>
      <c r="Q125" s="60">
        <v>2.4930555691021102E-2</v>
      </c>
      <c r="R125" s="52"/>
      <c r="S125" s="52"/>
      <c r="T125" s="52"/>
      <c r="U125" s="52"/>
      <c r="V125" s="52"/>
      <c r="W125" s="52"/>
      <c r="X125" s="52"/>
      <c r="Y125" s="52"/>
    </row>
    <row r="126" spans="1:25" ht="15.75" customHeight="1" x14ac:dyDescent="0.25">
      <c r="A126" s="58">
        <v>125</v>
      </c>
      <c r="B126" s="62" t="s">
        <v>376</v>
      </c>
      <c r="C126" s="52" t="s">
        <v>377</v>
      </c>
      <c r="D126" s="63" t="s">
        <v>375</v>
      </c>
      <c r="E126" s="66" t="s">
        <v>520</v>
      </c>
      <c r="F126" s="52"/>
      <c r="G126" s="59" t="s">
        <v>378</v>
      </c>
      <c r="H126" s="59">
        <v>1</v>
      </c>
      <c r="I126" s="64">
        <v>5.1504630014149403E-3</v>
      </c>
      <c r="J126" s="65">
        <v>136</v>
      </c>
      <c r="K126" s="64">
        <v>8.7152778574767394E-3</v>
      </c>
      <c r="L126" s="65">
        <v>127</v>
      </c>
      <c r="M126" s="64">
        <v>9.95370316199355E-3</v>
      </c>
      <c r="N126" s="65">
        <v>107</v>
      </c>
      <c r="O126" s="64">
        <v>1.22685279164467E-3</v>
      </c>
      <c r="P126" s="65">
        <v>97</v>
      </c>
      <c r="Q126" s="60">
        <v>2.50462968125299E-2</v>
      </c>
      <c r="R126" s="52"/>
      <c r="S126" s="52"/>
      <c r="T126" s="52"/>
      <c r="U126" s="52"/>
      <c r="V126" s="52"/>
      <c r="W126" s="52"/>
      <c r="X126" s="52"/>
      <c r="Y126" s="52"/>
    </row>
    <row r="127" spans="1:25" ht="15.75" customHeight="1" x14ac:dyDescent="0.25">
      <c r="A127" s="58">
        <v>126</v>
      </c>
      <c r="B127" s="62" t="s">
        <v>380</v>
      </c>
      <c r="C127" s="52" t="s">
        <v>216</v>
      </c>
      <c r="D127" s="63" t="s">
        <v>379</v>
      </c>
      <c r="E127" s="66" t="s">
        <v>541</v>
      </c>
      <c r="F127" s="52"/>
      <c r="G127" s="59" t="s">
        <v>128</v>
      </c>
      <c r="H127" s="59">
        <v>12</v>
      </c>
      <c r="I127" s="64">
        <v>4.7222222610504797E-3</v>
      </c>
      <c r="J127" s="65">
        <v>113</v>
      </c>
      <c r="K127" s="64">
        <v>8.4143519023524294E-3</v>
      </c>
      <c r="L127" s="65">
        <v>108</v>
      </c>
      <c r="M127" s="64">
        <v>1.12847215738139E-2</v>
      </c>
      <c r="N127" s="65">
        <v>142</v>
      </c>
      <c r="O127" s="64">
        <v>6.8287106758317597E-4</v>
      </c>
      <c r="P127" s="65">
        <v>19</v>
      </c>
      <c r="Q127" s="60">
        <v>2.5104166804800002E-2</v>
      </c>
      <c r="R127" s="52"/>
      <c r="S127" s="52"/>
      <c r="T127" s="52"/>
      <c r="U127" s="52"/>
      <c r="V127" s="52"/>
      <c r="W127" s="52"/>
      <c r="X127" s="52"/>
      <c r="Y127" s="52"/>
    </row>
    <row r="128" spans="1:25" ht="15.75" customHeight="1" x14ac:dyDescent="0.25">
      <c r="A128" s="58">
        <v>127</v>
      </c>
      <c r="B128" s="62" t="s">
        <v>382</v>
      </c>
      <c r="C128" s="52" t="s">
        <v>383</v>
      </c>
      <c r="D128" s="63" t="s">
        <v>381</v>
      </c>
      <c r="E128" s="66" t="s">
        <v>539</v>
      </c>
      <c r="F128" s="52"/>
      <c r="G128" s="59" t="s">
        <v>168</v>
      </c>
      <c r="H128" s="59">
        <v>4</v>
      </c>
      <c r="I128" s="64">
        <v>4.6296296531400201E-3</v>
      </c>
      <c r="J128" s="65">
        <v>106</v>
      </c>
      <c r="K128" s="64">
        <v>8.9699075164208792E-3</v>
      </c>
      <c r="L128" s="65">
        <v>136</v>
      </c>
      <c r="M128" s="64">
        <v>1.0972221721694901E-2</v>
      </c>
      <c r="N128" s="65">
        <v>132</v>
      </c>
      <c r="O128" s="64">
        <v>6.4814852737879903E-4</v>
      </c>
      <c r="P128" s="65">
        <v>17</v>
      </c>
      <c r="Q128" s="60">
        <v>2.5219907418634599E-2</v>
      </c>
      <c r="R128" s="52"/>
      <c r="S128" s="52"/>
      <c r="T128" s="52"/>
      <c r="U128" s="52"/>
      <c r="V128" s="52"/>
      <c r="W128" s="52"/>
      <c r="X128" s="52"/>
      <c r="Y128" s="52"/>
    </row>
    <row r="129" spans="1:25" ht="15.75" customHeight="1" x14ac:dyDescent="0.25">
      <c r="A129" s="58">
        <v>128</v>
      </c>
      <c r="B129" s="62" t="s">
        <v>385</v>
      </c>
      <c r="C129" s="52" t="s">
        <v>386</v>
      </c>
      <c r="D129" s="63" t="s">
        <v>384</v>
      </c>
      <c r="E129" s="57" t="s">
        <v>515</v>
      </c>
      <c r="F129" s="52"/>
      <c r="G129" s="59" t="s">
        <v>103</v>
      </c>
      <c r="H129" s="59">
        <v>10</v>
      </c>
      <c r="I129" s="64">
        <v>4.5370370497973302E-3</v>
      </c>
      <c r="J129" s="65">
        <v>103</v>
      </c>
      <c r="K129" s="64">
        <v>8.3564815405561595E-3</v>
      </c>
      <c r="L129" s="65">
        <v>105</v>
      </c>
      <c r="M129" s="64">
        <v>1.13657398347162E-2</v>
      </c>
      <c r="N129" s="65">
        <v>143</v>
      </c>
      <c r="O129" s="64">
        <v>9.837971780547539E-4</v>
      </c>
      <c r="P129" s="65">
        <v>62</v>
      </c>
      <c r="Q129" s="60">
        <v>2.5243055603124401E-2</v>
      </c>
      <c r="R129" s="52"/>
      <c r="S129" s="52"/>
      <c r="T129" s="52"/>
      <c r="U129" s="52"/>
      <c r="V129" s="52"/>
      <c r="W129" s="52"/>
      <c r="X129" s="52"/>
      <c r="Y129" s="52"/>
    </row>
    <row r="130" spans="1:25" ht="15.75" customHeight="1" x14ac:dyDescent="0.25">
      <c r="A130" s="58">
        <v>129</v>
      </c>
      <c r="B130" s="62" t="s">
        <v>388</v>
      </c>
      <c r="C130" s="52" t="s">
        <v>389</v>
      </c>
      <c r="D130" s="63" t="s">
        <v>387</v>
      </c>
      <c r="E130" s="66" t="s">
        <v>478</v>
      </c>
      <c r="F130" s="52"/>
      <c r="G130" s="59" t="s">
        <v>18</v>
      </c>
      <c r="H130" s="59">
        <v>25</v>
      </c>
      <c r="I130" s="64">
        <v>5.0347222447961002E-3</v>
      </c>
      <c r="J130" s="65">
        <v>126</v>
      </c>
      <c r="K130" s="64">
        <v>7.5694445506712203E-3</v>
      </c>
      <c r="L130" s="65">
        <v>64</v>
      </c>
      <c r="M130" s="64">
        <v>1.15740744147E-2</v>
      </c>
      <c r="N130" s="65">
        <v>146</v>
      </c>
      <c r="O130" s="64">
        <v>1.09953769070944E-3</v>
      </c>
      <c r="P130" s="65">
        <v>81</v>
      </c>
      <c r="Q130" s="60">
        <v>2.52777789008767E-2</v>
      </c>
      <c r="R130" s="52"/>
      <c r="S130" s="52"/>
      <c r="T130" s="52"/>
      <c r="U130" s="52"/>
      <c r="V130" s="52"/>
      <c r="W130" s="52"/>
      <c r="X130" s="52"/>
      <c r="Y130" s="52"/>
    </row>
    <row r="131" spans="1:25" ht="15.75" customHeight="1" x14ac:dyDescent="0.25">
      <c r="A131" s="58">
        <v>130</v>
      </c>
      <c r="B131" s="62" t="s">
        <v>391</v>
      </c>
      <c r="C131" s="52" t="s">
        <v>152</v>
      </c>
      <c r="D131" s="63" t="s">
        <v>390</v>
      </c>
      <c r="E131" s="66" t="s">
        <v>523</v>
      </c>
      <c r="F131" s="52"/>
      <c r="G131" s="59" t="s">
        <v>116</v>
      </c>
      <c r="H131" s="59">
        <v>9</v>
      </c>
      <c r="I131" s="64">
        <v>4.8842593503194698E-3</v>
      </c>
      <c r="J131" s="65">
        <v>124</v>
      </c>
      <c r="K131" s="64">
        <v>8.3680555677734594E-3</v>
      </c>
      <c r="L131" s="65">
        <v>106</v>
      </c>
      <c r="M131" s="64">
        <v>1.0162037940254999E-2</v>
      </c>
      <c r="N131" s="65">
        <v>115</v>
      </c>
      <c r="O131" s="64">
        <v>1.8981481372134701E-3</v>
      </c>
      <c r="P131" s="65">
        <v>149</v>
      </c>
      <c r="Q131" s="60">
        <v>2.5312500995561399E-2</v>
      </c>
      <c r="R131" s="52"/>
      <c r="S131" s="52"/>
      <c r="T131" s="52"/>
      <c r="U131" s="52"/>
      <c r="V131" s="52"/>
      <c r="W131" s="52"/>
      <c r="X131" s="52"/>
      <c r="Y131" s="52"/>
    </row>
    <row r="132" spans="1:25" ht="15.75" customHeight="1" x14ac:dyDescent="0.25">
      <c r="A132" s="58">
        <v>131</v>
      </c>
      <c r="B132" s="62" t="s">
        <v>393</v>
      </c>
      <c r="C132" s="52" t="s">
        <v>394</v>
      </c>
      <c r="D132" s="63" t="s">
        <v>392</v>
      </c>
      <c r="E132" s="57" t="s">
        <v>621</v>
      </c>
      <c r="F132" s="57" t="s">
        <v>469</v>
      </c>
      <c r="G132" s="59" t="s">
        <v>199</v>
      </c>
      <c r="H132" s="59">
        <v>8</v>
      </c>
      <c r="I132" s="64">
        <v>4.3287037427350997E-3</v>
      </c>
      <c r="J132" s="65">
        <v>90</v>
      </c>
      <c r="K132" s="64">
        <v>8.5069444598490293E-3</v>
      </c>
      <c r="L132" s="65">
        <v>113</v>
      </c>
      <c r="M132" s="64">
        <v>1.1412037797795E-2</v>
      </c>
      <c r="N132" s="65">
        <v>144</v>
      </c>
      <c r="O132" s="64">
        <v>1.1574076328500101E-3</v>
      </c>
      <c r="P132" s="65">
        <v>86</v>
      </c>
      <c r="Q132" s="60">
        <v>2.5405093633229198E-2</v>
      </c>
      <c r="R132" s="52"/>
      <c r="S132" s="52"/>
      <c r="T132" s="52"/>
      <c r="U132" s="52"/>
      <c r="V132" s="52"/>
      <c r="W132" s="52"/>
      <c r="X132" s="52"/>
      <c r="Y132" s="52"/>
    </row>
    <row r="133" spans="1:25" ht="15.75" customHeight="1" x14ac:dyDescent="0.25">
      <c r="A133" s="58">
        <v>132</v>
      </c>
      <c r="B133" s="62" t="s">
        <v>396</v>
      </c>
      <c r="C133" s="52" t="s">
        <v>397</v>
      </c>
      <c r="D133" s="63" t="s">
        <v>395</v>
      </c>
      <c r="E133" s="66" t="s">
        <v>502</v>
      </c>
      <c r="F133" s="52"/>
      <c r="G133" s="59" t="s">
        <v>199</v>
      </c>
      <c r="H133" s="59">
        <v>9</v>
      </c>
      <c r="I133" s="64">
        <v>5.2199075227597801E-3</v>
      </c>
      <c r="J133" s="65">
        <v>140</v>
      </c>
      <c r="K133" s="64">
        <v>8.9467593523320007E-3</v>
      </c>
      <c r="L133" s="65">
        <v>135</v>
      </c>
      <c r="M133" s="64">
        <v>1.00694439690501E-2</v>
      </c>
      <c r="N133" s="65">
        <v>112</v>
      </c>
      <c r="O133" s="64">
        <v>1.23842649394709E-3</v>
      </c>
      <c r="P133" s="65">
        <v>101</v>
      </c>
      <c r="Q133" s="60">
        <v>2.5474537338089E-2</v>
      </c>
      <c r="R133" s="52"/>
      <c r="S133" s="52"/>
      <c r="T133" s="52"/>
      <c r="U133" s="52"/>
      <c r="V133" s="52"/>
      <c r="W133" s="52"/>
      <c r="X133" s="52"/>
      <c r="Y133" s="52"/>
    </row>
    <row r="134" spans="1:25" ht="15.75" customHeight="1" x14ac:dyDescent="0.25">
      <c r="A134" s="58">
        <v>133</v>
      </c>
      <c r="B134" s="62" t="s">
        <v>399</v>
      </c>
      <c r="C134" s="52" t="s">
        <v>400</v>
      </c>
      <c r="D134" s="63" t="s">
        <v>398</v>
      </c>
      <c r="E134" s="66" t="s">
        <v>534</v>
      </c>
      <c r="F134" s="52"/>
      <c r="G134" s="59" t="s">
        <v>128</v>
      </c>
      <c r="H134" s="59">
        <v>13</v>
      </c>
      <c r="I134" s="64">
        <v>3.9004630197120999E-3</v>
      </c>
      <c r="J134" s="65">
        <v>62</v>
      </c>
      <c r="K134" s="64">
        <v>9.8958334019603102E-3</v>
      </c>
      <c r="L134" s="65">
        <v>153</v>
      </c>
      <c r="M134" s="64">
        <v>1.08796299892642E-2</v>
      </c>
      <c r="N134" s="65">
        <v>127</v>
      </c>
      <c r="O134" s="64">
        <v>8.6805620877849598E-4</v>
      </c>
      <c r="P134" s="65">
        <v>48</v>
      </c>
      <c r="Q134" s="60">
        <v>2.5543982619715098E-2</v>
      </c>
      <c r="R134" s="52"/>
      <c r="S134" s="52"/>
      <c r="T134" s="52"/>
      <c r="U134" s="52"/>
      <c r="V134" s="52"/>
      <c r="W134" s="52"/>
      <c r="X134" s="52"/>
      <c r="Y134" s="52"/>
    </row>
    <row r="135" spans="1:25" ht="15.75" customHeight="1" x14ac:dyDescent="0.25">
      <c r="A135" s="58">
        <v>134</v>
      </c>
      <c r="B135" s="62" t="s">
        <v>402</v>
      </c>
      <c r="C135" s="52" t="s">
        <v>403</v>
      </c>
      <c r="D135" s="63" t="s">
        <v>401</v>
      </c>
      <c r="E135" s="57" t="s">
        <v>537</v>
      </c>
      <c r="F135" s="52"/>
      <c r="G135" s="59" t="s">
        <v>128</v>
      </c>
      <c r="H135" s="59">
        <v>14</v>
      </c>
      <c r="I135" s="64">
        <v>5.3472223093232896E-3</v>
      </c>
      <c r="J135" s="65">
        <v>141</v>
      </c>
      <c r="K135" s="64">
        <v>8.1944445213787496E-3</v>
      </c>
      <c r="L135" s="65">
        <v>103</v>
      </c>
      <c r="M135" s="64">
        <v>1.0949074269992001E-2</v>
      </c>
      <c r="N135" s="65">
        <v>131</v>
      </c>
      <c r="O135" s="64">
        <v>1.23842644066947E-3</v>
      </c>
      <c r="P135" s="65">
        <v>100</v>
      </c>
      <c r="Q135" s="60">
        <v>2.57291675413635E-2</v>
      </c>
      <c r="R135" s="52"/>
      <c r="S135" s="52"/>
      <c r="T135" s="52"/>
      <c r="U135" s="52"/>
      <c r="V135" s="52"/>
      <c r="W135" s="52"/>
      <c r="X135" s="52"/>
      <c r="Y135" s="52"/>
    </row>
    <row r="136" spans="1:25" ht="15.75" customHeight="1" x14ac:dyDescent="0.25">
      <c r="A136" s="58">
        <v>135</v>
      </c>
      <c r="B136" s="68" t="s">
        <v>405</v>
      </c>
      <c r="C136" s="67" t="s">
        <v>406</v>
      </c>
      <c r="D136" s="63" t="s">
        <v>404</v>
      </c>
      <c r="E136" s="57" t="s">
        <v>495</v>
      </c>
      <c r="F136" s="67"/>
      <c r="G136" s="59" t="s">
        <v>128</v>
      </c>
      <c r="H136" s="59">
        <v>15</v>
      </c>
      <c r="I136" s="64">
        <v>5.1157407880477604E-3</v>
      </c>
      <c r="J136" s="65">
        <v>133</v>
      </c>
      <c r="K136" s="64">
        <v>8.5069445548508604E-3</v>
      </c>
      <c r="L136" s="65">
        <v>114</v>
      </c>
      <c r="M136" s="64">
        <v>1.10069445961869E-2</v>
      </c>
      <c r="N136" s="65">
        <v>135</v>
      </c>
      <c r="O136" s="64">
        <v>1.51620355369785E-3</v>
      </c>
      <c r="P136" s="65">
        <v>128</v>
      </c>
      <c r="Q136" s="60">
        <v>2.6145833492783401E-2</v>
      </c>
      <c r="R136" s="52"/>
      <c r="S136" s="52"/>
      <c r="T136" s="52"/>
      <c r="U136" s="52"/>
      <c r="V136" s="52"/>
      <c r="W136" s="52"/>
      <c r="X136" s="52"/>
      <c r="Y136" s="52"/>
    </row>
    <row r="137" spans="1:25" ht="15.75" customHeight="1" x14ac:dyDescent="0.25">
      <c r="A137" s="58">
        <v>136</v>
      </c>
      <c r="B137" s="68" t="s">
        <v>408</v>
      </c>
      <c r="C137" s="67" t="s">
        <v>409</v>
      </c>
      <c r="D137" s="63" t="s">
        <v>407</v>
      </c>
      <c r="E137" s="57" t="s">
        <v>522</v>
      </c>
      <c r="F137" s="67"/>
      <c r="G137" s="59" t="s">
        <v>18</v>
      </c>
      <c r="H137" s="59">
        <v>26</v>
      </c>
      <c r="I137" s="64">
        <v>4.1550925982928501E-3</v>
      </c>
      <c r="J137" s="65">
        <v>83</v>
      </c>
      <c r="K137" s="64">
        <v>9.2013889287555096E-3</v>
      </c>
      <c r="L137" s="65">
        <v>145</v>
      </c>
      <c r="M137" s="64">
        <v>1.11689807545914E-2</v>
      </c>
      <c r="N137" s="65">
        <v>139</v>
      </c>
      <c r="O137" s="64">
        <v>1.6666674769380801E-3</v>
      </c>
      <c r="P137" s="65">
        <v>141</v>
      </c>
      <c r="Q137" s="60">
        <v>2.6192129758577799E-2</v>
      </c>
      <c r="R137" s="52"/>
      <c r="S137" s="52"/>
      <c r="T137" s="52"/>
      <c r="U137" s="52"/>
      <c r="V137" s="52"/>
      <c r="W137" s="52"/>
      <c r="X137" s="52"/>
      <c r="Y137" s="52"/>
    </row>
    <row r="138" spans="1:25" ht="15.75" customHeight="1" x14ac:dyDescent="0.25">
      <c r="A138" s="58">
        <v>137</v>
      </c>
      <c r="B138" s="68" t="s">
        <v>411</v>
      </c>
      <c r="C138" s="67" t="s">
        <v>412</v>
      </c>
      <c r="D138" s="63" t="s">
        <v>410</v>
      </c>
      <c r="E138" s="57" t="s">
        <v>554</v>
      </c>
      <c r="F138" s="67"/>
      <c r="G138" s="59" t="s">
        <v>168</v>
      </c>
      <c r="H138" s="59">
        <v>5</v>
      </c>
      <c r="I138" s="64">
        <v>5.4050926051750596E-3</v>
      </c>
      <c r="J138" s="65">
        <v>142</v>
      </c>
      <c r="K138" s="64">
        <v>8.63425933086822E-3</v>
      </c>
      <c r="L138" s="65">
        <v>126</v>
      </c>
      <c r="M138" s="64">
        <v>1.0891204004482799E-2</v>
      </c>
      <c r="N138" s="65">
        <v>130</v>
      </c>
      <c r="O138" s="64">
        <v>1.2615747539542099E-3</v>
      </c>
      <c r="P138" s="65">
        <v>103</v>
      </c>
      <c r="Q138" s="60">
        <v>2.6192130694480301E-2</v>
      </c>
      <c r="R138" s="52"/>
      <c r="S138" s="52"/>
      <c r="T138" s="52"/>
      <c r="U138" s="52"/>
      <c r="V138" s="52"/>
      <c r="W138" s="52"/>
      <c r="X138" s="52"/>
      <c r="Y138" s="52"/>
    </row>
    <row r="139" spans="1:25" ht="15.75" customHeight="1" x14ac:dyDescent="0.25">
      <c r="A139" s="58">
        <v>138</v>
      </c>
      <c r="B139" s="68" t="s">
        <v>414</v>
      </c>
      <c r="C139" s="67" t="s">
        <v>415</v>
      </c>
      <c r="D139" s="63" t="s">
        <v>413</v>
      </c>
      <c r="E139" s="57" t="s">
        <v>477</v>
      </c>
      <c r="F139" s="67"/>
      <c r="G139" s="59" t="s">
        <v>128</v>
      </c>
      <c r="H139" s="59">
        <v>16</v>
      </c>
      <c r="I139" s="64">
        <v>5.1388889028370598E-3</v>
      </c>
      <c r="J139" s="65">
        <v>135</v>
      </c>
      <c r="K139" s="64">
        <v>9.0972222337295707E-3</v>
      </c>
      <c r="L139" s="65">
        <v>142</v>
      </c>
      <c r="M139" s="64">
        <v>1.0891203569499901E-2</v>
      </c>
      <c r="N139" s="65">
        <v>128</v>
      </c>
      <c r="O139" s="64">
        <v>1.2500004519384301E-3</v>
      </c>
      <c r="P139" s="65">
        <v>102</v>
      </c>
      <c r="Q139" s="60">
        <v>2.6377315158004899E-2</v>
      </c>
      <c r="R139" s="52"/>
      <c r="S139" s="52"/>
      <c r="T139" s="52"/>
      <c r="U139" s="52"/>
      <c r="V139" s="52"/>
      <c r="W139" s="52"/>
      <c r="X139" s="52"/>
      <c r="Y139" s="52"/>
    </row>
    <row r="140" spans="1:25" ht="15.75" customHeight="1" x14ac:dyDescent="0.25">
      <c r="A140" s="58">
        <v>139</v>
      </c>
      <c r="B140" s="68" t="s">
        <v>417</v>
      </c>
      <c r="C140" s="67" t="s">
        <v>418</v>
      </c>
      <c r="D140" s="63" t="s">
        <v>416</v>
      </c>
      <c r="E140" s="57" t="s">
        <v>570</v>
      </c>
      <c r="F140" s="67"/>
      <c r="G140" s="59" t="s">
        <v>128</v>
      </c>
      <c r="H140" s="59">
        <v>17</v>
      </c>
      <c r="I140" s="64">
        <v>5.0347222499089496E-3</v>
      </c>
      <c r="J140" s="65">
        <v>127</v>
      </c>
      <c r="K140" s="64">
        <v>9.0740741470498303E-3</v>
      </c>
      <c r="L140" s="65">
        <v>139</v>
      </c>
      <c r="M140" s="64">
        <v>1.09722225840529E-2</v>
      </c>
      <c r="N140" s="65">
        <v>133</v>
      </c>
      <c r="O140" s="64">
        <v>1.29629685974338E-3</v>
      </c>
      <c r="P140" s="65">
        <v>108</v>
      </c>
      <c r="Q140" s="60">
        <v>2.6377315840754999E-2</v>
      </c>
      <c r="R140" s="52"/>
      <c r="S140" s="52"/>
      <c r="T140" s="52"/>
      <c r="U140" s="52"/>
      <c r="V140" s="52"/>
      <c r="W140" s="52"/>
      <c r="X140" s="52"/>
      <c r="Y140" s="52"/>
    </row>
    <row r="141" spans="1:25" ht="15.75" customHeight="1" x14ac:dyDescent="0.25">
      <c r="A141" s="58">
        <v>140</v>
      </c>
      <c r="B141" s="68" t="s">
        <v>420</v>
      </c>
      <c r="C141" s="67" t="s">
        <v>421</v>
      </c>
      <c r="D141" s="63" t="s">
        <v>419</v>
      </c>
      <c r="E141" s="57" t="s">
        <v>535</v>
      </c>
      <c r="F141" s="67"/>
      <c r="G141" s="59" t="s">
        <v>353</v>
      </c>
      <c r="H141" s="59">
        <v>2</v>
      </c>
      <c r="I141" s="64">
        <v>4.8495371240699098E-3</v>
      </c>
      <c r="J141" s="65">
        <v>123</v>
      </c>
      <c r="K141" s="64">
        <v>9.6180556583320802E-3</v>
      </c>
      <c r="L141" s="65">
        <v>151</v>
      </c>
      <c r="M141" s="64">
        <v>1.0520833624058401E-2</v>
      </c>
      <c r="N141" s="65">
        <v>122</v>
      </c>
      <c r="O141" s="64">
        <v>1.4814820010188999E-3</v>
      </c>
      <c r="P141" s="65">
        <v>126</v>
      </c>
      <c r="Q141" s="60">
        <v>2.6469908407479301E-2</v>
      </c>
      <c r="R141" s="52"/>
      <c r="S141" s="52"/>
      <c r="T141" s="52"/>
      <c r="U141" s="52"/>
      <c r="V141" s="52"/>
      <c r="W141" s="52"/>
      <c r="X141" s="52"/>
      <c r="Y141" s="52"/>
    </row>
    <row r="142" spans="1:25" ht="15.75" customHeight="1" x14ac:dyDescent="0.25">
      <c r="A142" s="58">
        <v>141</v>
      </c>
      <c r="B142" s="68" t="s">
        <v>423</v>
      </c>
      <c r="C142" s="67" t="s">
        <v>424</v>
      </c>
      <c r="D142" s="63" t="s">
        <v>422</v>
      </c>
      <c r="E142" s="57" t="s">
        <v>622</v>
      </c>
      <c r="F142" s="57" t="s">
        <v>469</v>
      </c>
      <c r="G142" s="59" t="s">
        <v>128</v>
      </c>
      <c r="H142" s="59">
        <v>18</v>
      </c>
      <c r="I142" s="64">
        <v>5.5439815912369803E-3</v>
      </c>
      <c r="J142" s="65">
        <v>145</v>
      </c>
      <c r="K142" s="64">
        <v>9.2824074608998802E-3</v>
      </c>
      <c r="L142" s="65">
        <v>148</v>
      </c>
      <c r="M142" s="64">
        <v>1.1145834339656401E-2</v>
      </c>
      <c r="N142" s="65">
        <v>138</v>
      </c>
      <c r="O142" s="64">
        <v>9.4907405138390695E-4</v>
      </c>
      <c r="P142" s="65">
        <v>57</v>
      </c>
      <c r="Q142" s="60">
        <v>2.69212974431772E-2</v>
      </c>
      <c r="R142" s="52"/>
      <c r="S142" s="52"/>
      <c r="T142" s="52"/>
      <c r="U142" s="52"/>
      <c r="V142" s="52"/>
      <c r="W142" s="52"/>
      <c r="X142" s="52"/>
      <c r="Y142" s="52"/>
    </row>
    <row r="143" spans="1:25" ht="15.75" customHeight="1" x14ac:dyDescent="0.25">
      <c r="A143" s="58">
        <v>142</v>
      </c>
      <c r="B143" s="68" t="s">
        <v>426</v>
      </c>
      <c r="C143" s="67" t="s">
        <v>254</v>
      </c>
      <c r="D143" s="63" t="s">
        <v>425</v>
      </c>
      <c r="E143" s="57" t="s">
        <v>550</v>
      </c>
      <c r="F143" s="67"/>
      <c r="G143" s="59" t="s">
        <v>368</v>
      </c>
      <c r="H143" s="59">
        <v>2</v>
      </c>
      <c r="I143" s="64">
        <v>6.5162037915449103E-3</v>
      </c>
      <c r="J143" s="65">
        <v>154</v>
      </c>
      <c r="K143" s="64">
        <v>7.6851852430540801E-3</v>
      </c>
      <c r="L143" s="65">
        <v>71</v>
      </c>
      <c r="M143" s="64">
        <v>1.09953703784834E-2</v>
      </c>
      <c r="N143" s="65">
        <v>134</v>
      </c>
      <c r="O143" s="64">
        <v>1.8287039474579299E-3</v>
      </c>
      <c r="P143" s="65">
        <v>148</v>
      </c>
      <c r="Q143" s="60">
        <v>2.7025463360540299E-2</v>
      </c>
      <c r="R143" s="52"/>
      <c r="S143" s="52"/>
      <c r="T143" s="52"/>
      <c r="U143" s="52"/>
      <c r="V143" s="52"/>
      <c r="W143" s="52"/>
      <c r="X143" s="52"/>
      <c r="Y143" s="52"/>
    </row>
    <row r="144" spans="1:25" ht="15.75" customHeight="1" x14ac:dyDescent="0.25">
      <c r="A144" s="58">
        <v>143</v>
      </c>
      <c r="B144" s="68" t="s">
        <v>428</v>
      </c>
      <c r="C144" s="67" t="s">
        <v>429</v>
      </c>
      <c r="D144" s="63" t="s">
        <v>427</v>
      </c>
      <c r="E144" s="57" t="s">
        <v>542</v>
      </c>
      <c r="F144" s="67"/>
      <c r="G144" s="59" t="s">
        <v>430</v>
      </c>
      <c r="H144" s="59">
        <v>1</v>
      </c>
      <c r="I144" s="64">
        <v>5.16203714992702E-3</v>
      </c>
      <c r="J144" s="65">
        <v>138</v>
      </c>
      <c r="K144" s="64">
        <v>8.4606481880594806E-3</v>
      </c>
      <c r="L144" s="65">
        <v>112</v>
      </c>
      <c r="M144" s="64">
        <v>1.23148145188664E-2</v>
      </c>
      <c r="N144" s="65">
        <v>150</v>
      </c>
      <c r="O144" s="64">
        <v>1.1689823552547499E-3</v>
      </c>
      <c r="P144" s="65">
        <v>88</v>
      </c>
      <c r="Q144" s="60">
        <v>2.7106482212107701E-2</v>
      </c>
      <c r="R144" s="52"/>
      <c r="S144" s="52"/>
      <c r="T144" s="52"/>
      <c r="U144" s="52"/>
      <c r="V144" s="52"/>
      <c r="W144" s="52"/>
      <c r="X144" s="52"/>
      <c r="Y144" s="52"/>
    </row>
    <row r="145" spans="1:25" ht="15.75" customHeight="1" x14ac:dyDescent="0.25">
      <c r="A145" s="58">
        <v>144</v>
      </c>
      <c r="B145" s="68" t="s">
        <v>432</v>
      </c>
      <c r="C145" s="67" t="s">
        <v>433</v>
      </c>
      <c r="D145" s="63" t="s">
        <v>431</v>
      </c>
      <c r="E145" s="57" t="s">
        <v>555</v>
      </c>
      <c r="F145" s="67"/>
      <c r="G145" s="59" t="s">
        <v>311</v>
      </c>
      <c r="H145" s="59">
        <v>2</v>
      </c>
      <c r="I145" s="64">
        <v>5.1504630090143597E-3</v>
      </c>
      <c r="J145" s="65">
        <v>137</v>
      </c>
      <c r="K145" s="64">
        <v>8.5532408224348599E-3</v>
      </c>
      <c r="L145" s="65">
        <v>119</v>
      </c>
      <c r="M145" s="64">
        <v>1.2071759524196E-2</v>
      </c>
      <c r="N145" s="65">
        <v>149</v>
      </c>
      <c r="O145" s="64">
        <v>1.48148163307885E-3</v>
      </c>
      <c r="P145" s="65">
        <v>125</v>
      </c>
      <c r="Q145" s="60">
        <v>2.7256944988724101E-2</v>
      </c>
      <c r="R145" s="52"/>
      <c r="S145" s="52"/>
      <c r="T145" s="52"/>
      <c r="U145" s="52"/>
      <c r="V145" s="52"/>
      <c r="W145" s="52"/>
      <c r="X145" s="52"/>
      <c r="Y145" s="52"/>
    </row>
    <row r="146" spans="1:25" ht="15.75" customHeight="1" x14ac:dyDescent="0.25">
      <c r="A146" s="58">
        <v>145</v>
      </c>
      <c r="B146" s="68" t="s">
        <v>435</v>
      </c>
      <c r="C146" s="67" t="s">
        <v>436</v>
      </c>
      <c r="D146" s="63" t="s">
        <v>434</v>
      </c>
      <c r="E146" s="57" t="s">
        <v>562</v>
      </c>
      <c r="F146" s="67"/>
      <c r="G146" s="59" t="s">
        <v>128</v>
      </c>
      <c r="H146" s="59">
        <v>19</v>
      </c>
      <c r="I146" s="64">
        <v>5.4513889255466599E-3</v>
      </c>
      <c r="J146" s="65">
        <v>143</v>
      </c>
      <c r="K146" s="64">
        <v>1.0173611158149701E-2</v>
      </c>
      <c r="L146" s="65">
        <v>154</v>
      </c>
      <c r="M146" s="64">
        <v>1.06828711745657E-2</v>
      </c>
      <c r="N146" s="65">
        <v>125</v>
      </c>
      <c r="O146" s="64">
        <v>1.0416669291149899E-3</v>
      </c>
      <c r="P146" s="65">
        <v>70</v>
      </c>
      <c r="Q146" s="60">
        <v>2.73495381873771E-2</v>
      </c>
      <c r="R146" s="52"/>
      <c r="S146" s="52"/>
      <c r="T146" s="52"/>
      <c r="U146" s="52"/>
      <c r="V146" s="52"/>
      <c r="W146" s="52"/>
      <c r="X146" s="52"/>
      <c r="Y146" s="52"/>
    </row>
    <row r="147" spans="1:25" ht="15.75" customHeight="1" x14ac:dyDescent="0.25">
      <c r="A147" s="58">
        <v>146</v>
      </c>
      <c r="B147" s="68" t="s">
        <v>438</v>
      </c>
      <c r="C147" s="67" t="s">
        <v>439</v>
      </c>
      <c r="D147" s="63" t="s">
        <v>437</v>
      </c>
      <c r="E147" s="57" t="s">
        <v>579</v>
      </c>
      <c r="F147" s="67"/>
      <c r="G147" s="59" t="s">
        <v>168</v>
      </c>
      <c r="H147" s="59">
        <v>6</v>
      </c>
      <c r="I147" s="64">
        <v>5.6134260176730804E-3</v>
      </c>
      <c r="J147" s="65">
        <v>147</v>
      </c>
      <c r="K147" s="64">
        <v>9.2361112266279403E-3</v>
      </c>
      <c r="L147" s="65">
        <v>146</v>
      </c>
      <c r="M147" s="64">
        <v>1.11342591838822E-2</v>
      </c>
      <c r="N147" s="65">
        <v>137</v>
      </c>
      <c r="O147" s="64">
        <v>1.44675953563673E-3</v>
      </c>
      <c r="P147" s="65">
        <v>120</v>
      </c>
      <c r="Q147" s="60">
        <v>2.7430555963819901E-2</v>
      </c>
      <c r="R147" s="52"/>
      <c r="S147" s="52"/>
      <c r="T147" s="52"/>
      <c r="U147" s="52"/>
      <c r="V147" s="52"/>
      <c r="W147" s="52"/>
      <c r="X147" s="52"/>
      <c r="Y147" s="52"/>
    </row>
    <row r="148" spans="1:25" ht="15.75" customHeight="1" x14ac:dyDescent="0.25">
      <c r="A148" s="58">
        <v>147</v>
      </c>
      <c r="B148" s="68" t="s">
        <v>441</v>
      </c>
      <c r="C148" s="67" t="s">
        <v>442</v>
      </c>
      <c r="D148" s="63" t="s">
        <v>440</v>
      </c>
      <c r="E148" s="57" t="s">
        <v>544</v>
      </c>
      <c r="F148" s="67"/>
      <c r="G148" s="59" t="s">
        <v>103</v>
      </c>
      <c r="H148" s="59">
        <v>11</v>
      </c>
      <c r="I148" s="64">
        <v>5.1273148612152302E-3</v>
      </c>
      <c r="J148" s="65">
        <v>134</v>
      </c>
      <c r="K148" s="64">
        <v>8.8425926184229099E-3</v>
      </c>
      <c r="L148" s="65">
        <v>134</v>
      </c>
      <c r="M148" s="64">
        <v>1.1180555675218E-2</v>
      </c>
      <c r="N148" s="65">
        <v>140</v>
      </c>
      <c r="O148" s="64">
        <v>2.3148152409208302E-3</v>
      </c>
      <c r="P148" s="65">
        <v>155</v>
      </c>
      <c r="Q148" s="60">
        <v>2.7465278395777001E-2</v>
      </c>
      <c r="R148" s="52"/>
      <c r="S148" s="52"/>
      <c r="T148" s="52"/>
      <c r="U148" s="52"/>
      <c r="V148" s="52"/>
      <c r="W148" s="52"/>
      <c r="X148" s="52"/>
      <c r="Y148" s="52"/>
    </row>
    <row r="149" spans="1:25" ht="15.75" customHeight="1" x14ac:dyDescent="0.25">
      <c r="A149" s="58">
        <v>148</v>
      </c>
      <c r="B149" s="68" t="s">
        <v>444</v>
      </c>
      <c r="C149" s="67" t="s">
        <v>445</v>
      </c>
      <c r="D149" s="63" t="s">
        <v>443</v>
      </c>
      <c r="E149" s="57" t="s">
        <v>531</v>
      </c>
      <c r="F149" s="67"/>
      <c r="G149" s="59" t="s">
        <v>116</v>
      </c>
      <c r="H149" s="59">
        <v>10</v>
      </c>
      <c r="I149" s="64">
        <v>5.7870371010041496E-3</v>
      </c>
      <c r="J149" s="65">
        <v>150</v>
      </c>
      <c r="K149" s="64">
        <v>7.9050926709669494E-3</v>
      </c>
      <c r="L149" s="65">
        <v>79</v>
      </c>
      <c r="M149" s="64">
        <v>1.14699081312757E-2</v>
      </c>
      <c r="N149" s="65">
        <v>145</v>
      </c>
      <c r="O149" s="64">
        <v>2.3032409291747001E-3</v>
      </c>
      <c r="P149" s="65">
        <v>153</v>
      </c>
      <c r="Q149" s="60">
        <v>2.74652788324216E-2</v>
      </c>
      <c r="R149" s="52"/>
      <c r="S149" s="52"/>
      <c r="T149" s="52"/>
      <c r="U149" s="52"/>
      <c r="V149" s="52"/>
      <c r="W149" s="52"/>
      <c r="X149" s="52"/>
      <c r="Y149" s="52"/>
    </row>
    <row r="150" spans="1:25" ht="15.75" customHeight="1" x14ac:dyDescent="0.25">
      <c r="A150" s="58">
        <v>149</v>
      </c>
      <c r="B150" s="68" t="s">
        <v>447</v>
      </c>
      <c r="C150" s="67" t="s">
        <v>448</v>
      </c>
      <c r="D150" s="63" t="s">
        <v>446</v>
      </c>
      <c r="E150" s="57" t="s">
        <v>575</v>
      </c>
      <c r="F150" s="67"/>
      <c r="G150" s="59" t="s">
        <v>168</v>
      </c>
      <c r="H150" s="59">
        <v>7</v>
      </c>
      <c r="I150" s="64">
        <v>4.2361111259142199E-3</v>
      </c>
      <c r="J150" s="65">
        <v>85</v>
      </c>
      <c r="K150" s="64">
        <v>9.6759260364437799E-3</v>
      </c>
      <c r="L150" s="65">
        <v>152</v>
      </c>
      <c r="M150" s="64">
        <v>1.20254628700531E-2</v>
      </c>
      <c r="N150" s="65">
        <v>148</v>
      </c>
      <c r="O150" s="64">
        <v>1.55092678440984E-3</v>
      </c>
      <c r="P150" s="65">
        <v>132</v>
      </c>
      <c r="Q150" s="60">
        <v>2.7488426816821E-2</v>
      </c>
      <c r="R150" s="52"/>
      <c r="S150" s="52"/>
      <c r="T150" s="52"/>
      <c r="U150" s="52"/>
      <c r="V150" s="52"/>
      <c r="W150" s="52"/>
      <c r="X150" s="52"/>
      <c r="Y150" s="52"/>
    </row>
    <row r="151" spans="1:25" ht="15.75" customHeight="1" x14ac:dyDescent="0.25">
      <c r="A151" s="58">
        <v>150</v>
      </c>
      <c r="B151" s="68" t="s">
        <v>450</v>
      </c>
      <c r="C151" s="67" t="s">
        <v>451</v>
      </c>
      <c r="D151" s="63" t="s">
        <v>449</v>
      </c>
      <c r="E151" s="57" t="s">
        <v>623</v>
      </c>
      <c r="F151" s="57" t="s">
        <v>624</v>
      </c>
      <c r="G151" s="59" t="s">
        <v>18</v>
      </c>
      <c r="H151" s="59">
        <v>27</v>
      </c>
      <c r="I151" s="64">
        <v>6.9444445098503097E-3</v>
      </c>
      <c r="J151" s="65">
        <v>155</v>
      </c>
      <c r="K151" s="64">
        <v>7.8009259769203599E-3</v>
      </c>
      <c r="L151" s="65">
        <v>77</v>
      </c>
      <c r="M151" s="64">
        <v>1.1238426289393101E-2</v>
      </c>
      <c r="N151" s="65">
        <v>141</v>
      </c>
      <c r="O151" s="64">
        <v>2.1180556524343802E-3</v>
      </c>
      <c r="P151" s="65">
        <v>152</v>
      </c>
      <c r="Q151" s="60">
        <v>2.8101852428598199E-2</v>
      </c>
      <c r="R151" s="52"/>
      <c r="S151" s="52"/>
      <c r="T151" s="52"/>
      <c r="U151" s="52"/>
      <c r="V151" s="52"/>
      <c r="W151" s="52"/>
      <c r="X151" s="52"/>
      <c r="Y151" s="52"/>
    </row>
    <row r="152" spans="1:25" ht="15.75" customHeight="1" x14ac:dyDescent="0.25">
      <c r="A152" s="58">
        <v>151</v>
      </c>
      <c r="B152" s="68" t="s">
        <v>453</v>
      </c>
      <c r="C152" s="67" t="s">
        <v>185</v>
      </c>
      <c r="D152" s="63" t="s">
        <v>452</v>
      </c>
      <c r="E152" s="57" t="s">
        <v>513</v>
      </c>
      <c r="F152" s="67"/>
      <c r="G152" s="59" t="s">
        <v>103</v>
      </c>
      <c r="H152" s="59">
        <v>12</v>
      </c>
      <c r="I152" s="64">
        <v>5.0925926004338797E-3</v>
      </c>
      <c r="J152" s="65">
        <v>132</v>
      </c>
      <c r="K152" s="64">
        <v>9.0972222278585708E-3</v>
      </c>
      <c r="L152" s="65">
        <v>141</v>
      </c>
      <c r="M152" s="64">
        <v>1.34143518143189E-2</v>
      </c>
      <c r="N152" s="65">
        <v>153</v>
      </c>
      <c r="O152" s="64">
        <v>1.0648154129784301E-3</v>
      </c>
      <c r="P152" s="65">
        <v>74</v>
      </c>
      <c r="Q152" s="60">
        <v>2.8668982055589799E-2</v>
      </c>
      <c r="R152" s="52"/>
      <c r="S152" s="52"/>
      <c r="T152" s="52"/>
      <c r="U152" s="52"/>
      <c r="V152" s="52"/>
      <c r="W152" s="52"/>
      <c r="X152" s="52"/>
      <c r="Y152" s="52"/>
    </row>
    <row r="153" spans="1:25" ht="15.75" customHeight="1" x14ac:dyDescent="0.25">
      <c r="A153" s="58">
        <v>152</v>
      </c>
      <c r="B153" s="68" t="s">
        <v>455</v>
      </c>
      <c r="C153" s="67" t="s">
        <v>185</v>
      </c>
      <c r="D153" s="63" t="s">
        <v>454</v>
      </c>
      <c r="E153" s="67" t="s">
        <v>585</v>
      </c>
      <c r="F153" s="67"/>
      <c r="G153" s="59" t="s">
        <v>103</v>
      </c>
      <c r="H153" s="59">
        <v>13</v>
      </c>
      <c r="I153" s="64">
        <v>5.0347223030357399E-3</v>
      </c>
      <c r="J153" s="65">
        <v>128</v>
      </c>
      <c r="K153" s="64">
        <v>9.3634259341578707E-3</v>
      </c>
      <c r="L153" s="65">
        <v>149</v>
      </c>
      <c r="M153" s="64">
        <v>1.2858796157389499E-2</v>
      </c>
      <c r="N153" s="65">
        <v>151</v>
      </c>
      <c r="O153" s="64">
        <v>2.1064820921020198E-3</v>
      </c>
      <c r="P153" s="65">
        <v>151</v>
      </c>
      <c r="Q153" s="60">
        <v>2.9363426486685201E-2</v>
      </c>
      <c r="R153" s="52"/>
      <c r="S153" s="52"/>
      <c r="T153" s="52"/>
      <c r="U153" s="52"/>
      <c r="V153" s="52"/>
      <c r="W153" s="52"/>
      <c r="X153" s="52"/>
      <c r="Y153" s="52"/>
    </row>
    <row r="154" spans="1:25" ht="15.75" customHeight="1" x14ac:dyDescent="0.25">
      <c r="A154" s="58">
        <v>153</v>
      </c>
      <c r="B154" s="68" t="s">
        <v>457</v>
      </c>
      <c r="C154" s="67" t="s">
        <v>458</v>
      </c>
      <c r="D154" s="63" t="s">
        <v>456</v>
      </c>
      <c r="E154" s="57" t="s">
        <v>517</v>
      </c>
      <c r="F154" s="67"/>
      <c r="G154" s="59" t="s">
        <v>378</v>
      </c>
      <c r="H154" s="59">
        <v>2</v>
      </c>
      <c r="I154" s="64">
        <v>6.4930555857009003E-3</v>
      </c>
      <c r="J154" s="65">
        <v>153</v>
      </c>
      <c r="K154" s="64">
        <v>8.7500000655365492E-3</v>
      </c>
      <c r="L154" s="65">
        <v>130</v>
      </c>
      <c r="M154" s="64">
        <v>1.2870370986702399E-2</v>
      </c>
      <c r="N154" s="65">
        <v>152</v>
      </c>
      <c r="O154" s="64">
        <v>1.41203745464934E-3</v>
      </c>
      <c r="P154" s="65">
        <v>118</v>
      </c>
      <c r="Q154" s="60">
        <v>2.9525464092589201E-2</v>
      </c>
      <c r="R154" s="52"/>
      <c r="S154" s="52"/>
      <c r="T154" s="52"/>
      <c r="U154" s="52"/>
      <c r="V154" s="52"/>
      <c r="W154" s="52"/>
      <c r="X154" s="52"/>
      <c r="Y154" s="52"/>
    </row>
    <row r="155" spans="1:25" ht="15.75" customHeight="1" x14ac:dyDescent="0.25">
      <c r="A155" s="58">
        <v>154</v>
      </c>
      <c r="B155" s="68" t="s">
        <v>460</v>
      </c>
      <c r="C155" s="67" t="s">
        <v>461</v>
      </c>
      <c r="D155" s="63" t="s">
        <v>459</v>
      </c>
      <c r="E155" s="57" t="s">
        <v>625</v>
      </c>
      <c r="F155" s="57" t="s">
        <v>620</v>
      </c>
      <c r="G155" s="59" t="s">
        <v>168</v>
      </c>
      <c r="H155" s="59">
        <v>8</v>
      </c>
      <c r="I155" s="64">
        <v>5.0462964037608004E-3</v>
      </c>
      <c r="J155" s="65">
        <v>129</v>
      </c>
      <c r="K155" s="64">
        <v>8.5648148624746998E-3</v>
      </c>
      <c r="L155" s="65">
        <v>120</v>
      </c>
      <c r="M155" s="64">
        <v>1.5775462848072699E-2</v>
      </c>
      <c r="N155" s="65">
        <v>155</v>
      </c>
      <c r="O155" s="64">
        <v>1.31944525213173E-3</v>
      </c>
      <c r="P155" s="65">
        <v>112</v>
      </c>
      <c r="Q155" s="60">
        <v>3.07060193664399E-2</v>
      </c>
      <c r="R155" s="52"/>
      <c r="S155" s="52"/>
      <c r="T155" s="52"/>
      <c r="U155" s="52"/>
      <c r="V155" s="52"/>
      <c r="W155" s="52"/>
      <c r="X155" s="52"/>
      <c r="Y155" s="52"/>
    </row>
    <row r="156" spans="1:25" ht="15.75" customHeight="1" x14ac:dyDescent="0.25">
      <c r="A156" s="58">
        <v>155</v>
      </c>
      <c r="B156" s="68" t="s">
        <v>426</v>
      </c>
      <c r="C156" s="67" t="s">
        <v>463</v>
      </c>
      <c r="D156" s="63" t="s">
        <v>462</v>
      </c>
      <c r="E156" s="57" t="s">
        <v>549</v>
      </c>
      <c r="F156" s="67"/>
      <c r="G156" s="59" t="s">
        <v>143</v>
      </c>
      <c r="H156" s="59">
        <v>4</v>
      </c>
      <c r="I156" s="64">
        <v>7.1759260016084798E-3</v>
      </c>
      <c r="J156" s="65">
        <v>156</v>
      </c>
      <c r="K156" s="64">
        <v>1.14467593647737E-2</v>
      </c>
      <c r="L156" s="65">
        <v>156</v>
      </c>
      <c r="M156" s="64">
        <v>1.5740740150764699E-2</v>
      </c>
      <c r="N156" s="65">
        <v>154</v>
      </c>
      <c r="O156" s="64">
        <v>1.8055562407399001E-3</v>
      </c>
      <c r="P156" s="65">
        <v>147</v>
      </c>
      <c r="Q156" s="60">
        <v>3.6168981757886798E-2</v>
      </c>
      <c r="R156" s="52"/>
      <c r="S156" s="52"/>
      <c r="T156" s="52"/>
      <c r="U156" s="52"/>
      <c r="V156" s="52"/>
      <c r="W156" s="52"/>
      <c r="X156" s="52"/>
      <c r="Y156" s="52"/>
    </row>
    <row r="157" spans="1:25" ht="15.75" customHeight="1" x14ac:dyDescent="0.25">
      <c r="A157" s="58">
        <v>156</v>
      </c>
      <c r="B157" s="68" t="s">
        <v>465</v>
      </c>
      <c r="C157" s="67" t="s">
        <v>112</v>
      </c>
      <c r="D157" s="63" t="s">
        <v>464</v>
      </c>
      <c r="E157" s="57" t="s">
        <v>626</v>
      </c>
      <c r="F157" s="57" t="s">
        <v>627</v>
      </c>
      <c r="G157" s="59" t="s">
        <v>311</v>
      </c>
      <c r="H157" s="59">
        <v>3</v>
      </c>
      <c r="I157" s="64">
        <v>6.3888889546004001E-3</v>
      </c>
      <c r="J157" s="65">
        <v>152</v>
      </c>
      <c r="K157" s="64">
        <v>1.1099537051739401E-2</v>
      </c>
      <c r="L157" s="65">
        <v>155</v>
      </c>
      <c r="M157" s="64">
        <v>1.9166666833596701E-2</v>
      </c>
      <c r="N157" s="65">
        <v>156</v>
      </c>
      <c r="O157" s="64">
        <v>7.0486111475115002E-3</v>
      </c>
      <c r="P157" s="65">
        <v>156</v>
      </c>
      <c r="Q157" s="60">
        <v>4.3703703987448099E-2</v>
      </c>
      <c r="R157" s="52"/>
      <c r="S157" s="52"/>
      <c r="T157" s="52"/>
      <c r="U157" s="52"/>
      <c r="V157" s="52"/>
      <c r="W157" s="52"/>
      <c r="X157" s="52"/>
      <c r="Y157" s="52"/>
    </row>
    <row r="158" spans="1:25" ht="15.75" customHeight="1" x14ac:dyDescent="0.25">
      <c r="A158" s="58"/>
      <c r="B158" s="52"/>
      <c r="C158" s="52"/>
      <c r="D158" s="59"/>
      <c r="E158" s="52"/>
      <c r="F158" s="52"/>
      <c r="G158" s="59"/>
      <c r="H158" s="59"/>
      <c r="I158" s="59"/>
      <c r="J158" s="59"/>
      <c r="K158" s="59"/>
      <c r="L158" s="59"/>
      <c r="M158" s="59"/>
      <c r="N158" s="59"/>
      <c r="O158" s="59"/>
      <c r="P158" s="59"/>
      <c r="Q158" s="60"/>
      <c r="R158" s="52"/>
      <c r="S158" s="52"/>
      <c r="T158" s="52"/>
      <c r="U158" s="52"/>
      <c r="V158" s="52"/>
      <c r="W158" s="52"/>
      <c r="X158" s="52"/>
      <c r="Y158" s="52"/>
    </row>
    <row r="159" spans="1:25" ht="15.75" customHeight="1" x14ac:dyDescent="0.25">
      <c r="A159" s="58"/>
      <c r="B159" s="52"/>
      <c r="C159" s="52"/>
      <c r="D159" s="59"/>
      <c r="E159" s="52"/>
      <c r="F159" s="52"/>
      <c r="G159" s="59"/>
      <c r="H159" s="59"/>
      <c r="I159" s="59"/>
      <c r="J159" s="59"/>
      <c r="K159" s="59"/>
      <c r="L159" s="59"/>
      <c r="M159" s="59"/>
      <c r="N159" s="59"/>
      <c r="O159" s="59"/>
      <c r="P159" s="59"/>
      <c r="Q159" s="60"/>
      <c r="R159" s="52"/>
      <c r="S159" s="52"/>
      <c r="T159" s="52"/>
      <c r="U159" s="52"/>
      <c r="V159" s="52"/>
      <c r="W159" s="52"/>
      <c r="X159" s="52"/>
      <c r="Y159" s="52"/>
    </row>
    <row r="160" spans="1:25" ht="15.75" customHeight="1" x14ac:dyDescent="0.25">
      <c r="A160" s="58"/>
      <c r="B160" s="52"/>
      <c r="C160" s="52"/>
      <c r="D160" s="59"/>
      <c r="E160" s="52"/>
      <c r="F160" s="52"/>
      <c r="G160" s="59"/>
      <c r="H160" s="59"/>
      <c r="I160" s="59"/>
      <c r="J160" s="59"/>
      <c r="K160" s="59"/>
      <c r="L160" s="59"/>
      <c r="M160" s="59"/>
      <c r="N160" s="59"/>
      <c r="O160" s="59"/>
      <c r="P160" s="59"/>
      <c r="Q160" s="60"/>
      <c r="R160" s="52"/>
      <c r="S160" s="52"/>
      <c r="T160" s="52"/>
      <c r="U160" s="52"/>
      <c r="V160" s="52"/>
      <c r="W160" s="52"/>
      <c r="X160" s="52"/>
      <c r="Y160" s="52"/>
    </row>
    <row r="161" spans="1:25" ht="15.75" customHeight="1" x14ac:dyDescent="0.25">
      <c r="A161" s="58"/>
      <c r="B161" s="52"/>
      <c r="C161" s="52"/>
      <c r="D161" s="59"/>
      <c r="E161" s="52"/>
      <c r="F161" s="52"/>
      <c r="G161" s="59"/>
      <c r="H161" s="59"/>
      <c r="I161" s="59"/>
      <c r="J161" s="59"/>
      <c r="K161" s="59"/>
      <c r="L161" s="59"/>
      <c r="M161" s="59"/>
      <c r="N161" s="59"/>
      <c r="O161" s="59"/>
      <c r="P161" s="59"/>
      <c r="Q161" s="60"/>
      <c r="R161" s="52"/>
      <c r="S161" s="52"/>
      <c r="T161" s="52"/>
      <c r="U161" s="52"/>
      <c r="V161" s="52"/>
      <c r="W161" s="52"/>
      <c r="X161" s="52"/>
      <c r="Y161" s="52"/>
    </row>
    <row r="162" spans="1:25" ht="15.75" customHeight="1" x14ac:dyDescent="0.25">
      <c r="A162" s="58"/>
      <c r="B162" s="52"/>
      <c r="C162" s="52"/>
      <c r="D162" s="59"/>
      <c r="E162" s="52"/>
      <c r="F162" s="52"/>
      <c r="G162" s="59"/>
      <c r="H162" s="59"/>
      <c r="I162" s="59"/>
      <c r="J162" s="59"/>
      <c r="K162" s="59"/>
      <c r="L162" s="59"/>
      <c r="M162" s="59"/>
      <c r="N162" s="59"/>
      <c r="O162" s="59"/>
      <c r="P162" s="59"/>
      <c r="Q162" s="60"/>
      <c r="R162" s="52"/>
      <c r="S162" s="52"/>
      <c r="T162" s="52"/>
      <c r="U162" s="52"/>
      <c r="V162" s="52"/>
      <c r="W162" s="52"/>
      <c r="X162" s="52"/>
      <c r="Y162" s="52"/>
    </row>
    <row r="163" spans="1:25" ht="15.75" customHeight="1" x14ac:dyDescent="0.25">
      <c r="A163" s="58"/>
      <c r="B163" s="52"/>
      <c r="C163" s="52"/>
      <c r="D163" s="59"/>
      <c r="E163" s="52"/>
      <c r="F163" s="52"/>
      <c r="G163" s="59"/>
      <c r="H163" s="59"/>
      <c r="I163" s="59"/>
      <c r="J163" s="59"/>
      <c r="K163" s="59"/>
      <c r="L163" s="59"/>
      <c r="M163" s="59"/>
      <c r="N163" s="59"/>
      <c r="O163" s="59"/>
      <c r="P163" s="59"/>
      <c r="Q163" s="60"/>
      <c r="R163" s="52"/>
      <c r="S163" s="52"/>
      <c r="T163" s="52"/>
      <c r="U163" s="52"/>
      <c r="V163" s="52"/>
      <c r="W163" s="52"/>
      <c r="X163" s="52"/>
      <c r="Y163" s="52"/>
    </row>
    <row r="164" spans="1:25" ht="15.75" customHeight="1" x14ac:dyDescent="0.25">
      <c r="A164" s="58"/>
      <c r="B164" s="52"/>
      <c r="C164" s="52"/>
      <c r="D164" s="59"/>
      <c r="E164" s="52"/>
      <c r="F164" s="52"/>
      <c r="G164" s="59"/>
      <c r="H164" s="59"/>
      <c r="I164" s="59"/>
      <c r="J164" s="59"/>
      <c r="K164" s="59"/>
      <c r="L164" s="59"/>
      <c r="M164" s="59"/>
      <c r="N164" s="59"/>
      <c r="O164" s="59"/>
      <c r="P164" s="59"/>
      <c r="Q164" s="60"/>
      <c r="R164" s="52"/>
      <c r="S164" s="52"/>
      <c r="T164" s="52"/>
      <c r="U164" s="52"/>
      <c r="V164" s="52"/>
      <c r="W164" s="52"/>
      <c r="X164" s="52"/>
      <c r="Y164" s="52"/>
    </row>
    <row r="165" spans="1:25" ht="15.75" customHeight="1" x14ac:dyDescent="0.25">
      <c r="A165" s="58"/>
      <c r="B165" s="52"/>
      <c r="C165" s="52"/>
      <c r="D165" s="59"/>
      <c r="E165" s="52"/>
      <c r="F165" s="52"/>
      <c r="G165" s="59"/>
      <c r="H165" s="59"/>
      <c r="I165" s="59"/>
      <c r="J165" s="59"/>
      <c r="K165" s="59"/>
      <c r="L165" s="59"/>
      <c r="M165" s="59"/>
      <c r="N165" s="59"/>
      <c r="O165" s="59"/>
      <c r="P165" s="59"/>
      <c r="Q165" s="60"/>
      <c r="R165" s="52"/>
      <c r="S165" s="52"/>
      <c r="T165" s="52"/>
      <c r="U165" s="52"/>
      <c r="V165" s="52"/>
      <c r="W165" s="52"/>
      <c r="X165" s="52"/>
      <c r="Y165" s="52"/>
    </row>
    <row r="166" spans="1:25" ht="15.75" customHeight="1" x14ac:dyDescent="0.25">
      <c r="A166" s="58"/>
      <c r="B166" s="52"/>
      <c r="C166" s="52"/>
      <c r="D166" s="59"/>
      <c r="E166" s="52"/>
      <c r="F166" s="52"/>
      <c r="G166" s="59"/>
      <c r="H166" s="59"/>
      <c r="I166" s="59"/>
      <c r="J166" s="59"/>
      <c r="K166" s="59"/>
      <c r="L166" s="59"/>
      <c r="M166" s="59"/>
      <c r="N166" s="59"/>
      <c r="O166" s="59"/>
      <c r="P166" s="59"/>
      <c r="Q166" s="60"/>
      <c r="R166" s="52"/>
      <c r="S166" s="52"/>
      <c r="T166" s="52"/>
      <c r="U166" s="52"/>
      <c r="V166" s="52"/>
      <c r="W166" s="52"/>
      <c r="X166" s="52"/>
      <c r="Y166" s="52"/>
    </row>
    <row r="167" spans="1:25" ht="15.75" customHeight="1" x14ac:dyDescent="0.25">
      <c r="A167" s="58"/>
      <c r="B167" s="52"/>
      <c r="C167" s="52"/>
      <c r="D167" s="59"/>
      <c r="E167" s="52"/>
      <c r="F167" s="52"/>
      <c r="G167" s="59"/>
      <c r="H167" s="59"/>
      <c r="I167" s="59"/>
      <c r="J167" s="59"/>
      <c r="K167" s="59"/>
      <c r="L167" s="59"/>
      <c r="M167" s="59"/>
      <c r="N167" s="59"/>
      <c r="O167" s="59"/>
      <c r="P167" s="59"/>
      <c r="Q167" s="60"/>
      <c r="R167" s="52"/>
      <c r="S167" s="52"/>
      <c r="T167" s="52"/>
      <c r="U167" s="52"/>
      <c r="V167" s="52"/>
      <c r="W167" s="52"/>
      <c r="X167" s="52"/>
      <c r="Y167" s="52"/>
    </row>
    <row r="168" spans="1:25" ht="15.75" customHeight="1" x14ac:dyDescent="0.25">
      <c r="A168" s="58"/>
      <c r="B168" s="52"/>
      <c r="C168" s="52"/>
      <c r="D168" s="59"/>
      <c r="E168" s="52"/>
      <c r="F168" s="52"/>
      <c r="G168" s="59"/>
      <c r="H168" s="59"/>
      <c r="I168" s="59"/>
      <c r="J168" s="59"/>
      <c r="K168" s="59"/>
      <c r="L168" s="59"/>
      <c r="M168" s="59"/>
      <c r="N168" s="59"/>
      <c r="O168" s="59"/>
      <c r="P168" s="59"/>
      <c r="Q168" s="60"/>
      <c r="R168" s="52"/>
      <c r="S168" s="52"/>
      <c r="T168" s="52"/>
      <c r="U168" s="52"/>
      <c r="V168" s="52"/>
      <c r="W168" s="52"/>
      <c r="X168" s="52"/>
      <c r="Y168" s="52"/>
    </row>
    <row r="169" spans="1:25" ht="15.75" customHeight="1" x14ac:dyDescent="0.25">
      <c r="A169" s="58"/>
      <c r="B169" s="52"/>
      <c r="C169" s="52"/>
      <c r="D169" s="59"/>
      <c r="E169" s="52"/>
      <c r="F169" s="52"/>
      <c r="G169" s="59"/>
      <c r="H169" s="59"/>
      <c r="I169" s="59"/>
      <c r="J169" s="59"/>
      <c r="K169" s="59"/>
      <c r="L169" s="59"/>
      <c r="M169" s="59"/>
      <c r="N169" s="59"/>
      <c r="O169" s="59"/>
      <c r="P169" s="59"/>
      <c r="Q169" s="60"/>
      <c r="R169" s="52"/>
      <c r="S169" s="52"/>
      <c r="T169" s="52"/>
      <c r="U169" s="52"/>
      <c r="V169" s="52"/>
      <c r="W169" s="52"/>
      <c r="X169" s="52"/>
      <c r="Y169" s="52"/>
    </row>
    <row r="170" spans="1:25" ht="15.75" customHeight="1" x14ac:dyDescent="0.25">
      <c r="A170" s="58"/>
      <c r="B170" s="52"/>
      <c r="C170" s="52"/>
      <c r="D170" s="59"/>
      <c r="E170" s="52"/>
      <c r="F170" s="52"/>
      <c r="G170" s="59"/>
      <c r="H170" s="59"/>
      <c r="I170" s="59"/>
      <c r="J170" s="59"/>
      <c r="K170" s="59"/>
      <c r="L170" s="59"/>
      <c r="M170" s="59"/>
      <c r="N170" s="59"/>
      <c r="O170" s="59"/>
      <c r="P170" s="59"/>
      <c r="Q170" s="60"/>
      <c r="R170" s="52"/>
      <c r="S170" s="52"/>
      <c r="T170" s="52"/>
      <c r="U170" s="52"/>
      <c r="V170" s="52"/>
      <c r="W170" s="52"/>
      <c r="X170" s="52"/>
      <c r="Y170" s="52"/>
    </row>
    <row r="171" spans="1:25" ht="15.75" customHeight="1" x14ac:dyDescent="0.25">
      <c r="A171" s="58"/>
      <c r="B171" s="52"/>
      <c r="C171" s="52"/>
      <c r="D171" s="59"/>
      <c r="E171" s="52"/>
      <c r="F171" s="52"/>
      <c r="G171" s="59"/>
      <c r="H171" s="59"/>
      <c r="I171" s="59"/>
      <c r="J171" s="59"/>
      <c r="K171" s="59"/>
      <c r="L171" s="59"/>
      <c r="M171" s="59"/>
      <c r="N171" s="59"/>
      <c r="O171" s="59"/>
      <c r="P171" s="59"/>
      <c r="Q171" s="60"/>
      <c r="R171" s="52"/>
      <c r="S171" s="52"/>
      <c r="T171" s="52"/>
      <c r="U171" s="52"/>
      <c r="V171" s="52"/>
      <c r="W171" s="52"/>
      <c r="X171" s="52"/>
      <c r="Y171" s="52"/>
    </row>
    <row r="172" spans="1:25" ht="15.75" customHeight="1" x14ac:dyDescent="0.25">
      <c r="A172" s="58"/>
      <c r="B172" s="52"/>
      <c r="C172" s="52"/>
      <c r="D172" s="59"/>
      <c r="E172" s="52"/>
      <c r="F172" s="52"/>
      <c r="G172" s="59"/>
      <c r="H172" s="59"/>
      <c r="I172" s="59"/>
      <c r="J172" s="59"/>
      <c r="K172" s="59"/>
      <c r="L172" s="59"/>
      <c r="M172" s="59"/>
      <c r="N172" s="59"/>
      <c r="O172" s="59"/>
      <c r="P172" s="59"/>
      <c r="Q172" s="60"/>
      <c r="R172" s="52"/>
      <c r="S172" s="52"/>
      <c r="T172" s="52"/>
      <c r="U172" s="52"/>
      <c r="V172" s="52"/>
      <c r="W172" s="52"/>
      <c r="X172" s="52"/>
      <c r="Y172" s="52"/>
    </row>
    <row r="173" spans="1:25" ht="15.75" customHeight="1" x14ac:dyDescent="0.25">
      <c r="A173" s="58"/>
      <c r="B173" s="52"/>
      <c r="C173" s="52"/>
      <c r="D173" s="59"/>
      <c r="E173" s="52"/>
      <c r="F173" s="52"/>
      <c r="G173" s="59"/>
      <c r="H173" s="59"/>
      <c r="I173" s="59"/>
      <c r="J173" s="59"/>
      <c r="K173" s="59"/>
      <c r="L173" s="59"/>
      <c r="M173" s="59"/>
      <c r="N173" s="59"/>
      <c r="O173" s="59"/>
      <c r="P173" s="59"/>
      <c r="Q173" s="60"/>
      <c r="R173" s="52"/>
      <c r="S173" s="52"/>
      <c r="T173" s="52"/>
      <c r="U173" s="52"/>
      <c r="V173" s="52"/>
      <c r="W173" s="52"/>
      <c r="X173" s="52"/>
      <c r="Y173" s="52"/>
    </row>
    <row r="174" spans="1:25" ht="15.75" customHeight="1" x14ac:dyDescent="0.25">
      <c r="A174" s="58"/>
      <c r="B174" s="52"/>
      <c r="C174" s="52"/>
      <c r="D174" s="59"/>
      <c r="E174" s="52"/>
      <c r="F174" s="52"/>
      <c r="G174" s="59"/>
      <c r="H174" s="59"/>
      <c r="I174" s="59"/>
      <c r="J174" s="59"/>
      <c r="K174" s="59"/>
      <c r="L174" s="59"/>
      <c r="M174" s="59"/>
      <c r="N174" s="59"/>
      <c r="O174" s="59"/>
      <c r="P174" s="59"/>
      <c r="Q174" s="60"/>
      <c r="R174" s="52"/>
      <c r="S174" s="52"/>
      <c r="T174" s="52"/>
      <c r="U174" s="52"/>
      <c r="V174" s="52"/>
      <c r="W174" s="52"/>
      <c r="X174" s="52"/>
      <c r="Y174" s="52"/>
    </row>
    <row r="175" spans="1:25" ht="15.75" customHeight="1" x14ac:dyDescent="0.25">
      <c r="A175" s="58"/>
      <c r="B175" s="52"/>
      <c r="C175" s="52"/>
      <c r="D175" s="59"/>
      <c r="E175" s="52"/>
      <c r="F175" s="52"/>
      <c r="G175" s="59"/>
      <c r="H175" s="59"/>
      <c r="I175" s="59"/>
      <c r="J175" s="59"/>
      <c r="K175" s="59"/>
      <c r="L175" s="59"/>
      <c r="M175" s="59"/>
      <c r="N175" s="59"/>
      <c r="O175" s="59"/>
      <c r="P175" s="59"/>
      <c r="Q175" s="60"/>
      <c r="R175" s="52"/>
      <c r="S175" s="52"/>
      <c r="T175" s="52"/>
      <c r="U175" s="52"/>
      <c r="V175" s="52"/>
      <c r="W175" s="52"/>
      <c r="X175" s="52"/>
      <c r="Y175" s="52"/>
    </row>
    <row r="176" spans="1:25" ht="15.75" customHeight="1" x14ac:dyDescent="0.25">
      <c r="A176" s="58"/>
      <c r="B176" s="52"/>
      <c r="C176" s="52"/>
      <c r="D176" s="59"/>
      <c r="E176" s="52"/>
      <c r="F176" s="52"/>
      <c r="G176" s="59"/>
      <c r="H176" s="59"/>
      <c r="I176" s="59"/>
      <c r="J176" s="59"/>
      <c r="K176" s="59"/>
      <c r="L176" s="59"/>
      <c r="M176" s="59"/>
      <c r="N176" s="59"/>
      <c r="O176" s="59"/>
      <c r="P176" s="59"/>
      <c r="Q176" s="60"/>
      <c r="R176" s="52"/>
      <c r="S176" s="52"/>
      <c r="T176" s="52"/>
      <c r="U176" s="52"/>
      <c r="V176" s="52"/>
      <c r="W176" s="52"/>
      <c r="X176" s="52"/>
      <c r="Y176" s="52"/>
    </row>
    <row r="177" spans="1:25" ht="15.75" customHeight="1" x14ac:dyDescent="0.25">
      <c r="A177" s="58"/>
      <c r="B177" s="52"/>
      <c r="C177" s="52"/>
      <c r="D177" s="59"/>
      <c r="E177" s="52"/>
      <c r="F177" s="52"/>
      <c r="G177" s="59"/>
      <c r="H177" s="59"/>
      <c r="I177" s="59"/>
      <c r="J177" s="59"/>
      <c r="K177" s="59"/>
      <c r="L177" s="59"/>
      <c r="M177" s="59"/>
      <c r="N177" s="59"/>
      <c r="O177" s="59"/>
      <c r="P177" s="59"/>
      <c r="Q177" s="60"/>
      <c r="R177" s="52"/>
      <c r="S177" s="52"/>
      <c r="T177" s="52"/>
      <c r="U177" s="52"/>
      <c r="V177" s="52"/>
      <c r="W177" s="52"/>
      <c r="X177" s="52"/>
      <c r="Y177" s="52"/>
    </row>
    <row r="178" spans="1:25" ht="15.75" customHeight="1" x14ac:dyDescent="0.25">
      <c r="A178" s="58"/>
      <c r="B178" s="52"/>
      <c r="C178" s="52"/>
      <c r="D178" s="59"/>
      <c r="E178" s="52"/>
      <c r="F178" s="52"/>
      <c r="G178" s="59"/>
      <c r="H178" s="59"/>
      <c r="I178" s="59"/>
      <c r="J178" s="59"/>
      <c r="K178" s="59"/>
      <c r="L178" s="59"/>
      <c r="M178" s="59"/>
      <c r="N178" s="59"/>
      <c r="O178" s="59"/>
      <c r="P178" s="59"/>
      <c r="Q178" s="60"/>
      <c r="R178" s="52"/>
      <c r="S178" s="52"/>
      <c r="T178" s="52"/>
      <c r="U178" s="52"/>
      <c r="V178" s="52"/>
      <c r="W178" s="52"/>
      <c r="X178" s="52"/>
      <c r="Y178" s="52"/>
    </row>
    <row r="179" spans="1:25" ht="15.75" customHeight="1" x14ac:dyDescent="0.25">
      <c r="A179" s="58"/>
      <c r="B179" s="52"/>
      <c r="C179" s="52"/>
      <c r="D179" s="59"/>
      <c r="E179" s="52"/>
      <c r="F179" s="52"/>
      <c r="G179" s="59"/>
      <c r="H179" s="59"/>
      <c r="I179" s="59"/>
      <c r="J179" s="59"/>
      <c r="K179" s="59"/>
      <c r="L179" s="59"/>
      <c r="M179" s="59"/>
      <c r="N179" s="59"/>
      <c r="O179" s="59"/>
      <c r="P179" s="59"/>
      <c r="Q179" s="60"/>
      <c r="R179" s="52"/>
      <c r="S179" s="52"/>
      <c r="T179" s="52"/>
      <c r="U179" s="52"/>
      <c r="V179" s="52"/>
      <c r="W179" s="52"/>
      <c r="X179" s="52"/>
      <c r="Y179" s="52"/>
    </row>
    <row r="180" spans="1:25" ht="15.75" customHeight="1" x14ac:dyDescent="0.25">
      <c r="A180" s="58"/>
      <c r="B180" s="52"/>
      <c r="C180" s="52"/>
      <c r="D180" s="59"/>
      <c r="E180" s="52"/>
      <c r="F180" s="52"/>
      <c r="G180" s="59"/>
      <c r="H180" s="59"/>
      <c r="I180" s="59"/>
      <c r="J180" s="59"/>
      <c r="K180" s="59"/>
      <c r="L180" s="59"/>
      <c r="M180" s="59"/>
      <c r="N180" s="59"/>
      <c r="O180" s="59"/>
      <c r="P180" s="59"/>
      <c r="Q180" s="60"/>
      <c r="R180" s="52"/>
      <c r="S180" s="52"/>
      <c r="T180" s="52"/>
      <c r="U180" s="52"/>
      <c r="V180" s="52"/>
      <c r="W180" s="52"/>
      <c r="X180" s="52"/>
      <c r="Y180" s="52"/>
    </row>
    <row r="181" spans="1:25" ht="15.75" customHeight="1" x14ac:dyDescent="0.25">
      <c r="A181" s="58"/>
      <c r="B181" s="52"/>
      <c r="C181" s="52"/>
      <c r="D181" s="59"/>
      <c r="E181" s="52"/>
      <c r="F181" s="52"/>
      <c r="G181" s="59"/>
      <c r="H181" s="59"/>
      <c r="I181" s="59"/>
      <c r="J181" s="59"/>
      <c r="K181" s="59"/>
      <c r="L181" s="59"/>
      <c r="M181" s="59"/>
      <c r="N181" s="59"/>
      <c r="O181" s="59"/>
      <c r="P181" s="59"/>
      <c r="Q181" s="60"/>
      <c r="R181" s="52"/>
      <c r="S181" s="52"/>
      <c r="T181" s="52"/>
      <c r="U181" s="52"/>
      <c r="V181" s="52"/>
      <c r="W181" s="52"/>
      <c r="X181" s="52"/>
      <c r="Y181" s="52"/>
    </row>
    <row r="182" spans="1:25" ht="15.75" customHeight="1" x14ac:dyDescent="0.25">
      <c r="A182" s="58"/>
      <c r="B182" s="52"/>
      <c r="C182" s="52"/>
      <c r="D182" s="59"/>
      <c r="E182" s="52"/>
      <c r="F182" s="52"/>
      <c r="G182" s="59"/>
      <c r="H182" s="59"/>
      <c r="I182" s="59"/>
      <c r="J182" s="59"/>
      <c r="K182" s="59"/>
      <c r="L182" s="59"/>
      <c r="M182" s="59"/>
      <c r="N182" s="59"/>
      <c r="O182" s="59"/>
      <c r="P182" s="59"/>
      <c r="Q182" s="60"/>
      <c r="R182" s="52"/>
      <c r="S182" s="52"/>
      <c r="T182" s="52"/>
      <c r="U182" s="52"/>
      <c r="V182" s="52"/>
      <c r="W182" s="52"/>
      <c r="X182" s="52"/>
      <c r="Y182" s="52"/>
    </row>
    <row r="183" spans="1:25" ht="15.75" customHeight="1" x14ac:dyDescent="0.25">
      <c r="A183" s="58"/>
      <c r="B183" s="52"/>
      <c r="C183" s="52"/>
      <c r="D183" s="59"/>
      <c r="E183" s="52"/>
      <c r="F183" s="52"/>
      <c r="G183" s="59"/>
      <c r="H183" s="59"/>
      <c r="I183" s="59"/>
      <c r="J183" s="59"/>
      <c r="K183" s="59"/>
      <c r="L183" s="59"/>
      <c r="M183" s="59"/>
      <c r="N183" s="59"/>
      <c r="O183" s="59"/>
      <c r="P183" s="59"/>
      <c r="Q183" s="60"/>
      <c r="R183" s="52"/>
      <c r="S183" s="52"/>
      <c r="T183" s="52"/>
      <c r="U183" s="52"/>
      <c r="V183" s="52"/>
      <c r="W183" s="52"/>
      <c r="X183" s="52"/>
      <c r="Y183" s="52"/>
    </row>
    <row r="184" spans="1:25" ht="15.75" customHeight="1" x14ac:dyDescent="0.25">
      <c r="A184" s="58"/>
      <c r="B184" s="52"/>
      <c r="C184" s="52"/>
      <c r="D184" s="59"/>
      <c r="E184" s="52"/>
      <c r="F184" s="52"/>
      <c r="G184" s="59"/>
      <c r="H184" s="59"/>
      <c r="I184" s="59"/>
      <c r="J184" s="59"/>
      <c r="K184" s="59"/>
      <c r="L184" s="59"/>
      <c r="M184" s="59"/>
      <c r="N184" s="59"/>
      <c r="O184" s="59"/>
      <c r="P184" s="59"/>
      <c r="Q184" s="60"/>
      <c r="R184" s="52"/>
      <c r="S184" s="52"/>
      <c r="T184" s="52"/>
      <c r="U184" s="52"/>
      <c r="V184" s="52"/>
      <c r="W184" s="52"/>
      <c r="X184" s="52"/>
      <c r="Y184" s="52"/>
    </row>
    <row r="185" spans="1:25" ht="15.75" customHeight="1" x14ac:dyDescent="0.25">
      <c r="A185" s="58"/>
      <c r="B185" s="52"/>
      <c r="C185" s="52"/>
      <c r="D185" s="59"/>
      <c r="E185" s="52"/>
      <c r="F185" s="52"/>
      <c r="G185" s="59"/>
      <c r="H185" s="59"/>
      <c r="I185" s="59"/>
      <c r="J185" s="59"/>
      <c r="K185" s="59"/>
      <c r="L185" s="59"/>
      <c r="M185" s="59"/>
      <c r="N185" s="59"/>
      <c r="O185" s="59"/>
      <c r="P185" s="59"/>
      <c r="Q185" s="60"/>
      <c r="R185" s="52"/>
      <c r="S185" s="52"/>
      <c r="T185" s="52"/>
      <c r="U185" s="52"/>
      <c r="V185" s="52"/>
      <c r="W185" s="52"/>
      <c r="X185" s="52"/>
      <c r="Y185" s="52"/>
    </row>
    <row r="186" spans="1:25" ht="15.75" customHeight="1" x14ac:dyDescent="0.25">
      <c r="A186" s="58"/>
      <c r="B186" s="52"/>
      <c r="C186" s="52"/>
      <c r="D186" s="59"/>
      <c r="E186" s="52"/>
      <c r="F186" s="52"/>
      <c r="G186" s="59"/>
      <c r="H186" s="59"/>
      <c r="I186" s="59"/>
      <c r="J186" s="59"/>
      <c r="K186" s="59"/>
      <c r="L186" s="59"/>
      <c r="M186" s="59"/>
      <c r="N186" s="59"/>
      <c r="O186" s="59"/>
      <c r="P186" s="59"/>
      <c r="Q186" s="60"/>
      <c r="R186" s="52"/>
      <c r="S186" s="52"/>
      <c r="T186" s="52"/>
      <c r="U186" s="52"/>
      <c r="V186" s="52"/>
      <c r="W186" s="52"/>
      <c r="X186" s="52"/>
      <c r="Y186" s="52"/>
    </row>
    <row r="187" spans="1:25" ht="15.75" customHeight="1" x14ac:dyDescent="0.25">
      <c r="A187" s="58"/>
      <c r="B187" s="52"/>
      <c r="C187" s="52"/>
      <c r="D187" s="59"/>
      <c r="E187" s="52"/>
      <c r="F187" s="52"/>
      <c r="G187" s="59"/>
      <c r="H187" s="59"/>
      <c r="I187" s="59"/>
      <c r="J187" s="59"/>
      <c r="K187" s="59"/>
      <c r="L187" s="59"/>
      <c r="M187" s="59"/>
      <c r="N187" s="59"/>
      <c r="O187" s="59"/>
      <c r="P187" s="59"/>
      <c r="Q187" s="60"/>
      <c r="R187" s="52"/>
      <c r="S187" s="52"/>
      <c r="T187" s="52"/>
      <c r="U187" s="52"/>
      <c r="V187" s="52"/>
      <c r="W187" s="52"/>
      <c r="X187" s="52"/>
      <c r="Y187" s="52"/>
    </row>
    <row r="188" spans="1:25" ht="15.75" customHeight="1" x14ac:dyDescent="0.25">
      <c r="A188" s="58"/>
      <c r="B188" s="52"/>
      <c r="C188" s="52"/>
      <c r="D188" s="59"/>
      <c r="E188" s="52"/>
      <c r="F188" s="52"/>
      <c r="G188" s="59"/>
      <c r="H188" s="59"/>
      <c r="I188" s="59"/>
      <c r="J188" s="59"/>
      <c r="K188" s="59"/>
      <c r="L188" s="59"/>
      <c r="M188" s="59"/>
      <c r="N188" s="59"/>
      <c r="O188" s="59"/>
      <c r="P188" s="59"/>
      <c r="Q188" s="60"/>
      <c r="R188" s="52"/>
      <c r="S188" s="52"/>
      <c r="T188" s="52"/>
      <c r="U188" s="52"/>
      <c r="V188" s="52"/>
      <c r="W188" s="52"/>
      <c r="X188" s="52"/>
      <c r="Y188" s="52"/>
    </row>
    <row r="189" spans="1:25" ht="15.75" customHeight="1" x14ac:dyDescent="0.25">
      <c r="A189" s="58"/>
      <c r="B189" s="52"/>
      <c r="C189" s="52"/>
      <c r="D189" s="59"/>
      <c r="E189" s="52"/>
      <c r="F189" s="52"/>
      <c r="G189" s="59"/>
      <c r="H189" s="59"/>
      <c r="I189" s="59"/>
      <c r="J189" s="59"/>
      <c r="K189" s="59"/>
      <c r="L189" s="59"/>
      <c r="M189" s="59"/>
      <c r="N189" s="59"/>
      <c r="O189" s="59"/>
      <c r="P189" s="59"/>
      <c r="Q189" s="60"/>
      <c r="R189" s="52"/>
      <c r="S189" s="52"/>
      <c r="T189" s="52"/>
      <c r="U189" s="52"/>
      <c r="V189" s="52"/>
      <c r="W189" s="52"/>
      <c r="X189" s="52"/>
      <c r="Y189" s="52"/>
    </row>
    <row r="190" spans="1:25" ht="15.75" customHeight="1" x14ac:dyDescent="0.25">
      <c r="A190" s="58"/>
      <c r="B190" s="52"/>
      <c r="C190" s="52"/>
      <c r="D190" s="59"/>
      <c r="E190" s="52"/>
      <c r="F190" s="52"/>
      <c r="G190" s="59"/>
      <c r="H190" s="59"/>
      <c r="I190" s="59"/>
      <c r="J190" s="59"/>
      <c r="K190" s="59"/>
      <c r="L190" s="59"/>
      <c r="M190" s="59"/>
      <c r="N190" s="59"/>
      <c r="O190" s="59"/>
      <c r="P190" s="59"/>
      <c r="Q190" s="60"/>
      <c r="R190" s="52"/>
      <c r="S190" s="52"/>
      <c r="T190" s="52"/>
      <c r="U190" s="52"/>
      <c r="V190" s="52"/>
      <c r="W190" s="52"/>
      <c r="X190" s="52"/>
      <c r="Y190" s="52"/>
    </row>
    <row r="191" spans="1:25" ht="15.75" customHeight="1" x14ac:dyDescent="0.25">
      <c r="A191" s="58"/>
      <c r="B191" s="52"/>
      <c r="C191" s="52"/>
      <c r="D191" s="59"/>
      <c r="E191" s="52"/>
      <c r="F191" s="52"/>
      <c r="G191" s="59"/>
      <c r="H191" s="59"/>
      <c r="I191" s="59"/>
      <c r="J191" s="59"/>
      <c r="K191" s="59"/>
      <c r="L191" s="59"/>
      <c r="M191" s="59"/>
      <c r="N191" s="59"/>
      <c r="O191" s="59"/>
      <c r="P191" s="59"/>
      <c r="Q191" s="60"/>
      <c r="R191" s="52"/>
      <c r="S191" s="52"/>
      <c r="T191" s="52"/>
      <c r="U191" s="52"/>
      <c r="V191" s="52"/>
      <c r="W191" s="52"/>
      <c r="X191" s="52"/>
      <c r="Y191" s="52"/>
    </row>
    <row r="192" spans="1:25" ht="15.75" customHeight="1" x14ac:dyDescent="0.25">
      <c r="A192" s="58"/>
      <c r="B192" s="52"/>
      <c r="C192" s="52"/>
      <c r="D192" s="59"/>
      <c r="E192" s="52"/>
      <c r="F192" s="52"/>
      <c r="G192" s="59"/>
      <c r="H192" s="59"/>
      <c r="I192" s="59"/>
      <c r="J192" s="59"/>
      <c r="K192" s="59"/>
      <c r="L192" s="59"/>
      <c r="M192" s="59"/>
      <c r="N192" s="59"/>
      <c r="O192" s="59"/>
      <c r="P192" s="59"/>
      <c r="Q192" s="60"/>
      <c r="R192" s="52"/>
      <c r="S192" s="52"/>
      <c r="T192" s="52"/>
      <c r="U192" s="52"/>
      <c r="V192" s="52"/>
      <c r="W192" s="52"/>
      <c r="X192" s="52"/>
      <c r="Y192" s="52"/>
    </row>
    <row r="193" spans="1:25" ht="15.75" customHeight="1" x14ac:dyDescent="0.25">
      <c r="A193" s="58"/>
      <c r="B193" s="52"/>
      <c r="C193" s="52"/>
      <c r="D193" s="59"/>
      <c r="E193" s="52"/>
      <c r="F193" s="52"/>
      <c r="G193" s="59"/>
      <c r="H193" s="59"/>
      <c r="I193" s="59"/>
      <c r="J193" s="59"/>
      <c r="K193" s="59"/>
      <c r="L193" s="59"/>
      <c r="M193" s="59"/>
      <c r="N193" s="59"/>
      <c r="O193" s="59"/>
      <c r="P193" s="59"/>
      <c r="Q193" s="60"/>
      <c r="R193" s="52"/>
      <c r="S193" s="52"/>
      <c r="T193" s="52"/>
      <c r="U193" s="52"/>
      <c r="V193" s="52"/>
      <c r="W193" s="52"/>
      <c r="X193" s="52"/>
      <c r="Y193" s="52"/>
    </row>
    <row r="194" spans="1:25" ht="15.75" customHeight="1" x14ac:dyDescent="0.25">
      <c r="A194" s="58"/>
      <c r="B194" s="52"/>
      <c r="C194" s="52"/>
      <c r="D194" s="59"/>
      <c r="E194" s="52"/>
      <c r="F194" s="52"/>
      <c r="G194" s="59"/>
      <c r="H194" s="59"/>
      <c r="I194" s="59"/>
      <c r="J194" s="59"/>
      <c r="K194" s="59"/>
      <c r="L194" s="59"/>
      <c r="M194" s="59"/>
      <c r="N194" s="59"/>
      <c r="O194" s="59"/>
      <c r="P194" s="59"/>
      <c r="Q194" s="60"/>
      <c r="R194" s="52"/>
      <c r="S194" s="52"/>
      <c r="T194" s="52"/>
      <c r="U194" s="52"/>
      <c r="V194" s="52"/>
      <c r="W194" s="52"/>
      <c r="X194" s="52"/>
      <c r="Y194" s="52"/>
    </row>
    <row r="195" spans="1:25" ht="15.75" customHeight="1" x14ac:dyDescent="0.25">
      <c r="A195" s="58"/>
      <c r="B195" s="52"/>
      <c r="C195" s="52"/>
      <c r="D195" s="59"/>
      <c r="E195" s="52"/>
      <c r="F195" s="52"/>
      <c r="G195" s="59"/>
      <c r="H195" s="59"/>
      <c r="I195" s="59"/>
      <c r="J195" s="59"/>
      <c r="K195" s="59"/>
      <c r="L195" s="59"/>
      <c r="M195" s="59"/>
      <c r="N195" s="59"/>
      <c r="O195" s="59"/>
      <c r="P195" s="59"/>
      <c r="Q195" s="60"/>
      <c r="R195" s="52"/>
      <c r="S195" s="52"/>
      <c r="T195" s="52"/>
      <c r="U195" s="52"/>
      <c r="V195" s="52"/>
      <c r="W195" s="52"/>
      <c r="X195" s="52"/>
      <c r="Y195" s="52"/>
    </row>
    <row r="196" spans="1:25" ht="15.75" customHeight="1" x14ac:dyDescent="0.25">
      <c r="A196" s="58"/>
      <c r="B196" s="52"/>
      <c r="C196" s="52"/>
      <c r="D196" s="59"/>
      <c r="E196" s="52"/>
      <c r="F196" s="52"/>
      <c r="G196" s="59"/>
      <c r="H196" s="59"/>
      <c r="I196" s="59"/>
      <c r="J196" s="59"/>
      <c r="K196" s="59"/>
      <c r="L196" s="59"/>
      <c r="M196" s="59"/>
      <c r="N196" s="59"/>
      <c r="O196" s="59"/>
      <c r="P196" s="59"/>
      <c r="Q196" s="60"/>
      <c r="R196" s="52"/>
      <c r="S196" s="52"/>
      <c r="T196" s="52"/>
      <c r="U196" s="52"/>
      <c r="V196" s="52"/>
      <c r="W196" s="52"/>
      <c r="X196" s="52"/>
      <c r="Y196" s="52"/>
    </row>
    <row r="197" spans="1:25" ht="15.75" customHeight="1" x14ac:dyDescent="0.25">
      <c r="A197" s="58"/>
      <c r="B197" s="52"/>
      <c r="C197" s="52"/>
      <c r="D197" s="59"/>
      <c r="E197" s="52"/>
      <c r="F197" s="52"/>
      <c r="G197" s="59"/>
      <c r="H197" s="59"/>
      <c r="I197" s="59"/>
      <c r="J197" s="59"/>
      <c r="K197" s="59"/>
      <c r="L197" s="59"/>
      <c r="M197" s="59"/>
      <c r="N197" s="59"/>
      <c r="O197" s="59"/>
      <c r="P197" s="59"/>
      <c r="Q197" s="60"/>
      <c r="R197" s="52"/>
      <c r="S197" s="52"/>
      <c r="T197" s="52"/>
      <c r="U197" s="52"/>
      <c r="V197" s="52"/>
      <c r="W197" s="52"/>
      <c r="X197" s="52"/>
      <c r="Y197" s="52"/>
    </row>
    <row r="198" spans="1:25" ht="15.75" customHeight="1" x14ac:dyDescent="0.25">
      <c r="A198" s="58"/>
      <c r="B198" s="52"/>
      <c r="C198" s="52"/>
      <c r="D198" s="59"/>
      <c r="E198" s="52"/>
      <c r="F198" s="52"/>
      <c r="G198" s="59"/>
      <c r="H198" s="59"/>
      <c r="I198" s="59"/>
      <c r="J198" s="59"/>
      <c r="K198" s="59"/>
      <c r="L198" s="59"/>
      <c r="M198" s="59"/>
      <c r="N198" s="59"/>
      <c r="O198" s="59"/>
      <c r="P198" s="59"/>
      <c r="Q198" s="60"/>
      <c r="R198" s="52"/>
      <c r="S198" s="52"/>
      <c r="T198" s="52"/>
      <c r="U198" s="52"/>
      <c r="V198" s="52"/>
      <c r="W198" s="52"/>
      <c r="X198" s="52"/>
      <c r="Y198" s="52"/>
    </row>
    <row r="199" spans="1:25" ht="15.75" customHeight="1" x14ac:dyDescent="0.25">
      <c r="A199" s="58"/>
      <c r="B199" s="52"/>
      <c r="C199" s="52"/>
      <c r="D199" s="59"/>
      <c r="E199" s="52"/>
      <c r="F199" s="52"/>
      <c r="G199" s="59"/>
      <c r="H199" s="59"/>
      <c r="I199" s="59"/>
      <c r="J199" s="59"/>
      <c r="K199" s="59"/>
      <c r="L199" s="59"/>
      <c r="M199" s="59"/>
      <c r="N199" s="59"/>
      <c r="O199" s="59"/>
      <c r="P199" s="59"/>
      <c r="Q199" s="60"/>
      <c r="R199" s="52"/>
      <c r="S199" s="52"/>
      <c r="T199" s="52"/>
      <c r="U199" s="52"/>
      <c r="V199" s="52"/>
      <c r="W199" s="52"/>
      <c r="X199" s="52"/>
      <c r="Y199" s="52"/>
    </row>
    <row r="200" spans="1:25" ht="15.75" customHeight="1" x14ac:dyDescent="0.25">
      <c r="A200" s="58"/>
      <c r="B200" s="52"/>
      <c r="C200" s="52"/>
      <c r="D200" s="59"/>
      <c r="E200" s="52"/>
      <c r="F200" s="52"/>
      <c r="G200" s="59"/>
      <c r="H200" s="59"/>
      <c r="I200" s="59"/>
      <c r="J200" s="59"/>
      <c r="K200" s="59"/>
      <c r="L200" s="59"/>
      <c r="M200" s="59"/>
      <c r="N200" s="59"/>
      <c r="O200" s="59"/>
      <c r="P200" s="59"/>
      <c r="Q200" s="60"/>
      <c r="R200" s="52"/>
      <c r="S200" s="52"/>
      <c r="T200" s="52"/>
      <c r="U200" s="52"/>
      <c r="V200" s="52"/>
      <c r="W200" s="52"/>
      <c r="X200" s="52"/>
      <c r="Y200" s="52"/>
    </row>
    <row r="201" spans="1:25" ht="15.75" customHeight="1" x14ac:dyDescent="0.25">
      <c r="A201" s="58"/>
      <c r="B201" s="52"/>
      <c r="C201" s="52"/>
      <c r="D201" s="59"/>
      <c r="E201" s="52"/>
      <c r="F201" s="52"/>
      <c r="G201" s="59"/>
      <c r="H201" s="59"/>
      <c r="I201" s="59"/>
      <c r="J201" s="59"/>
      <c r="K201" s="59"/>
      <c r="L201" s="59"/>
      <c r="M201" s="59"/>
      <c r="N201" s="59"/>
      <c r="O201" s="59"/>
      <c r="P201" s="59"/>
      <c r="Q201" s="60"/>
      <c r="R201" s="52"/>
      <c r="S201" s="52"/>
      <c r="T201" s="52"/>
      <c r="U201" s="52"/>
      <c r="V201" s="52"/>
      <c r="W201" s="52"/>
      <c r="X201" s="52"/>
      <c r="Y201" s="52"/>
    </row>
    <row r="202" spans="1:25" ht="15.75" customHeight="1" x14ac:dyDescent="0.25">
      <c r="A202" s="58"/>
      <c r="B202" s="52"/>
      <c r="C202" s="52"/>
      <c r="D202" s="59"/>
      <c r="E202" s="52"/>
      <c r="F202" s="52"/>
      <c r="G202" s="59"/>
      <c r="H202" s="59"/>
      <c r="I202" s="59"/>
      <c r="J202" s="59"/>
      <c r="K202" s="59"/>
      <c r="L202" s="59"/>
      <c r="M202" s="59"/>
      <c r="N202" s="59"/>
      <c r="O202" s="59"/>
      <c r="P202" s="59"/>
      <c r="Q202" s="60"/>
      <c r="R202" s="52"/>
      <c r="S202" s="52"/>
      <c r="T202" s="52"/>
      <c r="U202" s="52"/>
      <c r="V202" s="52"/>
      <c r="W202" s="52"/>
      <c r="X202" s="52"/>
      <c r="Y202" s="52"/>
    </row>
    <row r="203" spans="1:25" ht="15.75" customHeight="1" x14ac:dyDescent="0.25">
      <c r="A203" s="58"/>
      <c r="B203" s="52"/>
      <c r="C203" s="52"/>
      <c r="D203" s="59"/>
      <c r="E203" s="52"/>
      <c r="F203" s="52"/>
      <c r="G203" s="59"/>
      <c r="H203" s="59"/>
      <c r="I203" s="59"/>
      <c r="J203" s="59"/>
      <c r="K203" s="59"/>
      <c r="L203" s="59"/>
      <c r="M203" s="59"/>
      <c r="N203" s="59"/>
      <c r="O203" s="59"/>
      <c r="P203" s="59"/>
      <c r="Q203" s="60"/>
      <c r="R203" s="52"/>
      <c r="S203" s="52"/>
      <c r="T203" s="52"/>
      <c r="U203" s="52"/>
      <c r="V203" s="52"/>
      <c r="W203" s="52"/>
      <c r="X203" s="52"/>
      <c r="Y203" s="52"/>
    </row>
    <row r="204" spans="1:25" ht="15.75" customHeight="1" x14ac:dyDescent="0.25">
      <c r="A204" s="58"/>
      <c r="B204" s="52"/>
      <c r="C204" s="52"/>
      <c r="D204" s="59"/>
      <c r="E204" s="52"/>
      <c r="F204" s="52"/>
      <c r="G204" s="59"/>
      <c r="H204" s="59"/>
      <c r="I204" s="59"/>
      <c r="J204" s="59"/>
      <c r="K204" s="59"/>
      <c r="L204" s="59"/>
      <c r="M204" s="59"/>
      <c r="N204" s="59"/>
      <c r="O204" s="59"/>
      <c r="P204" s="59"/>
      <c r="Q204" s="60"/>
      <c r="R204" s="52"/>
      <c r="S204" s="52"/>
      <c r="T204" s="52"/>
      <c r="U204" s="52"/>
      <c r="V204" s="52"/>
      <c r="W204" s="52"/>
      <c r="X204" s="52"/>
      <c r="Y204" s="52"/>
    </row>
    <row r="205" spans="1:25" ht="15.75" customHeight="1" x14ac:dyDescent="0.25">
      <c r="A205" s="58"/>
      <c r="B205" s="52"/>
      <c r="C205" s="52"/>
      <c r="D205" s="59"/>
      <c r="E205" s="52"/>
      <c r="F205" s="52"/>
      <c r="G205" s="59"/>
      <c r="H205" s="59"/>
      <c r="I205" s="59"/>
      <c r="J205" s="59"/>
      <c r="K205" s="59"/>
      <c r="L205" s="59"/>
      <c r="M205" s="59"/>
      <c r="N205" s="59"/>
      <c r="O205" s="59"/>
      <c r="P205" s="59"/>
      <c r="Q205" s="60"/>
      <c r="R205" s="52"/>
      <c r="S205" s="52"/>
      <c r="T205" s="52"/>
      <c r="U205" s="52"/>
      <c r="V205" s="52"/>
      <c r="W205" s="52"/>
      <c r="X205" s="52"/>
      <c r="Y205" s="52"/>
    </row>
    <row r="206" spans="1:25" ht="15.75" customHeight="1" x14ac:dyDescent="0.25">
      <c r="A206" s="58"/>
      <c r="B206" s="52"/>
      <c r="C206" s="52"/>
      <c r="D206" s="59"/>
      <c r="E206" s="52"/>
      <c r="F206" s="52"/>
      <c r="G206" s="59"/>
      <c r="H206" s="59"/>
      <c r="I206" s="59"/>
      <c r="J206" s="59"/>
      <c r="K206" s="59"/>
      <c r="L206" s="59"/>
      <c r="M206" s="59"/>
      <c r="N206" s="59"/>
      <c r="O206" s="59"/>
      <c r="P206" s="59"/>
      <c r="Q206" s="60"/>
      <c r="R206" s="52"/>
      <c r="S206" s="52"/>
      <c r="T206" s="52"/>
      <c r="U206" s="52"/>
      <c r="V206" s="52"/>
      <c r="W206" s="52"/>
      <c r="X206" s="52"/>
      <c r="Y206" s="52"/>
    </row>
    <row r="207" spans="1:25" ht="15.75" customHeight="1" x14ac:dyDescent="0.25">
      <c r="A207" s="58"/>
      <c r="B207" s="52"/>
      <c r="C207" s="52"/>
      <c r="D207" s="59"/>
      <c r="E207" s="52"/>
      <c r="F207" s="52"/>
      <c r="G207" s="59"/>
      <c r="H207" s="59"/>
      <c r="I207" s="59"/>
      <c r="J207" s="59"/>
      <c r="K207" s="59"/>
      <c r="L207" s="59"/>
      <c r="M207" s="59"/>
      <c r="N207" s="59"/>
      <c r="O207" s="59"/>
      <c r="P207" s="59"/>
      <c r="Q207" s="60"/>
      <c r="R207" s="52"/>
      <c r="S207" s="52"/>
      <c r="T207" s="52"/>
      <c r="U207" s="52"/>
      <c r="V207" s="52"/>
      <c r="W207" s="52"/>
      <c r="X207" s="52"/>
      <c r="Y207" s="52"/>
    </row>
    <row r="208" spans="1:25" ht="15.75" customHeight="1" x14ac:dyDescent="0.25">
      <c r="A208" s="58"/>
      <c r="B208" s="52"/>
      <c r="C208" s="52"/>
      <c r="D208" s="59"/>
      <c r="E208" s="52"/>
      <c r="F208" s="52"/>
      <c r="G208" s="59"/>
      <c r="H208" s="59"/>
      <c r="I208" s="59"/>
      <c r="J208" s="59"/>
      <c r="K208" s="59"/>
      <c r="L208" s="59"/>
      <c r="M208" s="59"/>
      <c r="N208" s="59"/>
      <c r="O208" s="59"/>
      <c r="P208" s="59"/>
      <c r="Q208" s="60"/>
      <c r="R208" s="52"/>
      <c r="S208" s="52"/>
      <c r="T208" s="52"/>
      <c r="U208" s="52"/>
      <c r="V208" s="52"/>
      <c r="W208" s="52"/>
      <c r="X208" s="52"/>
      <c r="Y208" s="52"/>
    </row>
    <row r="209" spans="1:25" ht="15.75" customHeight="1" x14ac:dyDescent="0.25">
      <c r="A209" s="58"/>
      <c r="B209" s="52"/>
      <c r="C209" s="52"/>
      <c r="D209" s="59"/>
      <c r="E209" s="52"/>
      <c r="F209" s="52"/>
      <c r="G209" s="59"/>
      <c r="H209" s="59"/>
      <c r="I209" s="59"/>
      <c r="J209" s="59"/>
      <c r="K209" s="59"/>
      <c r="L209" s="59"/>
      <c r="M209" s="59"/>
      <c r="N209" s="59"/>
      <c r="O209" s="59"/>
      <c r="P209" s="59"/>
      <c r="Q209" s="60"/>
      <c r="R209" s="52"/>
      <c r="S209" s="52"/>
      <c r="T209" s="52"/>
      <c r="U209" s="52"/>
      <c r="V209" s="52"/>
      <c r="W209" s="52"/>
      <c r="X209" s="52"/>
      <c r="Y209" s="52"/>
    </row>
    <row r="210" spans="1:25" ht="15.75" customHeight="1" x14ac:dyDescent="0.25">
      <c r="A210" s="58"/>
      <c r="B210" s="52"/>
      <c r="C210" s="52"/>
      <c r="D210" s="59"/>
      <c r="E210" s="52"/>
      <c r="F210" s="52"/>
      <c r="G210" s="59"/>
      <c r="H210" s="59"/>
      <c r="I210" s="59"/>
      <c r="J210" s="59"/>
      <c r="K210" s="59"/>
      <c r="L210" s="59"/>
      <c r="M210" s="59"/>
      <c r="N210" s="59"/>
      <c r="O210" s="59"/>
      <c r="P210" s="59"/>
      <c r="Q210" s="60"/>
      <c r="R210" s="52"/>
      <c r="S210" s="52"/>
      <c r="T210" s="52"/>
      <c r="U210" s="52"/>
      <c r="V210" s="52"/>
      <c r="W210" s="52"/>
      <c r="X210" s="52"/>
      <c r="Y210" s="52"/>
    </row>
    <row r="211" spans="1:25" ht="15.75" customHeight="1" x14ac:dyDescent="0.25">
      <c r="A211" s="58"/>
      <c r="B211" s="52"/>
      <c r="C211" s="52"/>
      <c r="D211" s="59"/>
      <c r="E211" s="52"/>
      <c r="F211" s="52"/>
      <c r="G211" s="59"/>
      <c r="H211" s="59"/>
      <c r="I211" s="59"/>
      <c r="J211" s="59"/>
      <c r="K211" s="59"/>
      <c r="L211" s="59"/>
      <c r="M211" s="59"/>
      <c r="N211" s="59"/>
      <c r="O211" s="59"/>
      <c r="P211" s="59"/>
      <c r="Q211" s="60"/>
      <c r="R211" s="52"/>
      <c r="S211" s="52"/>
      <c r="T211" s="52"/>
      <c r="U211" s="52"/>
      <c r="V211" s="52"/>
      <c r="W211" s="52"/>
      <c r="X211" s="52"/>
      <c r="Y211" s="52"/>
    </row>
    <row r="212" spans="1:25" ht="15.75" customHeight="1" x14ac:dyDescent="0.25">
      <c r="A212" s="58"/>
      <c r="B212" s="52"/>
      <c r="C212" s="52"/>
      <c r="D212" s="59"/>
      <c r="E212" s="52"/>
      <c r="F212" s="52"/>
      <c r="G212" s="59"/>
      <c r="H212" s="59"/>
      <c r="I212" s="59"/>
      <c r="J212" s="59"/>
      <c r="K212" s="59"/>
      <c r="L212" s="59"/>
      <c r="M212" s="59"/>
      <c r="N212" s="59"/>
      <c r="O212" s="59"/>
      <c r="P212" s="59"/>
      <c r="Q212" s="60"/>
      <c r="R212" s="52"/>
      <c r="S212" s="52"/>
      <c r="T212" s="52"/>
      <c r="U212" s="52"/>
      <c r="V212" s="52"/>
      <c r="W212" s="52"/>
      <c r="X212" s="52"/>
      <c r="Y212" s="52"/>
    </row>
    <row r="213" spans="1:25" ht="15.75" customHeight="1" x14ac:dyDescent="0.25">
      <c r="A213" s="58"/>
      <c r="B213" s="52"/>
      <c r="C213" s="52"/>
      <c r="D213" s="59"/>
      <c r="E213" s="52"/>
      <c r="F213" s="52"/>
      <c r="G213" s="59"/>
      <c r="H213" s="59"/>
      <c r="I213" s="59"/>
      <c r="J213" s="59"/>
      <c r="K213" s="59"/>
      <c r="L213" s="59"/>
      <c r="M213" s="59"/>
      <c r="N213" s="59"/>
      <c r="O213" s="59"/>
      <c r="P213" s="59"/>
      <c r="Q213" s="60"/>
      <c r="R213" s="52"/>
      <c r="S213" s="52"/>
      <c r="T213" s="52"/>
      <c r="U213" s="52"/>
      <c r="V213" s="52"/>
      <c r="W213" s="52"/>
      <c r="X213" s="52"/>
      <c r="Y213" s="52"/>
    </row>
    <row r="214" spans="1:25" ht="15.75" customHeight="1" x14ac:dyDescent="0.25">
      <c r="A214" s="58"/>
      <c r="B214" s="52"/>
      <c r="C214" s="52"/>
      <c r="D214" s="59"/>
      <c r="E214" s="52"/>
      <c r="F214" s="52"/>
      <c r="G214" s="59"/>
      <c r="H214" s="59"/>
      <c r="I214" s="59"/>
      <c r="J214" s="59"/>
      <c r="K214" s="59"/>
      <c r="L214" s="59"/>
      <c r="M214" s="59"/>
      <c r="N214" s="59"/>
      <c r="O214" s="59"/>
      <c r="P214" s="59"/>
      <c r="Q214" s="60"/>
      <c r="R214" s="52"/>
      <c r="S214" s="52"/>
      <c r="T214" s="52"/>
      <c r="U214" s="52"/>
      <c r="V214" s="52"/>
      <c r="W214" s="52"/>
      <c r="X214" s="52"/>
      <c r="Y214" s="52"/>
    </row>
    <row r="215" spans="1:25" ht="15.75" customHeight="1" x14ac:dyDescent="0.25">
      <c r="A215" s="58"/>
      <c r="B215" s="52"/>
      <c r="C215" s="52"/>
      <c r="D215" s="59"/>
      <c r="E215" s="52"/>
      <c r="F215" s="52"/>
      <c r="G215" s="59"/>
      <c r="H215" s="59"/>
      <c r="I215" s="59"/>
      <c r="J215" s="59"/>
      <c r="K215" s="59"/>
      <c r="L215" s="59"/>
      <c r="M215" s="59"/>
      <c r="N215" s="59"/>
      <c r="O215" s="59"/>
      <c r="P215" s="59"/>
      <c r="Q215" s="60"/>
      <c r="R215" s="52"/>
      <c r="S215" s="52"/>
      <c r="T215" s="52"/>
      <c r="U215" s="52"/>
      <c r="V215" s="52"/>
      <c r="W215" s="52"/>
      <c r="X215" s="52"/>
      <c r="Y215" s="52"/>
    </row>
    <row r="216" spans="1:25" ht="15.75" customHeight="1" x14ac:dyDescent="0.25">
      <c r="A216" s="58"/>
      <c r="B216" s="52"/>
      <c r="C216" s="52"/>
      <c r="D216" s="59"/>
      <c r="E216" s="52"/>
      <c r="F216" s="52"/>
      <c r="G216" s="59"/>
      <c r="H216" s="59"/>
      <c r="I216" s="59"/>
      <c r="J216" s="59"/>
      <c r="K216" s="59"/>
      <c r="L216" s="59"/>
      <c r="M216" s="59"/>
      <c r="N216" s="59"/>
      <c r="O216" s="59"/>
      <c r="P216" s="59"/>
      <c r="Q216" s="60"/>
      <c r="R216" s="52"/>
      <c r="S216" s="52"/>
      <c r="T216" s="52"/>
      <c r="U216" s="52"/>
      <c r="V216" s="52"/>
      <c r="W216" s="52"/>
      <c r="X216" s="52"/>
      <c r="Y216" s="52"/>
    </row>
    <row r="217" spans="1:25" ht="15.75" customHeight="1" x14ac:dyDescent="0.25">
      <c r="A217" s="58"/>
      <c r="B217" s="52"/>
      <c r="C217" s="52"/>
      <c r="D217" s="59"/>
      <c r="E217" s="52"/>
      <c r="F217" s="52"/>
      <c r="G217" s="59"/>
      <c r="H217" s="59"/>
      <c r="I217" s="59"/>
      <c r="J217" s="59"/>
      <c r="K217" s="59"/>
      <c r="L217" s="59"/>
      <c r="M217" s="59"/>
      <c r="N217" s="59"/>
      <c r="O217" s="59"/>
      <c r="P217" s="59"/>
      <c r="Q217" s="60"/>
      <c r="R217" s="52"/>
      <c r="S217" s="52"/>
      <c r="T217" s="52"/>
      <c r="U217" s="52"/>
      <c r="V217" s="52"/>
      <c r="W217" s="52"/>
      <c r="X217" s="52"/>
      <c r="Y217" s="52"/>
    </row>
    <row r="218" spans="1:25" ht="15.75" customHeight="1" x14ac:dyDescent="0.25">
      <c r="A218" s="58"/>
      <c r="B218" s="52"/>
      <c r="C218" s="52"/>
      <c r="D218" s="59"/>
      <c r="E218" s="52"/>
      <c r="F218" s="52"/>
      <c r="G218" s="59"/>
      <c r="H218" s="59"/>
      <c r="I218" s="59"/>
      <c r="J218" s="59"/>
      <c r="K218" s="59"/>
      <c r="L218" s="59"/>
      <c r="M218" s="59"/>
      <c r="N218" s="59"/>
      <c r="O218" s="59"/>
      <c r="P218" s="59"/>
      <c r="Q218" s="60"/>
      <c r="R218" s="52"/>
      <c r="S218" s="52"/>
      <c r="T218" s="52"/>
      <c r="U218" s="52"/>
      <c r="V218" s="52"/>
      <c r="W218" s="52"/>
      <c r="X218" s="52"/>
      <c r="Y218" s="52"/>
    </row>
    <row r="219" spans="1:25" ht="15.75" customHeight="1" x14ac:dyDescent="0.25">
      <c r="A219" s="58"/>
      <c r="B219" s="52"/>
      <c r="C219" s="52"/>
      <c r="D219" s="59"/>
      <c r="E219" s="52"/>
      <c r="F219" s="52"/>
      <c r="G219" s="59"/>
      <c r="H219" s="59"/>
      <c r="I219" s="59"/>
      <c r="J219" s="59"/>
      <c r="K219" s="59"/>
      <c r="L219" s="59"/>
      <c r="M219" s="59"/>
      <c r="N219" s="59"/>
      <c r="O219" s="59"/>
      <c r="P219" s="59"/>
      <c r="Q219" s="60"/>
      <c r="R219" s="52"/>
      <c r="S219" s="52"/>
      <c r="T219" s="52"/>
      <c r="U219" s="52"/>
      <c r="V219" s="52"/>
      <c r="W219" s="52"/>
      <c r="X219" s="52"/>
      <c r="Y219" s="52"/>
    </row>
    <row r="220" spans="1:25" ht="15.75" customHeight="1" x14ac:dyDescent="0.25">
      <c r="A220" s="58"/>
      <c r="B220" s="52"/>
      <c r="C220" s="52"/>
      <c r="D220" s="59"/>
      <c r="E220" s="52"/>
      <c r="F220" s="52"/>
      <c r="G220" s="59"/>
      <c r="H220" s="59"/>
      <c r="I220" s="59"/>
      <c r="J220" s="59"/>
      <c r="K220" s="59"/>
      <c r="L220" s="59"/>
      <c r="M220" s="59"/>
      <c r="N220" s="59"/>
      <c r="O220" s="59"/>
      <c r="P220" s="59"/>
      <c r="Q220" s="60"/>
      <c r="R220" s="52"/>
      <c r="S220" s="52"/>
      <c r="T220" s="52"/>
      <c r="U220" s="52"/>
      <c r="V220" s="52"/>
      <c r="W220" s="52"/>
      <c r="X220" s="52"/>
      <c r="Y220" s="52"/>
    </row>
    <row r="221" spans="1:25" ht="15.75" customHeight="1" x14ac:dyDescent="0.25">
      <c r="A221" s="58"/>
      <c r="B221" s="52"/>
      <c r="C221" s="52"/>
      <c r="D221" s="59"/>
      <c r="E221" s="52"/>
      <c r="F221" s="52"/>
      <c r="G221" s="59"/>
      <c r="H221" s="59"/>
      <c r="I221" s="59"/>
      <c r="J221" s="59"/>
      <c r="K221" s="59"/>
      <c r="L221" s="59"/>
      <c r="M221" s="59"/>
      <c r="N221" s="59"/>
      <c r="O221" s="59"/>
      <c r="P221" s="59"/>
      <c r="Q221" s="60"/>
      <c r="R221" s="52"/>
      <c r="S221" s="52"/>
      <c r="T221" s="52"/>
      <c r="U221" s="52"/>
      <c r="V221" s="52"/>
      <c r="W221" s="52"/>
      <c r="X221" s="52"/>
      <c r="Y221" s="52"/>
    </row>
    <row r="222" spans="1:25" ht="15.75" customHeight="1" x14ac:dyDescent="0.25">
      <c r="A222" s="58"/>
      <c r="B222" s="52"/>
      <c r="C222" s="52"/>
      <c r="D222" s="59"/>
      <c r="E222" s="52"/>
      <c r="F222" s="52"/>
      <c r="G222" s="59"/>
      <c r="H222" s="59"/>
      <c r="I222" s="59"/>
      <c r="J222" s="59"/>
      <c r="K222" s="59"/>
      <c r="L222" s="59"/>
      <c r="M222" s="59"/>
      <c r="N222" s="59"/>
      <c r="O222" s="59"/>
      <c r="P222" s="59"/>
      <c r="Q222" s="60"/>
      <c r="R222" s="52"/>
      <c r="S222" s="52"/>
      <c r="T222" s="52"/>
      <c r="U222" s="52"/>
      <c r="V222" s="52"/>
      <c r="W222" s="52"/>
      <c r="X222" s="52"/>
      <c r="Y222" s="52"/>
    </row>
    <row r="223" spans="1:25" ht="15.75" customHeight="1" x14ac:dyDescent="0.25">
      <c r="A223" s="58"/>
      <c r="B223" s="52"/>
      <c r="C223" s="52"/>
      <c r="D223" s="59"/>
      <c r="E223" s="52"/>
      <c r="F223" s="52"/>
      <c r="G223" s="59"/>
      <c r="H223" s="59"/>
      <c r="I223" s="59"/>
      <c r="J223" s="59"/>
      <c r="K223" s="59"/>
      <c r="L223" s="59"/>
      <c r="M223" s="59"/>
      <c r="N223" s="59"/>
      <c r="O223" s="59"/>
      <c r="P223" s="59"/>
      <c r="Q223" s="60"/>
      <c r="R223" s="52"/>
      <c r="S223" s="52"/>
      <c r="T223" s="52"/>
      <c r="U223" s="52"/>
      <c r="V223" s="52"/>
      <c r="W223" s="52"/>
      <c r="X223" s="52"/>
      <c r="Y223" s="52"/>
    </row>
    <row r="224" spans="1:25" ht="15.75" customHeight="1" x14ac:dyDescent="0.25">
      <c r="A224" s="58"/>
      <c r="B224" s="52"/>
      <c r="C224" s="52"/>
      <c r="D224" s="59"/>
      <c r="E224" s="52"/>
      <c r="F224" s="52"/>
      <c r="G224" s="59"/>
      <c r="H224" s="59"/>
      <c r="I224" s="59"/>
      <c r="J224" s="59"/>
      <c r="K224" s="59"/>
      <c r="L224" s="59"/>
      <c r="M224" s="59"/>
      <c r="N224" s="59"/>
      <c r="O224" s="59"/>
      <c r="P224" s="59"/>
      <c r="Q224" s="60"/>
      <c r="R224" s="52"/>
      <c r="S224" s="52"/>
      <c r="T224" s="52"/>
      <c r="U224" s="52"/>
      <c r="V224" s="52"/>
      <c r="W224" s="52"/>
      <c r="X224" s="52"/>
      <c r="Y224" s="52"/>
    </row>
    <row r="225" spans="1:25" ht="15.75" customHeight="1" x14ac:dyDescent="0.25">
      <c r="A225" s="58"/>
      <c r="B225" s="52"/>
      <c r="C225" s="52"/>
      <c r="D225" s="59"/>
      <c r="E225" s="52"/>
      <c r="F225" s="52"/>
      <c r="G225" s="59"/>
      <c r="H225" s="59"/>
      <c r="I225" s="59"/>
      <c r="J225" s="59"/>
      <c r="K225" s="59"/>
      <c r="L225" s="59"/>
      <c r="M225" s="59"/>
      <c r="N225" s="59"/>
      <c r="O225" s="59"/>
      <c r="P225" s="59"/>
      <c r="Q225" s="60"/>
      <c r="R225" s="52"/>
      <c r="S225" s="52"/>
      <c r="T225" s="52"/>
      <c r="U225" s="52"/>
      <c r="V225" s="52"/>
      <c r="W225" s="52"/>
      <c r="X225" s="52"/>
      <c r="Y225" s="52"/>
    </row>
    <row r="226" spans="1:25" ht="15.75" customHeight="1" x14ac:dyDescent="0.25">
      <c r="A226" s="58"/>
      <c r="B226" s="52"/>
      <c r="C226" s="52"/>
      <c r="D226" s="59"/>
      <c r="E226" s="52"/>
      <c r="F226" s="52"/>
      <c r="G226" s="59"/>
      <c r="H226" s="59"/>
      <c r="I226" s="59"/>
      <c r="J226" s="59"/>
      <c r="K226" s="59"/>
      <c r="L226" s="59"/>
      <c r="M226" s="59"/>
      <c r="N226" s="59"/>
      <c r="O226" s="59"/>
      <c r="P226" s="59"/>
      <c r="Q226" s="60"/>
      <c r="R226" s="52"/>
      <c r="S226" s="52"/>
      <c r="T226" s="52"/>
      <c r="U226" s="52"/>
      <c r="V226" s="52"/>
      <c r="W226" s="52"/>
      <c r="X226" s="52"/>
      <c r="Y226" s="52"/>
    </row>
    <row r="227" spans="1:25" ht="15.75" customHeight="1" x14ac:dyDescent="0.25">
      <c r="A227" s="58"/>
      <c r="B227" s="52"/>
      <c r="C227" s="52"/>
      <c r="D227" s="59"/>
      <c r="E227" s="52"/>
      <c r="F227" s="52"/>
      <c r="G227" s="59"/>
      <c r="H227" s="59"/>
      <c r="I227" s="59"/>
      <c r="J227" s="59"/>
      <c r="K227" s="59"/>
      <c r="L227" s="59"/>
      <c r="M227" s="59"/>
      <c r="N227" s="59"/>
      <c r="O227" s="59"/>
      <c r="P227" s="59"/>
      <c r="Q227" s="60"/>
      <c r="R227" s="52"/>
      <c r="S227" s="52"/>
      <c r="T227" s="52"/>
      <c r="U227" s="52"/>
      <c r="V227" s="52"/>
      <c r="W227" s="52"/>
      <c r="X227" s="52"/>
      <c r="Y227" s="52"/>
    </row>
    <row r="228" spans="1:25" ht="15.75" customHeight="1" x14ac:dyDescent="0.25">
      <c r="A228" s="58"/>
      <c r="B228" s="52"/>
      <c r="C228" s="52"/>
      <c r="D228" s="59"/>
      <c r="E228" s="52"/>
      <c r="F228" s="52"/>
      <c r="G228" s="59"/>
      <c r="H228" s="59"/>
      <c r="I228" s="59"/>
      <c r="J228" s="59"/>
      <c r="K228" s="59"/>
      <c r="L228" s="59"/>
      <c r="M228" s="59"/>
      <c r="N228" s="59"/>
      <c r="O228" s="59"/>
      <c r="P228" s="59"/>
      <c r="Q228" s="60"/>
      <c r="R228" s="52"/>
      <c r="S228" s="52"/>
      <c r="T228" s="52"/>
      <c r="U228" s="52"/>
      <c r="V228" s="52"/>
      <c r="W228" s="52"/>
      <c r="X228" s="52"/>
      <c r="Y228" s="52"/>
    </row>
    <row r="229" spans="1:25" ht="15.75" customHeight="1" x14ac:dyDescent="0.25">
      <c r="A229" s="58"/>
      <c r="B229" s="52"/>
      <c r="C229" s="52"/>
      <c r="D229" s="59"/>
      <c r="E229" s="52"/>
      <c r="F229" s="52"/>
      <c r="G229" s="59"/>
      <c r="H229" s="59"/>
      <c r="I229" s="59"/>
      <c r="J229" s="59"/>
      <c r="K229" s="59"/>
      <c r="L229" s="59"/>
      <c r="M229" s="59"/>
      <c r="N229" s="59"/>
      <c r="O229" s="59"/>
      <c r="P229" s="59"/>
      <c r="Q229" s="60"/>
      <c r="R229" s="52"/>
      <c r="S229" s="52"/>
      <c r="T229" s="52"/>
      <c r="U229" s="52"/>
      <c r="V229" s="52"/>
      <c r="W229" s="52"/>
      <c r="X229" s="52"/>
      <c r="Y229" s="52"/>
    </row>
    <row r="230" spans="1:25" ht="15.75" customHeight="1" x14ac:dyDescent="0.25">
      <c r="Q230" s="61"/>
    </row>
    <row r="231" spans="1:25" ht="15.75" customHeight="1" x14ac:dyDescent="0.25">
      <c r="Q231" s="61"/>
    </row>
    <row r="232" spans="1:25" ht="15.75" customHeight="1" x14ac:dyDescent="0.25">
      <c r="Q232" s="61"/>
    </row>
    <row r="233" spans="1:25" ht="15.75" customHeight="1" x14ac:dyDescent="0.25">
      <c r="Q233" s="61"/>
    </row>
    <row r="234" spans="1:25" ht="15.75" customHeight="1" x14ac:dyDescent="0.25">
      <c r="Q234" s="61"/>
    </row>
    <row r="235" spans="1:25" ht="15.75" customHeight="1" x14ac:dyDescent="0.25">
      <c r="Q235" s="61"/>
    </row>
    <row r="236" spans="1:25" ht="15.75" customHeight="1" x14ac:dyDescent="0.25">
      <c r="Q236" s="61"/>
    </row>
    <row r="237" spans="1:25" ht="15.75" customHeight="1" x14ac:dyDescent="0.25">
      <c r="Q237" s="61"/>
    </row>
    <row r="238" spans="1:25" ht="15.75" customHeight="1" x14ac:dyDescent="0.25">
      <c r="Q238" s="61"/>
    </row>
    <row r="239" spans="1:25" ht="15.75" customHeight="1" x14ac:dyDescent="0.25">
      <c r="Q239" s="61"/>
    </row>
    <row r="240" spans="1:25" ht="15.75" customHeight="1" x14ac:dyDescent="0.25">
      <c r="Q240" s="61"/>
    </row>
    <row r="241" spans="17:17" ht="15.75" customHeight="1" x14ac:dyDescent="0.25">
      <c r="Q241" s="61"/>
    </row>
    <row r="242" spans="17:17" ht="15.75" customHeight="1" x14ac:dyDescent="0.25">
      <c r="Q242" s="61"/>
    </row>
    <row r="243" spans="17:17" ht="15.75" customHeight="1" x14ac:dyDescent="0.25">
      <c r="Q243" s="61"/>
    </row>
    <row r="244" spans="17:17" ht="15.75" customHeight="1" x14ac:dyDescent="0.25">
      <c r="Q244" s="61"/>
    </row>
    <row r="245" spans="17:17" ht="15.75" customHeight="1" x14ac:dyDescent="0.25">
      <c r="Q245" s="61"/>
    </row>
    <row r="246" spans="17:17" ht="15.75" customHeight="1" x14ac:dyDescent="0.25">
      <c r="Q246" s="61"/>
    </row>
    <row r="247" spans="17:17" ht="15.75" customHeight="1" x14ac:dyDescent="0.25">
      <c r="Q247" s="61"/>
    </row>
    <row r="248" spans="17:17" ht="15.75" customHeight="1" x14ac:dyDescent="0.25">
      <c r="Q248" s="61"/>
    </row>
    <row r="249" spans="17:17" ht="15.75" customHeight="1" x14ac:dyDescent="0.25">
      <c r="Q249" s="61"/>
    </row>
    <row r="250" spans="17:17" ht="15.75" customHeight="1" x14ac:dyDescent="0.25">
      <c r="Q250" s="61"/>
    </row>
    <row r="251" spans="17:17" ht="15.75" customHeight="1" x14ac:dyDescent="0.25">
      <c r="Q251" s="61"/>
    </row>
    <row r="252" spans="17:17" ht="15.75" customHeight="1" x14ac:dyDescent="0.25">
      <c r="Q252" s="61"/>
    </row>
    <row r="253" spans="17:17" ht="15.75" customHeight="1" x14ac:dyDescent="0.25">
      <c r="Q253" s="61"/>
    </row>
    <row r="254" spans="17:17" ht="15.75" customHeight="1" x14ac:dyDescent="0.25">
      <c r="Q254" s="61"/>
    </row>
    <row r="255" spans="17:17" ht="15.75" customHeight="1" x14ac:dyDescent="0.25">
      <c r="Q255" s="61"/>
    </row>
    <row r="256" spans="17:17" ht="15.75" customHeight="1" x14ac:dyDescent="0.25">
      <c r="Q256" s="61"/>
    </row>
    <row r="257" spans="17:17" ht="15.75" customHeight="1" x14ac:dyDescent="0.25">
      <c r="Q257" s="61"/>
    </row>
    <row r="258" spans="17:17" ht="15.75" customHeight="1" x14ac:dyDescent="0.25">
      <c r="Q258" s="61"/>
    </row>
    <row r="259" spans="17:17" ht="15.75" customHeight="1" x14ac:dyDescent="0.25">
      <c r="Q259" s="61"/>
    </row>
    <row r="260" spans="17:17" ht="15.75" customHeight="1" x14ac:dyDescent="0.25">
      <c r="Q260" s="61"/>
    </row>
    <row r="261" spans="17:17" ht="15.75" customHeight="1" x14ac:dyDescent="0.25">
      <c r="Q261" s="61"/>
    </row>
    <row r="262" spans="17:17" ht="15.75" customHeight="1" x14ac:dyDescent="0.25">
      <c r="Q262" s="61"/>
    </row>
    <row r="263" spans="17:17" ht="15.75" customHeight="1" x14ac:dyDescent="0.25">
      <c r="Q263" s="61"/>
    </row>
    <row r="264" spans="17:17" ht="15.75" customHeight="1" x14ac:dyDescent="0.25">
      <c r="Q264" s="61"/>
    </row>
    <row r="265" spans="17:17" ht="15.75" customHeight="1" x14ac:dyDescent="0.25">
      <c r="Q265" s="61"/>
    </row>
    <row r="266" spans="17:17" ht="15.75" customHeight="1" x14ac:dyDescent="0.25">
      <c r="Q266" s="61"/>
    </row>
    <row r="267" spans="17:17" ht="15.75" customHeight="1" x14ac:dyDescent="0.25">
      <c r="Q267" s="61"/>
    </row>
    <row r="268" spans="17:17" ht="15.75" customHeight="1" x14ac:dyDescent="0.25">
      <c r="Q268" s="61"/>
    </row>
    <row r="269" spans="17:17" ht="15.75" customHeight="1" x14ac:dyDescent="0.25">
      <c r="Q269" s="61"/>
    </row>
    <row r="270" spans="17:17" ht="15.75" customHeight="1" x14ac:dyDescent="0.25">
      <c r="Q270" s="61"/>
    </row>
    <row r="271" spans="17:17" ht="15.75" customHeight="1" x14ac:dyDescent="0.25">
      <c r="Q271" s="61"/>
    </row>
    <row r="272" spans="17:17" ht="15.75" customHeight="1" x14ac:dyDescent="0.25">
      <c r="Q272" s="61"/>
    </row>
    <row r="273" spans="17:17" ht="15.75" customHeight="1" x14ac:dyDescent="0.25">
      <c r="Q273" s="61"/>
    </row>
    <row r="274" spans="17:17" ht="15.75" customHeight="1" x14ac:dyDescent="0.25">
      <c r="Q274" s="61"/>
    </row>
    <row r="275" spans="17:17" ht="15.75" customHeight="1" x14ac:dyDescent="0.25">
      <c r="Q275" s="61"/>
    </row>
    <row r="276" spans="17:17" ht="15.75" customHeight="1" x14ac:dyDescent="0.25">
      <c r="Q276" s="61"/>
    </row>
    <row r="277" spans="17:17" ht="15.75" customHeight="1" x14ac:dyDescent="0.25">
      <c r="Q277" s="61"/>
    </row>
    <row r="278" spans="17:17" ht="15.75" customHeight="1" x14ac:dyDescent="0.25">
      <c r="Q278" s="61"/>
    </row>
    <row r="279" spans="17:17" ht="15.75" customHeight="1" x14ac:dyDescent="0.25">
      <c r="Q279" s="61"/>
    </row>
    <row r="280" spans="17:17" ht="15.75" customHeight="1" x14ac:dyDescent="0.25">
      <c r="Q280" s="61"/>
    </row>
    <row r="281" spans="17:17" ht="15.75" customHeight="1" x14ac:dyDescent="0.25">
      <c r="Q281" s="61"/>
    </row>
    <row r="282" spans="17:17" ht="15.75" customHeight="1" x14ac:dyDescent="0.25">
      <c r="Q282" s="61"/>
    </row>
    <row r="283" spans="17:17" ht="15.75" customHeight="1" x14ac:dyDescent="0.25">
      <c r="Q283" s="61"/>
    </row>
    <row r="284" spans="17:17" ht="15.75" customHeight="1" x14ac:dyDescent="0.25">
      <c r="Q284" s="61"/>
    </row>
    <row r="285" spans="17:17" ht="15.75" customHeight="1" x14ac:dyDescent="0.25">
      <c r="Q285" s="61"/>
    </row>
    <row r="286" spans="17:17" ht="15.75" customHeight="1" x14ac:dyDescent="0.25">
      <c r="Q286" s="61"/>
    </row>
    <row r="287" spans="17:17" ht="15.75" customHeight="1" x14ac:dyDescent="0.25">
      <c r="Q287" s="61"/>
    </row>
    <row r="288" spans="17:17" ht="15.75" customHeight="1" x14ac:dyDescent="0.25">
      <c r="Q288" s="61"/>
    </row>
    <row r="289" spans="17:17" ht="15.75" customHeight="1" x14ac:dyDescent="0.25">
      <c r="Q289" s="61"/>
    </row>
    <row r="290" spans="17:17" ht="15.75" customHeight="1" x14ac:dyDescent="0.25">
      <c r="Q290" s="61"/>
    </row>
    <row r="291" spans="17:17" ht="15.75" customHeight="1" x14ac:dyDescent="0.25">
      <c r="Q291" s="61"/>
    </row>
    <row r="292" spans="17:17" ht="15.75" customHeight="1" x14ac:dyDescent="0.25">
      <c r="Q292" s="61"/>
    </row>
    <row r="293" spans="17:17" ht="15.75" customHeight="1" x14ac:dyDescent="0.25">
      <c r="Q293" s="61"/>
    </row>
    <row r="294" spans="17:17" ht="15.75" customHeight="1" x14ac:dyDescent="0.25">
      <c r="Q294" s="61"/>
    </row>
    <row r="295" spans="17:17" ht="15.75" customHeight="1" x14ac:dyDescent="0.25">
      <c r="Q295" s="61"/>
    </row>
    <row r="296" spans="17:17" ht="15.75" customHeight="1" x14ac:dyDescent="0.25">
      <c r="Q296" s="61"/>
    </row>
    <row r="297" spans="17:17" ht="15.75" customHeight="1" x14ac:dyDescent="0.25">
      <c r="Q297" s="61"/>
    </row>
    <row r="298" spans="17:17" ht="15.75" customHeight="1" x14ac:dyDescent="0.25">
      <c r="Q298" s="61"/>
    </row>
    <row r="299" spans="17:17" ht="15.75" customHeight="1" x14ac:dyDescent="0.25">
      <c r="Q299" s="61"/>
    </row>
    <row r="300" spans="17:17" ht="15.75" customHeight="1" x14ac:dyDescent="0.25">
      <c r="Q300" s="61"/>
    </row>
    <row r="301" spans="17:17" ht="15.75" customHeight="1" x14ac:dyDescent="0.25">
      <c r="Q301" s="61"/>
    </row>
    <row r="302" spans="17:17" ht="15.75" customHeight="1" x14ac:dyDescent="0.25">
      <c r="Q302" s="61"/>
    </row>
    <row r="303" spans="17:17" ht="15.75" customHeight="1" x14ac:dyDescent="0.25">
      <c r="Q303" s="61"/>
    </row>
    <row r="304" spans="17:17" ht="15.75" customHeight="1" x14ac:dyDescent="0.25">
      <c r="Q304" s="61"/>
    </row>
    <row r="305" spans="17:17" ht="15.75" customHeight="1" x14ac:dyDescent="0.25">
      <c r="Q305" s="61"/>
    </row>
    <row r="306" spans="17:17" ht="15.75" customHeight="1" x14ac:dyDescent="0.25">
      <c r="Q306" s="61"/>
    </row>
    <row r="307" spans="17:17" ht="15.75" customHeight="1" x14ac:dyDescent="0.25">
      <c r="Q307" s="61"/>
    </row>
    <row r="308" spans="17:17" ht="15.75" customHeight="1" x14ac:dyDescent="0.25">
      <c r="Q308" s="61"/>
    </row>
    <row r="309" spans="17:17" ht="15.75" customHeight="1" x14ac:dyDescent="0.25">
      <c r="Q309" s="61"/>
    </row>
    <row r="310" spans="17:17" ht="15.75" customHeight="1" x14ac:dyDescent="0.25">
      <c r="Q310" s="61"/>
    </row>
    <row r="311" spans="17:17" ht="15.75" customHeight="1" x14ac:dyDescent="0.25">
      <c r="Q311" s="61"/>
    </row>
    <row r="312" spans="17:17" ht="15.75" customHeight="1" x14ac:dyDescent="0.25">
      <c r="Q312" s="61"/>
    </row>
    <row r="313" spans="17:17" ht="15.75" customHeight="1" x14ac:dyDescent="0.25">
      <c r="Q313" s="61"/>
    </row>
    <row r="314" spans="17:17" ht="15.75" customHeight="1" x14ac:dyDescent="0.25">
      <c r="Q314" s="61"/>
    </row>
    <row r="315" spans="17:17" ht="15.75" customHeight="1" x14ac:dyDescent="0.25">
      <c r="Q315" s="61"/>
    </row>
    <row r="316" spans="17:17" ht="15.75" customHeight="1" x14ac:dyDescent="0.25">
      <c r="Q316" s="61"/>
    </row>
    <row r="317" spans="17:17" ht="15.75" customHeight="1" x14ac:dyDescent="0.25">
      <c r="Q317" s="61"/>
    </row>
    <row r="318" spans="17:17" ht="15.75" customHeight="1" x14ac:dyDescent="0.25">
      <c r="Q318" s="61"/>
    </row>
    <row r="319" spans="17:17" ht="15.75" customHeight="1" x14ac:dyDescent="0.25">
      <c r="Q319" s="61"/>
    </row>
    <row r="320" spans="17:17" ht="15.75" customHeight="1" x14ac:dyDescent="0.25">
      <c r="Q320" s="61"/>
    </row>
    <row r="321" spans="17:17" ht="15.75" customHeight="1" x14ac:dyDescent="0.25">
      <c r="Q321" s="61"/>
    </row>
    <row r="322" spans="17:17" ht="15.75" customHeight="1" x14ac:dyDescent="0.25">
      <c r="Q322" s="61"/>
    </row>
    <row r="323" spans="17:17" ht="15.75" customHeight="1" x14ac:dyDescent="0.25">
      <c r="Q323" s="61"/>
    </row>
    <row r="324" spans="17:17" ht="15.75" customHeight="1" x14ac:dyDescent="0.25">
      <c r="Q324" s="61"/>
    </row>
    <row r="325" spans="17:17" ht="15.75" customHeight="1" x14ac:dyDescent="0.25">
      <c r="Q325" s="61"/>
    </row>
    <row r="326" spans="17:17" ht="15.75" customHeight="1" x14ac:dyDescent="0.25">
      <c r="Q326" s="61"/>
    </row>
    <row r="327" spans="17:17" ht="15.75" customHeight="1" x14ac:dyDescent="0.25">
      <c r="Q327" s="61"/>
    </row>
    <row r="328" spans="17:17" ht="15.75" customHeight="1" x14ac:dyDescent="0.25">
      <c r="Q328" s="61"/>
    </row>
    <row r="329" spans="17:17" ht="15.75" customHeight="1" x14ac:dyDescent="0.25">
      <c r="Q329" s="61"/>
    </row>
    <row r="330" spans="17:17" ht="15.75" customHeight="1" x14ac:dyDescent="0.25">
      <c r="Q330" s="61"/>
    </row>
    <row r="331" spans="17:17" ht="15.75" customHeight="1" x14ac:dyDescent="0.25">
      <c r="Q331" s="61"/>
    </row>
    <row r="332" spans="17:17" ht="15.75" customHeight="1" x14ac:dyDescent="0.25">
      <c r="Q332" s="61"/>
    </row>
    <row r="333" spans="17:17" ht="15.75" customHeight="1" x14ac:dyDescent="0.25">
      <c r="Q333" s="61"/>
    </row>
    <row r="334" spans="17:17" ht="15.75" customHeight="1" x14ac:dyDescent="0.25">
      <c r="Q334" s="61"/>
    </row>
    <row r="335" spans="17:17" ht="15.75" customHeight="1" x14ac:dyDescent="0.25">
      <c r="Q335" s="61"/>
    </row>
    <row r="336" spans="17:17" ht="15.75" customHeight="1" x14ac:dyDescent="0.25">
      <c r="Q336" s="61"/>
    </row>
    <row r="337" spans="17:17" ht="15.75" customHeight="1" x14ac:dyDescent="0.25">
      <c r="Q337" s="61"/>
    </row>
    <row r="338" spans="17:17" ht="15.75" customHeight="1" x14ac:dyDescent="0.25">
      <c r="Q338" s="61"/>
    </row>
    <row r="339" spans="17:17" ht="15.75" customHeight="1" x14ac:dyDescent="0.25">
      <c r="Q339" s="61"/>
    </row>
    <row r="340" spans="17:17" ht="15.75" customHeight="1" x14ac:dyDescent="0.25">
      <c r="Q340" s="61"/>
    </row>
    <row r="341" spans="17:17" ht="15.75" customHeight="1" x14ac:dyDescent="0.25">
      <c r="Q341" s="61"/>
    </row>
    <row r="342" spans="17:17" ht="15.75" customHeight="1" x14ac:dyDescent="0.25">
      <c r="Q342" s="61"/>
    </row>
    <row r="343" spans="17:17" ht="15.75" customHeight="1" x14ac:dyDescent="0.25">
      <c r="Q343" s="61"/>
    </row>
    <row r="344" spans="17:17" ht="15.75" customHeight="1" x14ac:dyDescent="0.25">
      <c r="Q344" s="61"/>
    </row>
    <row r="345" spans="17:17" ht="15.75" customHeight="1" x14ac:dyDescent="0.25">
      <c r="Q345" s="61"/>
    </row>
    <row r="346" spans="17:17" ht="15.75" customHeight="1" x14ac:dyDescent="0.25">
      <c r="Q346" s="61"/>
    </row>
    <row r="347" spans="17:17" ht="15.75" customHeight="1" x14ac:dyDescent="0.25">
      <c r="Q347" s="61"/>
    </row>
    <row r="348" spans="17:17" ht="15.75" customHeight="1" x14ac:dyDescent="0.25">
      <c r="Q348" s="61"/>
    </row>
    <row r="349" spans="17:17" ht="15.75" customHeight="1" x14ac:dyDescent="0.25">
      <c r="Q349" s="61"/>
    </row>
    <row r="350" spans="17:17" ht="15.75" customHeight="1" x14ac:dyDescent="0.25">
      <c r="Q350" s="61"/>
    </row>
    <row r="351" spans="17:17" ht="15.75" customHeight="1" x14ac:dyDescent="0.25">
      <c r="Q351" s="61"/>
    </row>
    <row r="352" spans="17:17" ht="15.75" customHeight="1" x14ac:dyDescent="0.25">
      <c r="Q352" s="61"/>
    </row>
    <row r="353" spans="17:17" ht="15.75" customHeight="1" x14ac:dyDescent="0.25">
      <c r="Q353" s="61"/>
    </row>
    <row r="354" spans="17:17" ht="15.75" customHeight="1" x14ac:dyDescent="0.25">
      <c r="Q354" s="61"/>
    </row>
    <row r="355" spans="17:17" ht="15.75" customHeight="1" x14ac:dyDescent="0.25">
      <c r="Q355" s="61"/>
    </row>
    <row r="356" spans="17:17" ht="15.75" customHeight="1" x14ac:dyDescent="0.25">
      <c r="Q356" s="61"/>
    </row>
    <row r="357" spans="17:17" ht="15.75" customHeight="1" x14ac:dyDescent="0.25">
      <c r="Q357" s="61"/>
    </row>
    <row r="358" spans="17:17" ht="15.75" customHeight="1" x14ac:dyDescent="0.25">
      <c r="Q358" s="61"/>
    </row>
    <row r="359" spans="17:17" ht="15.75" customHeight="1" x14ac:dyDescent="0.25">
      <c r="Q359" s="61"/>
    </row>
    <row r="360" spans="17:17" ht="15.75" customHeight="1" x14ac:dyDescent="0.25">
      <c r="Q360" s="61"/>
    </row>
    <row r="361" spans="17:17" ht="15.75" customHeight="1" x14ac:dyDescent="0.25">
      <c r="Q361" s="61"/>
    </row>
    <row r="362" spans="17:17" ht="15.75" customHeight="1" x14ac:dyDescent="0.25">
      <c r="Q362" s="61"/>
    </row>
    <row r="363" spans="17:17" ht="15.75" customHeight="1" x14ac:dyDescent="0.25">
      <c r="Q363" s="61"/>
    </row>
    <row r="364" spans="17:17" ht="15.75" customHeight="1" x14ac:dyDescent="0.25">
      <c r="Q364" s="61"/>
    </row>
    <row r="365" spans="17:17" ht="15.75" customHeight="1" x14ac:dyDescent="0.25">
      <c r="Q365" s="61"/>
    </row>
    <row r="366" spans="17:17" ht="15.75" customHeight="1" x14ac:dyDescent="0.25">
      <c r="Q366" s="61"/>
    </row>
    <row r="367" spans="17:17" ht="15.75" customHeight="1" x14ac:dyDescent="0.25">
      <c r="Q367" s="61"/>
    </row>
    <row r="368" spans="17:17" ht="15.75" customHeight="1" x14ac:dyDescent="0.25">
      <c r="Q368" s="61"/>
    </row>
    <row r="369" spans="17:17" ht="15.75" customHeight="1" x14ac:dyDescent="0.25">
      <c r="Q369" s="61"/>
    </row>
    <row r="370" spans="17:17" ht="15.75" customHeight="1" x14ac:dyDescent="0.25">
      <c r="Q370" s="61"/>
    </row>
    <row r="371" spans="17:17" ht="15.75" customHeight="1" x14ac:dyDescent="0.25">
      <c r="Q371" s="61"/>
    </row>
    <row r="372" spans="17:17" ht="15.75" customHeight="1" x14ac:dyDescent="0.25">
      <c r="Q372" s="61"/>
    </row>
    <row r="373" spans="17:17" ht="15.75" customHeight="1" x14ac:dyDescent="0.25">
      <c r="Q373" s="61"/>
    </row>
    <row r="374" spans="17:17" ht="15.75" customHeight="1" x14ac:dyDescent="0.25">
      <c r="Q374" s="61"/>
    </row>
    <row r="375" spans="17:17" ht="15.75" customHeight="1" x14ac:dyDescent="0.25">
      <c r="Q375" s="61"/>
    </row>
    <row r="376" spans="17:17" ht="15.75" customHeight="1" x14ac:dyDescent="0.25">
      <c r="Q376" s="61"/>
    </row>
    <row r="377" spans="17:17" ht="15.75" customHeight="1" x14ac:dyDescent="0.25">
      <c r="Q377" s="61"/>
    </row>
    <row r="378" spans="17:17" ht="15.75" customHeight="1" x14ac:dyDescent="0.25">
      <c r="Q378" s="61"/>
    </row>
    <row r="379" spans="17:17" ht="15.75" customHeight="1" x14ac:dyDescent="0.25">
      <c r="Q379" s="61"/>
    </row>
    <row r="380" spans="17:17" ht="15.75" customHeight="1" x14ac:dyDescent="0.25">
      <c r="Q380" s="61"/>
    </row>
    <row r="381" spans="17:17" ht="15.75" customHeight="1" x14ac:dyDescent="0.25">
      <c r="Q381" s="61"/>
    </row>
    <row r="382" spans="17:17" ht="15.75" customHeight="1" x14ac:dyDescent="0.25">
      <c r="Q382" s="61"/>
    </row>
    <row r="383" spans="17:17" ht="15.75" customHeight="1" x14ac:dyDescent="0.25">
      <c r="Q383" s="61"/>
    </row>
    <row r="384" spans="17:17" ht="15.75" customHeight="1" x14ac:dyDescent="0.25">
      <c r="Q384" s="61"/>
    </row>
    <row r="385" spans="17:17" ht="15.75" customHeight="1" x14ac:dyDescent="0.25">
      <c r="Q385" s="61"/>
    </row>
    <row r="386" spans="17:17" ht="15.75" customHeight="1" x14ac:dyDescent="0.25">
      <c r="Q386" s="61"/>
    </row>
    <row r="387" spans="17:17" ht="15.75" customHeight="1" x14ac:dyDescent="0.25">
      <c r="Q387" s="61"/>
    </row>
    <row r="388" spans="17:17" ht="15.75" customHeight="1" x14ac:dyDescent="0.25">
      <c r="Q388" s="61"/>
    </row>
    <row r="389" spans="17:17" ht="15.75" customHeight="1" x14ac:dyDescent="0.25">
      <c r="Q389" s="61"/>
    </row>
    <row r="390" spans="17:17" ht="15.75" customHeight="1" x14ac:dyDescent="0.25">
      <c r="Q390" s="61"/>
    </row>
    <row r="391" spans="17:17" ht="15.75" customHeight="1" x14ac:dyDescent="0.25">
      <c r="Q391" s="61"/>
    </row>
    <row r="392" spans="17:17" ht="15.75" customHeight="1" x14ac:dyDescent="0.25">
      <c r="Q392" s="61"/>
    </row>
    <row r="393" spans="17:17" ht="15.75" customHeight="1" x14ac:dyDescent="0.25">
      <c r="Q393" s="61"/>
    </row>
    <row r="394" spans="17:17" ht="15.75" customHeight="1" x14ac:dyDescent="0.25">
      <c r="Q394" s="61"/>
    </row>
    <row r="395" spans="17:17" ht="15.75" customHeight="1" x14ac:dyDescent="0.25">
      <c r="Q395" s="61"/>
    </row>
    <row r="396" spans="17:17" ht="15.75" customHeight="1" x14ac:dyDescent="0.25">
      <c r="Q396" s="61"/>
    </row>
    <row r="397" spans="17:17" ht="15.75" customHeight="1" x14ac:dyDescent="0.25">
      <c r="Q397" s="61"/>
    </row>
    <row r="398" spans="17:17" ht="15.75" customHeight="1" x14ac:dyDescent="0.25">
      <c r="Q398" s="61"/>
    </row>
    <row r="399" spans="17:17" ht="15.75" customHeight="1" x14ac:dyDescent="0.25">
      <c r="Q399" s="61"/>
    </row>
    <row r="400" spans="17:17" ht="15.75" customHeight="1" x14ac:dyDescent="0.25">
      <c r="Q400" s="61"/>
    </row>
    <row r="401" spans="17:17" ht="15.75" customHeight="1" x14ac:dyDescent="0.25">
      <c r="Q401" s="61"/>
    </row>
    <row r="402" spans="17:17" ht="15.75" customHeight="1" x14ac:dyDescent="0.25">
      <c r="Q402" s="61"/>
    </row>
    <row r="403" spans="17:17" ht="15.75" customHeight="1" x14ac:dyDescent="0.25">
      <c r="Q403" s="61"/>
    </row>
    <row r="404" spans="17:17" ht="15.75" customHeight="1" x14ac:dyDescent="0.25">
      <c r="Q404" s="61"/>
    </row>
    <row r="405" spans="17:17" ht="15.75" customHeight="1" x14ac:dyDescent="0.25">
      <c r="Q405" s="61"/>
    </row>
    <row r="406" spans="17:17" ht="15.75" customHeight="1" x14ac:dyDescent="0.25">
      <c r="Q406" s="61"/>
    </row>
    <row r="407" spans="17:17" ht="15.75" customHeight="1" x14ac:dyDescent="0.25">
      <c r="Q407" s="61"/>
    </row>
    <row r="408" spans="17:17" ht="15.75" customHeight="1" x14ac:dyDescent="0.25">
      <c r="Q408" s="61"/>
    </row>
    <row r="409" spans="17:17" ht="15.75" customHeight="1" x14ac:dyDescent="0.25">
      <c r="Q409" s="61"/>
    </row>
    <row r="410" spans="17:17" ht="15.75" customHeight="1" x14ac:dyDescent="0.25">
      <c r="Q410" s="61"/>
    </row>
    <row r="411" spans="17:17" ht="15.75" customHeight="1" x14ac:dyDescent="0.25">
      <c r="Q411" s="61"/>
    </row>
    <row r="412" spans="17:17" ht="15.75" customHeight="1" x14ac:dyDescent="0.25">
      <c r="Q412" s="61"/>
    </row>
    <row r="413" spans="17:17" ht="15.75" customHeight="1" x14ac:dyDescent="0.25">
      <c r="Q413" s="61"/>
    </row>
    <row r="414" spans="17:17" ht="15.75" customHeight="1" x14ac:dyDescent="0.25">
      <c r="Q414" s="61"/>
    </row>
    <row r="415" spans="17:17" ht="15.75" customHeight="1" x14ac:dyDescent="0.25">
      <c r="Q415" s="61"/>
    </row>
    <row r="416" spans="17:17" ht="15.75" customHeight="1" x14ac:dyDescent="0.25">
      <c r="Q416" s="61"/>
    </row>
    <row r="417" spans="17:17" ht="15.75" customHeight="1" x14ac:dyDescent="0.25">
      <c r="Q417" s="61"/>
    </row>
    <row r="418" spans="17:17" ht="15.75" customHeight="1" x14ac:dyDescent="0.25">
      <c r="Q418" s="61"/>
    </row>
    <row r="419" spans="17:17" ht="15.75" customHeight="1" x14ac:dyDescent="0.25">
      <c r="Q419" s="61"/>
    </row>
    <row r="420" spans="17:17" ht="15.75" customHeight="1" x14ac:dyDescent="0.25">
      <c r="Q420" s="61"/>
    </row>
    <row r="421" spans="17:17" ht="15.75" customHeight="1" x14ac:dyDescent="0.25">
      <c r="Q421" s="61"/>
    </row>
    <row r="422" spans="17:17" ht="15.75" customHeight="1" x14ac:dyDescent="0.25">
      <c r="Q422" s="61"/>
    </row>
    <row r="423" spans="17:17" ht="15.75" customHeight="1" x14ac:dyDescent="0.25">
      <c r="Q423" s="61"/>
    </row>
    <row r="424" spans="17:17" ht="15.75" customHeight="1" x14ac:dyDescent="0.25">
      <c r="Q424" s="61"/>
    </row>
    <row r="425" spans="17:17" ht="15.75" customHeight="1" x14ac:dyDescent="0.25">
      <c r="Q425" s="61"/>
    </row>
    <row r="426" spans="17:17" ht="15.75" customHeight="1" x14ac:dyDescent="0.25">
      <c r="Q426" s="61"/>
    </row>
    <row r="427" spans="17:17" ht="15.75" customHeight="1" x14ac:dyDescent="0.25">
      <c r="Q427" s="61"/>
    </row>
    <row r="428" spans="17:17" ht="15.75" customHeight="1" x14ac:dyDescent="0.25">
      <c r="Q428" s="61"/>
    </row>
    <row r="429" spans="17:17" ht="15.75" customHeight="1" x14ac:dyDescent="0.25">
      <c r="Q429" s="61"/>
    </row>
    <row r="430" spans="17:17" ht="15.75" customHeight="1" x14ac:dyDescent="0.25">
      <c r="Q430" s="61"/>
    </row>
    <row r="431" spans="17:17" ht="15.75" customHeight="1" x14ac:dyDescent="0.25">
      <c r="Q431" s="61"/>
    </row>
    <row r="432" spans="17:17" ht="15.75" customHeight="1" x14ac:dyDescent="0.25">
      <c r="Q432" s="61"/>
    </row>
    <row r="433" spans="17:17" ht="15.75" customHeight="1" x14ac:dyDescent="0.25">
      <c r="Q433" s="61"/>
    </row>
    <row r="434" spans="17:17" ht="15.75" customHeight="1" x14ac:dyDescent="0.25">
      <c r="Q434" s="61"/>
    </row>
    <row r="435" spans="17:17" ht="15.75" customHeight="1" x14ac:dyDescent="0.25">
      <c r="Q435" s="61"/>
    </row>
    <row r="436" spans="17:17" ht="15.75" customHeight="1" x14ac:dyDescent="0.25">
      <c r="Q436" s="61"/>
    </row>
    <row r="437" spans="17:17" ht="15.75" customHeight="1" x14ac:dyDescent="0.25">
      <c r="Q437" s="61"/>
    </row>
    <row r="438" spans="17:17" ht="15.75" customHeight="1" x14ac:dyDescent="0.25">
      <c r="Q438" s="61"/>
    </row>
    <row r="439" spans="17:17" ht="15.75" customHeight="1" x14ac:dyDescent="0.25">
      <c r="Q439" s="61"/>
    </row>
    <row r="440" spans="17:17" ht="15.75" customHeight="1" x14ac:dyDescent="0.25">
      <c r="Q440" s="61"/>
    </row>
    <row r="441" spans="17:17" ht="15.75" customHeight="1" x14ac:dyDescent="0.25">
      <c r="Q441" s="61"/>
    </row>
    <row r="442" spans="17:17" ht="15.75" customHeight="1" x14ac:dyDescent="0.25">
      <c r="Q442" s="61"/>
    </row>
    <row r="443" spans="17:17" ht="15.75" customHeight="1" x14ac:dyDescent="0.25">
      <c r="Q443" s="61"/>
    </row>
    <row r="444" spans="17:17" ht="15.75" customHeight="1" x14ac:dyDescent="0.25">
      <c r="Q444" s="61"/>
    </row>
    <row r="445" spans="17:17" ht="15.75" customHeight="1" x14ac:dyDescent="0.25">
      <c r="Q445" s="61"/>
    </row>
    <row r="446" spans="17:17" ht="15.75" customHeight="1" x14ac:dyDescent="0.25">
      <c r="Q446" s="61"/>
    </row>
    <row r="447" spans="17:17" ht="15.75" customHeight="1" x14ac:dyDescent="0.25">
      <c r="Q447" s="61"/>
    </row>
    <row r="448" spans="17:17" ht="15.75" customHeight="1" x14ac:dyDescent="0.25">
      <c r="Q448" s="61"/>
    </row>
    <row r="449" spans="17:17" ht="15.75" customHeight="1" x14ac:dyDescent="0.25">
      <c r="Q449" s="61"/>
    </row>
    <row r="450" spans="17:17" ht="15.75" customHeight="1" x14ac:dyDescent="0.25">
      <c r="Q450" s="61"/>
    </row>
    <row r="451" spans="17:17" ht="15.75" customHeight="1" x14ac:dyDescent="0.25">
      <c r="Q451" s="61"/>
    </row>
    <row r="452" spans="17:17" ht="15.75" customHeight="1" x14ac:dyDescent="0.25">
      <c r="Q452" s="61"/>
    </row>
    <row r="453" spans="17:17" ht="15.75" customHeight="1" x14ac:dyDescent="0.25">
      <c r="Q453" s="61"/>
    </row>
    <row r="454" spans="17:17" ht="15.75" customHeight="1" x14ac:dyDescent="0.25">
      <c r="Q454" s="61"/>
    </row>
    <row r="455" spans="17:17" ht="15.75" customHeight="1" x14ac:dyDescent="0.25">
      <c r="Q455" s="61"/>
    </row>
    <row r="456" spans="17:17" ht="15.75" customHeight="1" x14ac:dyDescent="0.25">
      <c r="Q456" s="61"/>
    </row>
    <row r="457" spans="17:17" ht="15.75" customHeight="1" x14ac:dyDescent="0.25">
      <c r="Q457" s="61"/>
    </row>
    <row r="458" spans="17:17" ht="15.75" customHeight="1" x14ac:dyDescent="0.25">
      <c r="Q458" s="61"/>
    </row>
    <row r="459" spans="17:17" ht="15.75" customHeight="1" x14ac:dyDescent="0.25">
      <c r="Q459" s="61"/>
    </row>
    <row r="460" spans="17:17" ht="15.75" customHeight="1" x14ac:dyDescent="0.25">
      <c r="Q460" s="61"/>
    </row>
    <row r="461" spans="17:17" ht="15.75" customHeight="1" x14ac:dyDescent="0.25">
      <c r="Q461" s="61"/>
    </row>
    <row r="462" spans="17:17" ht="15.75" customHeight="1" x14ac:dyDescent="0.25">
      <c r="Q462" s="61"/>
    </row>
    <row r="463" spans="17:17" ht="15.75" customHeight="1" x14ac:dyDescent="0.25">
      <c r="Q463" s="61"/>
    </row>
    <row r="464" spans="17:17" ht="15.75" customHeight="1" x14ac:dyDescent="0.25">
      <c r="Q464" s="61"/>
    </row>
    <row r="465" spans="17:17" ht="15.75" customHeight="1" x14ac:dyDescent="0.25">
      <c r="Q465" s="61"/>
    </row>
    <row r="466" spans="17:17" ht="15.75" customHeight="1" x14ac:dyDescent="0.25">
      <c r="Q466" s="61"/>
    </row>
    <row r="467" spans="17:17" ht="15.75" customHeight="1" x14ac:dyDescent="0.25">
      <c r="Q467" s="61"/>
    </row>
    <row r="468" spans="17:17" ht="15.75" customHeight="1" x14ac:dyDescent="0.25">
      <c r="Q468" s="61"/>
    </row>
    <row r="469" spans="17:17" ht="15.75" customHeight="1" x14ac:dyDescent="0.25">
      <c r="Q469" s="61"/>
    </row>
    <row r="470" spans="17:17" ht="15.75" customHeight="1" x14ac:dyDescent="0.25">
      <c r="Q470" s="61"/>
    </row>
    <row r="471" spans="17:17" ht="15.75" customHeight="1" x14ac:dyDescent="0.25">
      <c r="Q471" s="61"/>
    </row>
    <row r="472" spans="17:17" ht="15.75" customHeight="1" x14ac:dyDescent="0.25">
      <c r="Q472" s="61"/>
    </row>
    <row r="473" spans="17:17" ht="15.75" customHeight="1" x14ac:dyDescent="0.25">
      <c r="Q473" s="61"/>
    </row>
    <row r="474" spans="17:17" ht="15.75" customHeight="1" x14ac:dyDescent="0.25">
      <c r="Q474" s="61"/>
    </row>
    <row r="475" spans="17:17" ht="15.75" customHeight="1" x14ac:dyDescent="0.25">
      <c r="Q475" s="61"/>
    </row>
    <row r="476" spans="17:17" ht="15.75" customHeight="1" x14ac:dyDescent="0.25">
      <c r="Q476" s="61"/>
    </row>
    <row r="477" spans="17:17" ht="15.75" customHeight="1" x14ac:dyDescent="0.25">
      <c r="Q477" s="61"/>
    </row>
    <row r="478" spans="17:17" ht="15.75" customHeight="1" x14ac:dyDescent="0.25">
      <c r="Q478" s="61"/>
    </row>
    <row r="479" spans="17:17" ht="15.75" customHeight="1" x14ac:dyDescent="0.25">
      <c r="Q479" s="61"/>
    </row>
    <row r="480" spans="17:17" ht="15.75" customHeight="1" x14ac:dyDescent="0.25">
      <c r="Q480" s="61"/>
    </row>
    <row r="481" spans="17:17" ht="15.75" customHeight="1" x14ac:dyDescent="0.25">
      <c r="Q481" s="61"/>
    </row>
    <row r="482" spans="17:17" ht="15.75" customHeight="1" x14ac:dyDescent="0.25">
      <c r="Q482" s="61"/>
    </row>
    <row r="483" spans="17:17" ht="15.75" customHeight="1" x14ac:dyDescent="0.25">
      <c r="Q483" s="61"/>
    </row>
    <row r="484" spans="17:17" ht="15.75" customHeight="1" x14ac:dyDescent="0.25">
      <c r="Q484" s="61"/>
    </row>
    <row r="485" spans="17:17" ht="15.75" customHeight="1" x14ac:dyDescent="0.25">
      <c r="Q485" s="61"/>
    </row>
    <row r="486" spans="17:17" ht="15.75" customHeight="1" x14ac:dyDescent="0.25">
      <c r="Q486" s="61"/>
    </row>
    <row r="487" spans="17:17" ht="15.75" customHeight="1" x14ac:dyDescent="0.25">
      <c r="Q487" s="61"/>
    </row>
    <row r="488" spans="17:17" ht="15.75" customHeight="1" x14ac:dyDescent="0.25">
      <c r="Q488" s="61"/>
    </row>
    <row r="489" spans="17:17" ht="15.75" customHeight="1" x14ac:dyDescent="0.25">
      <c r="Q489" s="61"/>
    </row>
    <row r="490" spans="17:17" ht="15.75" customHeight="1" x14ac:dyDescent="0.25">
      <c r="Q490" s="61"/>
    </row>
    <row r="491" spans="17:17" ht="15.75" customHeight="1" x14ac:dyDescent="0.25">
      <c r="Q491" s="61"/>
    </row>
    <row r="492" spans="17:17" ht="15.75" customHeight="1" x14ac:dyDescent="0.25">
      <c r="Q492" s="61"/>
    </row>
    <row r="493" spans="17:17" ht="15.75" customHeight="1" x14ac:dyDescent="0.25">
      <c r="Q493" s="61"/>
    </row>
    <row r="494" spans="17:17" ht="15.75" customHeight="1" x14ac:dyDescent="0.25">
      <c r="Q494" s="61"/>
    </row>
    <row r="495" spans="17:17" ht="15.75" customHeight="1" x14ac:dyDescent="0.25">
      <c r="Q495" s="61"/>
    </row>
    <row r="496" spans="17:17" ht="15.75" customHeight="1" x14ac:dyDescent="0.25">
      <c r="Q496" s="61"/>
    </row>
    <row r="497" spans="17:17" ht="15.75" customHeight="1" x14ac:dyDescent="0.25">
      <c r="Q497" s="61"/>
    </row>
    <row r="498" spans="17:17" ht="15.75" customHeight="1" x14ac:dyDescent="0.25">
      <c r="Q498" s="61"/>
    </row>
    <row r="499" spans="17:17" ht="15.75" customHeight="1" x14ac:dyDescent="0.25">
      <c r="Q499" s="61"/>
    </row>
    <row r="500" spans="17:17" ht="15.75" customHeight="1" x14ac:dyDescent="0.25">
      <c r="Q500" s="61"/>
    </row>
    <row r="501" spans="17:17" ht="15.75" customHeight="1" x14ac:dyDescent="0.25">
      <c r="Q501" s="61"/>
    </row>
    <row r="502" spans="17:17" ht="15.75" customHeight="1" x14ac:dyDescent="0.25">
      <c r="Q502" s="61"/>
    </row>
    <row r="503" spans="17:17" ht="15.75" customHeight="1" x14ac:dyDescent="0.25">
      <c r="Q503" s="61"/>
    </row>
    <row r="504" spans="17:17" ht="15.75" customHeight="1" x14ac:dyDescent="0.25">
      <c r="Q504" s="61"/>
    </row>
    <row r="505" spans="17:17" ht="15.75" customHeight="1" x14ac:dyDescent="0.25">
      <c r="Q505" s="61"/>
    </row>
    <row r="506" spans="17:17" ht="15.75" customHeight="1" x14ac:dyDescent="0.25">
      <c r="Q506" s="61"/>
    </row>
    <row r="507" spans="17:17" ht="15.75" customHeight="1" x14ac:dyDescent="0.25">
      <c r="Q507" s="61"/>
    </row>
    <row r="508" spans="17:17" ht="15.75" customHeight="1" x14ac:dyDescent="0.25">
      <c r="Q508" s="61"/>
    </row>
    <row r="509" spans="17:17" ht="15.75" customHeight="1" x14ac:dyDescent="0.25">
      <c r="Q509" s="61"/>
    </row>
    <row r="510" spans="17:17" ht="15.75" customHeight="1" x14ac:dyDescent="0.25">
      <c r="Q510" s="61"/>
    </row>
    <row r="511" spans="17:17" ht="15.75" customHeight="1" x14ac:dyDescent="0.25">
      <c r="Q511" s="61"/>
    </row>
    <row r="512" spans="17:17" ht="15.75" customHeight="1" x14ac:dyDescent="0.25">
      <c r="Q512" s="61"/>
    </row>
    <row r="513" spans="17:17" ht="15.75" customHeight="1" x14ac:dyDescent="0.25">
      <c r="Q513" s="61"/>
    </row>
    <row r="514" spans="17:17" ht="15.75" customHeight="1" x14ac:dyDescent="0.25">
      <c r="Q514" s="61"/>
    </row>
    <row r="515" spans="17:17" ht="15.75" customHeight="1" x14ac:dyDescent="0.25">
      <c r="Q515" s="61"/>
    </row>
    <row r="516" spans="17:17" ht="15.75" customHeight="1" x14ac:dyDescent="0.25">
      <c r="Q516" s="61"/>
    </row>
    <row r="517" spans="17:17" ht="15.75" customHeight="1" x14ac:dyDescent="0.25">
      <c r="Q517" s="61"/>
    </row>
    <row r="518" spans="17:17" ht="15.75" customHeight="1" x14ac:dyDescent="0.25">
      <c r="Q518" s="61"/>
    </row>
    <row r="519" spans="17:17" ht="15.75" customHeight="1" x14ac:dyDescent="0.25">
      <c r="Q519" s="61"/>
    </row>
    <row r="520" spans="17:17" ht="15.75" customHeight="1" x14ac:dyDescent="0.25">
      <c r="Q520" s="61"/>
    </row>
    <row r="521" spans="17:17" ht="15.75" customHeight="1" x14ac:dyDescent="0.25">
      <c r="Q521" s="61"/>
    </row>
    <row r="522" spans="17:17" ht="15.75" customHeight="1" x14ac:dyDescent="0.25">
      <c r="Q522" s="61"/>
    </row>
    <row r="523" spans="17:17" ht="15.75" customHeight="1" x14ac:dyDescent="0.25">
      <c r="Q523" s="61"/>
    </row>
    <row r="524" spans="17:17" ht="15.75" customHeight="1" x14ac:dyDescent="0.25">
      <c r="Q524" s="61"/>
    </row>
    <row r="525" spans="17:17" ht="15.75" customHeight="1" x14ac:dyDescent="0.25">
      <c r="Q525" s="61"/>
    </row>
    <row r="526" spans="17:17" ht="15.75" customHeight="1" x14ac:dyDescent="0.25">
      <c r="Q526" s="61"/>
    </row>
    <row r="527" spans="17:17" ht="15.75" customHeight="1" x14ac:dyDescent="0.25">
      <c r="Q527" s="61"/>
    </row>
    <row r="528" spans="17:17" ht="15.75" customHeight="1" x14ac:dyDescent="0.25">
      <c r="Q528" s="61"/>
    </row>
    <row r="529" spans="17:17" ht="15.75" customHeight="1" x14ac:dyDescent="0.25">
      <c r="Q529" s="61"/>
    </row>
    <row r="530" spans="17:17" ht="15.75" customHeight="1" x14ac:dyDescent="0.25">
      <c r="Q530" s="61"/>
    </row>
    <row r="531" spans="17:17" ht="15.75" customHeight="1" x14ac:dyDescent="0.25">
      <c r="Q531" s="61"/>
    </row>
    <row r="532" spans="17:17" ht="15.75" customHeight="1" x14ac:dyDescent="0.25">
      <c r="Q532" s="61"/>
    </row>
    <row r="533" spans="17:17" ht="15.75" customHeight="1" x14ac:dyDescent="0.25">
      <c r="Q533" s="61"/>
    </row>
    <row r="534" spans="17:17" ht="15.75" customHeight="1" x14ac:dyDescent="0.25">
      <c r="Q534" s="61"/>
    </row>
    <row r="535" spans="17:17" ht="15.75" customHeight="1" x14ac:dyDescent="0.25">
      <c r="Q535" s="61"/>
    </row>
    <row r="536" spans="17:17" ht="15.75" customHeight="1" x14ac:dyDescent="0.25">
      <c r="Q536" s="61"/>
    </row>
    <row r="537" spans="17:17" ht="15.75" customHeight="1" x14ac:dyDescent="0.25">
      <c r="Q537" s="61"/>
    </row>
    <row r="538" spans="17:17" ht="15.75" customHeight="1" x14ac:dyDescent="0.25">
      <c r="Q538" s="61"/>
    </row>
    <row r="539" spans="17:17" ht="15.75" customHeight="1" x14ac:dyDescent="0.25">
      <c r="Q539" s="61"/>
    </row>
    <row r="540" spans="17:17" ht="15.75" customHeight="1" x14ac:dyDescent="0.25">
      <c r="Q540" s="61"/>
    </row>
    <row r="541" spans="17:17" ht="15.75" customHeight="1" x14ac:dyDescent="0.25">
      <c r="Q541" s="61"/>
    </row>
    <row r="542" spans="17:17" ht="15.75" customHeight="1" x14ac:dyDescent="0.25">
      <c r="Q542" s="61"/>
    </row>
    <row r="543" spans="17:17" ht="15.75" customHeight="1" x14ac:dyDescent="0.25">
      <c r="Q543" s="61"/>
    </row>
    <row r="544" spans="17:17" ht="15.75" customHeight="1" x14ac:dyDescent="0.25">
      <c r="Q544" s="61"/>
    </row>
    <row r="545" spans="17:17" ht="15.75" customHeight="1" x14ac:dyDescent="0.25">
      <c r="Q545" s="61"/>
    </row>
    <row r="546" spans="17:17" ht="15.75" customHeight="1" x14ac:dyDescent="0.25">
      <c r="Q546" s="61"/>
    </row>
    <row r="547" spans="17:17" ht="15.75" customHeight="1" x14ac:dyDescent="0.25">
      <c r="Q547" s="61"/>
    </row>
    <row r="548" spans="17:17" ht="15.75" customHeight="1" x14ac:dyDescent="0.25">
      <c r="Q548" s="61"/>
    </row>
    <row r="549" spans="17:17" ht="15.75" customHeight="1" x14ac:dyDescent="0.25">
      <c r="Q549" s="61"/>
    </row>
    <row r="550" spans="17:17" ht="15.75" customHeight="1" x14ac:dyDescent="0.25">
      <c r="Q550" s="61"/>
    </row>
    <row r="551" spans="17:17" ht="15.75" customHeight="1" x14ac:dyDescent="0.25">
      <c r="Q551" s="61"/>
    </row>
    <row r="552" spans="17:17" ht="15.75" customHeight="1" x14ac:dyDescent="0.25">
      <c r="Q552" s="61"/>
    </row>
    <row r="553" spans="17:17" ht="15.75" customHeight="1" x14ac:dyDescent="0.25">
      <c r="Q553" s="61"/>
    </row>
    <row r="554" spans="17:17" ht="15.75" customHeight="1" x14ac:dyDescent="0.25">
      <c r="Q554" s="61"/>
    </row>
    <row r="555" spans="17:17" ht="15.75" customHeight="1" x14ac:dyDescent="0.25">
      <c r="Q555" s="61"/>
    </row>
    <row r="556" spans="17:17" ht="15.75" customHeight="1" x14ac:dyDescent="0.25">
      <c r="Q556" s="61"/>
    </row>
    <row r="557" spans="17:17" ht="15.75" customHeight="1" x14ac:dyDescent="0.25">
      <c r="Q557" s="61"/>
    </row>
    <row r="558" spans="17:17" ht="15.75" customHeight="1" x14ac:dyDescent="0.25">
      <c r="Q558" s="61"/>
    </row>
    <row r="559" spans="17:17" ht="15.75" customHeight="1" x14ac:dyDescent="0.25">
      <c r="Q559" s="61"/>
    </row>
    <row r="560" spans="17:17" ht="15.75" customHeight="1" x14ac:dyDescent="0.25">
      <c r="Q560" s="61"/>
    </row>
    <row r="561" spans="17:17" ht="15.75" customHeight="1" x14ac:dyDescent="0.25">
      <c r="Q561" s="61"/>
    </row>
    <row r="562" spans="17:17" ht="15.75" customHeight="1" x14ac:dyDescent="0.25">
      <c r="Q562" s="61"/>
    </row>
    <row r="563" spans="17:17" ht="15.75" customHeight="1" x14ac:dyDescent="0.25">
      <c r="Q563" s="61"/>
    </row>
    <row r="564" spans="17:17" ht="15.75" customHeight="1" x14ac:dyDescent="0.25">
      <c r="Q564" s="61"/>
    </row>
    <row r="565" spans="17:17" ht="15.75" customHeight="1" x14ac:dyDescent="0.25">
      <c r="Q565" s="61"/>
    </row>
    <row r="566" spans="17:17" ht="15.75" customHeight="1" x14ac:dyDescent="0.25">
      <c r="Q566" s="61"/>
    </row>
    <row r="567" spans="17:17" ht="15.75" customHeight="1" x14ac:dyDescent="0.25">
      <c r="Q567" s="61"/>
    </row>
    <row r="568" spans="17:17" ht="15.75" customHeight="1" x14ac:dyDescent="0.25">
      <c r="Q568" s="61"/>
    </row>
    <row r="569" spans="17:17" ht="15.75" customHeight="1" x14ac:dyDescent="0.25">
      <c r="Q569" s="61"/>
    </row>
    <row r="570" spans="17:17" ht="15.75" customHeight="1" x14ac:dyDescent="0.25">
      <c r="Q570" s="61"/>
    </row>
    <row r="571" spans="17:17" ht="15.75" customHeight="1" x14ac:dyDescent="0.25">
      <c r="Q571" s="61"/>
    </row>
    <row r="572" spans="17:17" ht="15.75" customHeight="1" x14ac:dyDescent="0.25">
      <c r="Q572" s="61"/>
    </row>
    <row r="573" spans="17:17" ht="15.75" customHeight="1" x14ac:dyDescent="0.25">
      <c r="Q573" s="61"/>
    </row>
    <row r="574" spans="17:17" ht="15.75" customHeight="1" x14ac:dyDescent="0.25">
      <c r="Q574" s="61"/>
    </row>
    <row r="575" spans="17:17" ht="15.75" customHeight="1" x14ac:dyDescent="0.25">
      <c r="Q575" s="61"/>
    </row>
    <row r="576" spans="17:17" ht="15.75" customHeight="1" x14ac:dyDescent="0.25">
      <c r="Q576" s="61"/>
    </row>
    <row r="577" spans="17:17" ht="15.75" customHeight="1" x14ac:dyDescent="0.25">
      <c r="Q577" s="61"/>
    </row>
    <row r="578" spans="17:17" ht="15.75" customHeight="1" x14ac:dyDescent="0.25">
      <c r="Q578" s="61"/>
    </row>
    <row r="579" spans="17:17" ht="15.75" customHeight="1" x14ac:dyDescent="0.25">
      <c r="Q579" s="61"/>
    </row>
    <row r="580" spans="17:17" ht="15.75" customHeight="1" x14ac:dyDescent="0.25">
      <c r="Q580" s="61"/>
    </row>
    <row r="581" spans="17:17" ht="15.75" customHeight="1" x14ac:dyDescent="0.25">
      <c r="Q581" s="61"/>
    </row>
    <row r="582" spans="17:17" ht="15.75" customHeight="1" x14ac:dyDescent="0.25">
      <c r="Q582" s="61"/>
    </row>
    <row r="583" spans="17:17" ht="15.75" customHeight="1" x14ac:dyDescent="0.25">
      <c r="Q583" s="61"/>
    </row>
    <row r="584" spans="17:17" ht="15.75" customHeight="1" x14ac:dyDescent="0.25">
      <c r="Q584" s="61"/>
    </row>
    <row r="585" spans="17:17" ht="15.75" customHeight="1" x14ac:dyDescent="0.25">
      <c r="Q585" s="61"/>
    </row>
    <row r="586" spans="17:17" ht="15.75" customHeight="1" x14ac:dyDescent="0.25">
      <c r="Q586" s="61"/>
    </row>
    <row r="587" spans="17:17" ht="15.75" customHeight="1" x14ac:dyDescent="0.25">
      <c r="Q587" s="61"/>
    </row>
    <row r="588" spans="17:17" ht="15.75" customHeight="1" x14ac:dyDescent="0.25">
      <c r="Q588" s="61"/>
    </row>
    <row r="589" spans="17:17" ht="15.75" customHeight="1" x14ac:dyDescent="0.25">
      <c r="Q589" s="61"/>
    </row>
    <row r="590" spans="17:17" ht="15.75" customHeight="1" x14ac:dyDescent="0.25">
      <c r="Q590" s="61"/>
    </row>
    <row r="591" spans="17:17" ht="15.75" customHeight="1" x14ac:dyDescent="0.25">
      <c r="Q591" s="61"/>
    </row>
    <row r="592" spans="17:17" ht="15.75" customHeight="1" x14ac:dyDescent="0.25">
      <c r="Q592" s="61"/>
    </row>
    <row r="593" spans="17:17" ht="15.75" customHeight="1" x14ac:dyDescent="0.25">
      <c r="Q593" s="61"/>
    </row>
    <row r="594" spans="17:17" ht="15.75" customHeight="1" x14ac:dyDescent="0.25">
      <c r="Q594" s="61"/>
    </row>
    <row r="595" spans="17:17" ht="15.75" customHeight="1" x14ac:dyDescent="0.25">
      <c r="Q595" s="61"/>
    </row>
    <row r="596" spans="17:17" ht="15.75" customHeight="1" x14ac:dyDescent="0.25">
      <c r="Q596" s="61"/>
    </row>
    <row r="597" spans="17:17" ht="15.75" customHeight="1" x14ac:dyDescent="0.25">
      <c r="Q597" s="61"/>
    </row>
    <row r="598" spans="17:17" ht="15.75" customHeight="1" x14ac:dyDescent="0.25">
      <c r="Q598" s="61"/>
    </row>
    <row r="599" spans="17:17" ht="15.75" customHeight="1" x14ac:dyDescent="0.25">
      <c r="Q599" s="61"/>
    </row>
    <row r="600" spans="17:17" ht="15.75" customHeight="1" x14ac:dyDescent="0.25">
      <c r="Q600" s="61"/>
    </row>
    <row r="601" spans="17:17" ht="15.75" customHeight="1" x14ac:dyDescent="0.25">
      <c r="Q601" s="61"/>
    </row>
    <row r="602" spans="17:17" ht="15.75" customHeight="1" x14ac:dyDescent="0.25">
      <c r="Q602" s="61"/>
    </row>
    <row r="603" spans="17:17" ht="15.75" customHeight="1" x14ac:dyDescent="0.25">
      <c r="Q603" s="61"/>
    </row>
    <row r="604" spans="17:17" ht="15.75" customHeight="1" x14ac:dyDescent="0.25">
      <c r="Q604" s="61"/>
    </row>
    <row r="605" spans="17:17" ht="15.75" customHeight="1" x14ac:dyDescent="0.25">
      <c r="Q605" s="61"/>
    </row>
    <row r="606" spans="17:17" ht="15.75" customHeight="1" x14ac:dyDescent="0.25">
      <c r="Q606" s="61"/>
    </row>
    <row r="607" spans="17:17" ht="15.75" customHeight="1" x14ac:dyDescent="0.25">
      <c r="Q607" s="61"/>
    </row>
    <row r="608" spans="17:17" ht="15.75" customHeight="1" x14ac:dyDescent="0.25">
      <c r="Q608" s="61"/>
    </row>
    <row r="609" spans="17:17" ht="15.75" customHeight="1" x14ac:dyDescent="0.25">
      <c r="Q609" s="61"/>
    </row>
    <row r="610" spans="17:17" ht="15.75" customHeight="1" x14ac:dyDescent="0.25">
      <c r="Q610" s="61"/>
    </row>
    <row r="611" spans="17:17" ht="15.75" customHeight="1" x14ac:dyDescent="0.25">
      <c r="Q611" s="61"/>
    </row>
    <row r="612" spans="17:17" ht="15.75" customHeight="1" x14ac:dyDescent="0.25">
      <c r="Q612" s="61"/>
    </row>
    <row r="613" spans="17:17" ht="15.75" customHeight="1" x14ac:dyDescent="0.25">
      <c r="Q613" s="61"/>
    </row>
    <row r="614" spans="17:17" ht="15.75" customHeight="1" x14ac:dyDescent="0.25">
      <c r="Q614" s="61"/>
    </row>
    <row r="615" spans="17:17" ht="15.75" customHeight="1" x14ac:dyDescent="0.25">
      <c r="Q615" s="61"/>
    </row>
    <row r="616" spans="17:17" ht="15.75" customHeight="1" x14ac:dyDescent="0.25">
      <c r="Q616" s="61"/>
    </row>
    <row r="617" spans="17:17" ht="15.75" customHeight="1" x14ac:dyDescent="0.25">
      <c r="Q617" s="61"/>
    </row>
    <row r="618" spans="17:17" ht="15.75" customHeight="1" x14ac:dyDescent="0.25">
      <c r="Q618" s="61"/>
    </row>
    <row r="619" spans="17:17" ht="15.75" customHeight="1" x14ac:dyDescent="0.25">
      <c r="Q619" s="61"/>
    </row>
    <row r="620" spans="17:17" ht="15.75" customHeight="1" x14ac:dyDescent="0.25">
      <c r="Q620" s="61"/>
    </row>
    <row r="621" spans="17:17" ht="15.75" customHeight="1" x14ac:dyDescent="0.25">
      <c r="Q621" s="61"/>
    </row>
    <row r="622" spans="17:17" ht="15.75" customHeight="1" x14ac:dyDescent="0.25">
      <c r="Q622" s="61"/>
    </row>
    <row r="623" spans="17:17" ht="15.75" customHeight="1" x14ac:dyDescent="0.25">
      <c r="Q623" s="61"/>
    </row>
    <row r="624" spans="17:17" ht="15.75" customHeight="1" x14ac:dyDescent="0.25">
      <c r="Q624" s="61"/>
    </row>
    <row r="625" spans="17:17" ht="15.75" customHeight="1" x14ac:dyDescent="0.25">
      <c r="Q625" s="61"/>
    </row>
    <row r="626" spans="17:17" ht="15.75" customHeight="1" x14ac:dyDescent="0.25">
      <c r="Q626" s="61"/>
    </row>
    <row r="627" spans="17:17" ht="15.75" customHeight="1" x14ac:dyDescent="0.25">
      <c r="Q627" s="61"/>
    </row>
    <row r="628" spans="17:17" ht="15.75" customHeight="1" x14ac:dyDescent="0.25">
      <c r="Q628" s="61"/>
    </row>
    <row r="629" spans="17:17" ht="15.75" customHeight="1" x14ac:dyDescent="0.25">
      <c r="Q629" s="61"/>
    </row>
    <row r="630" spans="17:17" ht="15.75" customHeight="1" x14ac:dyDescent="0.25">
      <c r="Q630" s="61"/>
    </row>
    <row r="631" spans="17:17" ht="15.75" customHeight="1" x14ac:dyDescent="0.25">
      <c r="Q631" s="61"/>
    </row>
    <row r="632" spans="17:17" ht="15.75" customHeight="1" x14ac:dyDescent="0.25">
      <c r="Q632" s="61"/>
    </row>
    <row r="633" spans="17:17" ht="15.75" customHeight="1" x14ac:dyDescent="0.25">
      <c r="Q633" s="61"/>
    </row>
    <row r="634" spans="17:17" ht="15.75" customHeight="1" x14ac:dyDescent="0.25">
      <c r="Q634" s="61"/>
    </row>
    <row r="635" spans="17:17" ht="15.75" customHeight="1" x14ac:dyDescent="0.25">
      <c r="Q635" s="61"/>
    </row>
    <row r="636" spans="17:17" ht="15.75" customHeight="1" x14ac:dyDescent="0.25">
      <c r="Q636" s="61"/>
    </row>
    <row r="637" spans="17:17" ht="15.75" customHeight="1" x14ac:dyDescent="0.25">
      <c r="Q637" s="61"/>
    </row>
    <row r="638" spans="17:17" ht="15.75" customHeight="1" x14ac:dyDescent="0.25">
      <c r="Q638" s="61"/>
    </row>
    <row r="639" spans="17:17" ht="15.75" customHeight="1" x14ac:dyDescent="0.25">
      <c r="Q639" s="61"/>
    </row>
    <row r="640" spans="17:17" ht="15.75" customHeight="1" x14ac:dyDescent="0.25">
      <c r="Q640" s="61"/>
    </row>
    <row r="641" spans="17:17" ht="15.75" customHeight="1" x14ac:dyDescent="0.25">
      <c r="Q641" s="61"/>
    </row>
    <row r="642" spans="17:17" ht="15.75" customHeight="1" x14ac:dyDescent="0.25">
      <c r="Q642" s="61"/>
    </row>
    <row r="643" spans="17:17" ht="15.75" customHeight="1" x14ac:dyDescent="0.25">
      <c r="Q643" s="61"/>
    </row>
    <row r="644" spans="17:17" ht="15.75" customHeight="1" x14ac:dyDescent="0.25">
      <c r="Q644" s="61"/>
    </row>
    <row r="645" spans="17:17" ht="15.75" customHeight="1" x14ac:dyDescent="0.25">
      <c r="Q645" s="61"/>
    </row>
    <row r="646" spans="17:17" ht="15.75" customHeight="1" x14ac:dyDescent="0.25">
      <c r="Q646" s="61"/>
    </row>
    <row r="647" spans="17:17" ht="15.75" customHeight="1" x14ac:dyDescent="0.25">
      <c r="Q647" s="61"/>
    </row>
    <row r="648" spans="17:17" ht="15.75" customHeight="1" x14ac:dyDescent="0.25">
      <c r="Q648" s="61"/>
    </row>
    <row r="649" spans="17:17" ht="15.75" customHeight="1" x14ac:dyDescent="0.25">
      <c r="Q649" s="61"/>
    </row>
    <row r="650" spans="17:17" ht="15.75" customHeight="1" x14ac:dyDescent="0.25">
      <c r="Q650" s="61"/>
    </row>
    <row r="651" spans="17:17" ht="15.75" customHeight="1" x14ac:dyDescent="0.25">
      <c r="Q651" s="61"/>
    </row>
    <row r="652" spans="17:17" ht="15.75" customHeight="1" x14ac:dyDescent="0.25">
      <c r="Q652" s="61"/>
    </row>
    <row r="653" spans="17:17" ht="15.75" customHeight="1" x14ac:dyDescent="0.25">
      <c r="Q653" s="61"/>
    </row>
    <row r="654" spans="17:17" ht="15.75" customHeight="1" x14ac:dyDescent="0.25">
      <c r="Q654" s="61"/>
    </row>
    <row r="655" spans="17:17" ht="15.75" customHeight="1" x14ac:dyDescent="0.25">
      <c r="Q655" s="61"/>
    </row>
    <row r="656" spans="17:17" ht="15.75" customHeight="1" x14ac:dyDescent="0.25">
      <c r="Q656" s="61"/>
    </row>
    <row r="657" spans="17:17" ht="15.75" customHeight="1" x14ac:dyDescent="0.25">
      <c r="Q657" s="61"/>
    </row>
    <row r="658" spans="17:17" ht="15.75" customHeight="1" x14ac:dyDescent="0.25">
      <c r="Q658" s="61"/>
    </row>
    <row r="659" spans="17:17" ht="15.75" customHeight="1" x14ac:dyDescent="0.25">
      <c r="Q659" s="61"/>
    </row>
    <row r="660" spans="17:17" ht="15.75" customHeight="1" x14ac:dyDescent="0.25">
      <c r="Q660" s="61"/>
    </row>
    <row r="661" spans="17:17" ht="15.75" customHeight="1" x14ac:dyDescent="0.25">
      <c r="Q661" s="61"/>
    </row>
    <row r="662" spans="17:17" ht="15.75" customHeight="1" x14ac:dyDescent="0.25">
      <c r="Q662" s="61"/>
    </row>
    <row r="663" spans="17:17" ht="15.75" customHeight="1" x14ac:dyDescent="0.25">
      <c r="Q663" s="61"/>
    </row>
    <row r="664" spans="17:17" ht="15.75" customHeight="1" x14ac:dyDescent="0.25">
      <c r="Q664" s="61"/>
    </row>
    <row r="665" spans="17:17" ht="15.75" customHeight="1" x14ac:dyDescent="0.25">
      <c r="Q665" s="61"/>
    </row>
    <row r="666" spans="17:17" ht="15.75" customHeight="1" x14ac:dyDescent="0.25">
      <c r="Q666" s="61"/>
    </row>
    <row r="667" spans="17:17" ht="15.75" customHeight="1" x14ac:dyDescent="0.25">
      <c r="Q667" s="61"/>
    </row>
    <row r="668" spans="17:17" ht="15.75" customHeight="1" x14ac:dyDescent="0.25">
      <c r="Q668" s="61"/>
    </row>
    <row r="669" spans="17:17" ht="15.75" customHeight="1" x14ac:dyDescent="0.25">
      <c r="Q669" s="61"/>
    </row>
    <row r="670" spans="17:17" ht="15.75" customHeight="1" x14ac:dyDescent="0.25">
      <c r="Q670" s="61"/>
    </row>
    <row r="671" spans="17:17" ht="15.75" customHeight="1" x14ac:dyDescent="0.25">
      <c r="Q671" s="61"/>
    </row>
    <row r="672" spans="17:17" ht="15.75" customHeight="1" x14ac:dyDescent="0.25">
      <c r="Q672" s="61"/>
    </row>
    <row r="673" spans="17:17" ht="15.75" customHeight="1" x14ac:dyDescent="0.25">
      <c r="Q673" s="61"/>
    </row>
    <row r="674" spans="17:17" ht="15.75" customHeight="1" x14ac:dyDescent="0.25">
      <c r="Q674" s="61"/>
    </row>
    <row r="675" spans="17:17" ht="15.75" customHeight="1" x14ac:dyDescent="0.25">
      <c r="Q675" s="61"/>
    </row>
    <row r="676" spans="17:17" ht="15.75" customHeight="1" x14ac:dyDescent="0.25">
      <c r="Q676" s="61"/>
    </row>
    <row r="677" spans="17:17" ht="15.75" customHeight="1" x14ac:dyDescent="0.25">
      <c r="Q677" s="61"/>
    </row>
    <row r="678" spans="17:17" ht="15.75" customHeight="1" x14ac:dyDescent="0.25">
      <c r="Q678" s="61"/>
    </row>
    <row r="679" spans="17:17" ht="15.75" customHeight="1" x14ac:dyDescent="0.25">
      <c r="Q679" s="61"/>
    </row>
    <row r="680" spans="17:17" ht="15.75" customHeight="1" x14ac:dyDescent="0.25">
      <c r="Q680" s="61"/>
    </row>
    <row r="681" spans="17:17" ht="15.75" customHeight="1" x14ac:dyDescent="0.25">
      <c r="Q681" s="61"/>
    </row>
    <row r="682" spans="17:17" ht="15.75" customHeight="1" x14ac:dyDescent="0.25">
      <c r="Q682" s="61"/>
    </row>
    <row r="683" spans="17:17" ht="15.75" customHeight="1" x14ac:dyDescent="0.25">
      <c r="Q683" s="61"/>
    </row>
    <row r="684" spans="17:17" ht="15.75" customHeight="1" x14ac:dyDescent="0.25">
      <c r="Q684" s="61"/>
    </row>
    <row r="685" spans="17:17" ht="15.75" customHeight="1" x14ac:dyDescent="0.25">
      <c r="Q685" s="61"/>
    </row>
    <row r="686" spans="17:17" ht="15.75" customHeight="1" x14ac:dyDescent="0.25">
      <c r="Q686" s="61"/>
    </row>
    <row r="687" spans="17:17" ht="15.75" customHeight="1" x14ac:dyDescent="0.25">
      <c r="Q687" s="61"/>
    </row>
    <row r="688" spans="17:17" ht="15.75" customHeight="1" x14ac:dyDescent="0.25">
      <c r="Q688" s="61"/>
    </row>
    <row r="689" spans="17:17" ht="15.75" customHeight="1" x14ac:dyDescent="0.25">
      <c r="Q689" s="61"/>
    </row>
    <row r="690" spans="17:17" ht="15.75" customHeight="1" x14ac:dyDescent="0.25">
      <c r="Q690" s="61"/>
    </row>
    <row r="691" spans="17:17" ht="15.75" customHeight="1" x14ac:dyDescent="0.25">
      <c r="Q691" s="61"/>
    </row>
    <row r="692" spans="17:17" ht="15.75" customHeight="1" x14ac:dyDescent="0.25">
      <c r="Q692" s="61"/>
    </row>
    <row r="693" spans="17:17" ht="15.75" customHeight="1" x14ac:dyDescent="0.25">
      <c r="Q693" s="61"/>
    </row>
    <row r="694" spans="17:17" ht="15.75" customHeight="1" x14ac:dyDescent="0.25">
      <c r="Q694" s="61"/>
    </row>
    <row r="695" spans="17:17" ht="15.75" customHeight="1" x14ac:dyDescent="0.25">
      <c r="Q695" s="61"/>
    </row>
    <row r="696" spans="17:17" ht="15.75" customHeight="1" x14ac:dyDescent="0.25">
      <c r="Q696" s="61"/>
    </row>
    <row r="697" spans="17:17" ht="15.75" customHeight="1" x14ac:dyDescent="0.25">
      <c r="Q697" s="61"/>
    </row>
    <row r="698" spans="17:17" ht="15.75" customHeight="1" x14ac:dyDescent="0.25">
      <c r="Q698" s="61"/>
    </row>
    <row r="699" spans="17:17" ht="15.75" customHeight="1" x14ac:dyDescent="0.25">
      <c r="Q699" s="61"/>
    </row>
    <row r="700" spans="17:17" ht="15.75" customHeight="1" x14ac:dyDescent="0.25">
      <c r="Q700" s="61"/>
    </row>
    <row r="701" spans="17:17" ht="15.75" customHeight="1" x14ac:dyDescent="0.25">
      <c r="Q701" s="61"/>
    </row>
    <row r="702" spans="17:17" ht="15.75" customHeight="1" x14ac:dyDescent="0.25">
      <c r="Q702" s="61"/>
    </row>
    <row r="703" spans="17:17" ht="15.75" customHeight="1" x14ac:dyDescent="0.25">
      <c r="Q703" s="61"/>
    </row>
    <row r="704" spans="17:17" ht="15.75" customHeight="1" x14ac:dyDescent="0.25">
      <c r="Q704" s="61"/>
    </row>
    <row r="705" spans="17:17" ht="15.75" customHeight="1" x14ac:dyDescent="0.25">
      <c r="Q705" s="61"/>
    </row>
    <row r="706" spans="17:17" ht="15.75" customHeight="1" x14ac:dyDescent="0.25">
      <c r="Q706" s="61"/>
    </row>
    <row r="707" spans="17:17" ht="15.75" customHeight="1" x14ac:dyDescent="0.25">
      <c r="Q707" s="61"/>
    </row>
    <row r="708" spans="17:17" ht="15.75" customHeight="1" x14ac:dyDescent="0.25">
      <c r="Q708" s="61"/>
    </row>
    <row r="709" spans="17:17" ht="15.75" customHeight="1" x14ac:dyDescent="0.25">
      <c r="Q709" s="61"/>
    </row>
    <row r="710" spans="17:17" ht="15.75" customHeight="1" x14ac:dyDescent="0.25">
      <c r="Q710" s="61"/>
    </row>
    <row r="711" spans="17:17" ht="15.75" customHeight="1" x14ac:dyDescent="0.25">
      <c r="Q711" s="61"/>
    </row>
    <row r="712" spans="17:17" ht="15.75" customHeight="1" x14ac:dyDescent="0.25">
      <c r="Q712" s="61"/>
    </row>
    <row r="713" spans="17:17" ht="15.75" customHeight="1" x14ac:dyDescent="0.25">
      <c r="Q713" s="61"/>
    </row>
    <row r="714" spans="17:17" ht="15.75" customHeight="1" x14ac:dyDescent="0.25">
      <c r="Q714" s="61"/>
    </row>
    <row r="715" spans="17:17" ht="15.75" customHeight="1" x14ac:dyDescent="0.25">
      <c r="Q715" s="61"/>
    </row>
    <row r="716" spans="17:17" ht="15.75" customHeight="1" x14ac:dyDescent="0.25">
      <c r="Q716" s="61"/>
    </row>
    <row r="717" spans="17:17" ht="15.75" customHeight="1" x14ac:dyDescent="0.25">
      <c r="Q717" s="61"/>
    </row>
    <row r="718" spans="17:17" ht="15.75" customHeight="1" x14ac:dyDescent="0.25">
      <c r="Q718" s="61"/>
    </row>
    <row r="719" spans="17:17" ht="15.75" customHeight="1" x14ac:dyDescent="0.25">
      <c r="Q719" s="61"/>
    </row>
    <row r="720" spans="17:17" ht="15.75" customHeight="1" x14ac:dyDescent="0.25">
      <c r="Q720" s="61"/>
    </row>
    <row r="721" spans="17:17" ht="15.75" customHeight="1" x14ac:dyDescent="0.25">
      <c r="Q721" s="61"/>
    </row>
    <row r="722" spans="17:17" ht="15.75" customHeight="1" x14ac:dyDescent="0.25">
      <c r="Q722" s="61"/>
    </row>
    <row r="723" spans="17:17" ht="15.75" customHeight="1" x14ac:dyDescent="0.25">
      <c r="Q723" s="61"/>
    </row>
    <row r="724" spans="17:17" ht="15.75" customHeight="1" x14ac:dyDescent="0.25">
      <c r="Q724" s="61"/>
    </row>
    <row r="725" spans="17:17" ht="15.75" customHeight="1" x14ac:dyDescent="0.25">
      <c r="Q725" s="61"/>
    </row>
    <row r="726" spans="17:17" ht="15.75" customHeight="1" x14ac:dyDescent="0.25">
      <c r="Q726" s="61"/>
    </row>
    <row r="727" spans="17:17" ht="15.75" customHeight="1" x14ac:dyDescent="0.25">
      <c r="Q727" s="61"/>
    </row>
    <row r="728" spans="17:17" ht="15.75" customHeight="1" x14ac:dyDescent="0.25">
      <c r="Q728" s="61"/>
    </row>
    <row r="729" spans="17:17" ht="15.75" customHeight="1" x14ac:dyDescent="0.25">
      <c r="Q729" s="61"/>
    </row>
    <row r="730" spans="17:17" ht="15.75" customHeight="1" x14ac:dyDescent="0.25">
      <c r="Q730" s="61"/>
    </row>
    <row r="731" spans="17:17" ht="15.75" customHeight="1" x14ac:dyDescent="0.25">
      <c r="Q731" s="61"/>
    </row>
    <row r="732" spans="17:17" ht="15.75" customHeight="1" x14ac:dyDescent="0.25">
      <c r="Q732" s="61"/>
    </row>
    <row r="733" spans="17:17" ht="15.75" customHeight="1" x14ac:dyDescent="0.25">
      <c r="Q733" s="61"/>
    </row>
    <row r="734" spans="17:17" ht="15.75" customHeight="1" x14ac:dyDescent="0.25">
      <c r="Q734" s="61"/>
    </row>
    <row r="735" spans="17:17" ht="15.75" customHeight="1" x14ac:dyDescent="0.25">
      <c r="Q735" s="61"/>
    </row>
    <row r="736" spans="17:17" ht="15.75" customHeight="1" x14ac:dyDescent="0.25">
      <c r="Q736" s="61"/>
    </row>
    <row r="737" spans="17:17" ht="15.75" customHeight="1" x14ac:dyDescent="0.25">
      <c r="Q737" s="61"/>
    </row>
    <row r="738" spans="17:17" ht="15.75" customHeight="1" x14ac:dyDescent="0.25">
      <c r="Q738" s="61"/>
    </row>
    <row r="739" spans="17:17" ht="15.75" customHeight="1" x14ac:dyDescent="0.25">
      <c r="Q739" s="61"/>
    </row>
    <row r="740" spans="17:17" ht="15.75" customHeight="1" x14ac:dyDescent="0.25">
      <c r="Q740" s="61"/>
    </row>
    <row r="741" spans="17:17" ht="15.75" customHeight="1" x14ac:dyDescent="0.25">
      <c r="Q741" s="61"/>
    </row>
    <row r="742" spans="17:17" ht="15.75" customHeight="1" x14ac:dyDescent="0.25">
      <c r="Q742" s="61"/>
    </row>
    <row r="743" spans="17:17" ht="15.75" customHeight="1" x14ac:dyDescent="0.25">
      <c r="Q743" s="61"/>
    </row>
    <row r="744" spans="17:17" ht="15.75" customHeight="1" x14ac:dyDescent="0.25">
      <c r="Q744" s="61"/>
    </row>
    <row r="745" spans="17:17" ht="15.75" customHeight="1" x14ac:dyDescent="0.25">
      <c r="Q745" s="61"/>
    </row>
    <row r="746" spans="17:17" ht="15.75" customHeight="1" x14ac:dyDescent="0.25">
      <c r="Q746" s="61"/>
    </row>
    <row r="747" spans="17:17" ht="15.75" customHeight="1" x14ac:dyDescent="0.25">
      <c r="Q747" s="61"/>
    </row>
    <row r="748" spans="17:17" ht="15.75" customHeight="1" x14ac:dyDescent="0.25">
      <c r="Q748" s="61"/>
    </row>
    <row r="749" spans="17:17" ht="15.75" customHeight="1" x14ac:dyDescent="0.25">
      <c r="Q749" s="61"/>
    </row>
    <row r="750" spans="17:17" ht="15.75" customHeight="1" x14ac:dyDescent="0.25">
      <c r="Q750" s="61"/>
    </row>
    <row r="751" spans="17:17" ht="15.75" customHeight="1" x14ac:dyDescent="0.25">
      <c r="Q751" s="61"/>
    </row>
    <row r="752" spans="17:17" ht="15.75" customHeight="1" x14ac:dyDescent="0.25">
      <c r="Q752" s="61"/>
    </row>
    <row r="753" spans="17:17" ht="15.75" customHeight="1" x14ac:dyDescent="0.25">
      <c r="Q753" s="61"/>
    </row>
    <row r="754" spans="17:17" ht="15.75" customHeight="1" x14ac:dyDescent="0.25">
      <c r="Q754" s="61"/>
    </row>
    <row r="755" spans="17:17" ht="15.75" customHeight="1" x14ac:dyDescent="0.25">
      <c r="Q755" s="61"/>
    </row>
    <row r="756" spans="17:17" ht="15.75" customHeight="1" x14ac:dyDescent="0.25">
      <c r="Q756" s="61"/>
    </row>
    <row r="757" spans="17:17" ht="15.75" customHeight="1" x14ac:dyDescent="0.25">
      <c r="Q757" s="61"/>
    </row>
    <row r="758" spans="17:17" ht="15.75" customHeight="1" x14ac:dyDescent="0.25">
      <c r="Q758" s="61"/>
    </row>
    <row r="759" spans="17:17" ht="15.75" customHeight="1" x14ac:dyDescent="0.25">
      <c r="Q759" s="61"/>
    </row>
    <row r="760" spans="17:17" ht="15.75" customHeight="1" x14ac:dyDescent="0.25">
      <c r="Q760" s="61"/>
    </row>
    <row r="761" spans="17:17" ht="15.75" customHeight="1" x14ac:dyDescent="0.25">
      <c r="Q761" s="61"/>
    </row>
    <row r="762" spans="17:17" ht="15.75" customHeight="1" x14ac:dyDescent="0.25">
      <c r="Q762" s="61"/>
    </row>
    <row r="763" spans="17:17" ht="15.75" customHeight="1" x14ac:dyDescent="0.25">
      <c r="Q763" s="61"/>
    </row>
    <row r="764" spans="17:17" ht="15.75" customHeight="1" x14ac:dyDescent="0.25">
      <c r="Q764" s="61"/>
    </row>
    <row r="765" spans="17:17" ht="15.75" customHeight="1" x14ac:dyDescent="0.25">
      <c r="Q765" s="61"/>
    </row>
    <row r="766" spans="17:17" ht="15.75" customHeight="1" x14ac:dyDescent="0.25">
      <c r="Q766" s="61"/>
    </row>
    <row r="767" spans="17:17" ht="15.75" customHeight="1" x14ac:dyDescent="0.25">
      <c r="Q767" s="61"/>
    </row>
    <row r="768" spans="17:17" ht="15.75" customHeight="1" x14ac:dyDescent="0.25">
      <c r="Q768" s="61"/>
    </row>
    <row r="769" spans="17:17" ht="15.75" customHeight="1" x14ac:dyDescent="0.25">
      <c r="Q769" s="61"/>
    </row>
    <row r="770" spans="17:17" ht="15.75" customHeight="1" x14ac:dyDescent="0.25">
      <c r="Q770" s="61"/>
    </row>
    <row r="771" spans="17:17" ht="15.75" customHeight="1" x14ac:dyDescent="0.25">
      <c r="Q771" s="61"/>
    </row>
    <row r="772" spans="17:17" ht="15.75" customHeight="1" x14ac:dyDescent="0.25">
      <c r="Q772" s="61"/>
    </row>
    <row r="773" spans="17:17" ht="15.75" customHeight="1" x14ac:dyDescent="0.25">
      <c r="Q773" s="61"/>
    </row>
    <row r="774" spans="17:17" ht="15.75" customHeight="1" x14ac:dyDescent="0.25">
      <c r="Q774" s="61"/>
    </row>
    <row r="775" spans="17:17" ht="15.75" customHeight="1" x14ac:dyDescent="0.25">
      <c r="Q775" s="61"/>
    </row>
    <row r="776" spans="17:17" ht="15.75" customHeight="1" x14ac:dyDescent="0.25">
      <c r="Q776" s="61"/>
    </row>
    <row r="777" spans="17:17" ht="15.75" customHeight="1" x14ac:dyDescent="0.25">
      <c r="Q777" s="61"/>
    </row>
    <row r="778" spans="17:17" ht="15.75" customHeight="1" x14ac:dyDescent="0.25">
      <c r="Q778" s="61"/>
    </row>
    <row r="779" spans="17:17" ht="15.75" customHeight="1" x14ac:dyDescent="0.25">
      <c r="Q779" s="61"/>
    </row>
    <row r="780" spans="17:17" ht="15.75" customHeight="1" x14ac:dyDescent="0.25">
      <c r="Q780" s="61"/>
    </row>
    <row r="781" spans="17:17" ht="15.75" customHeight="1" x14ac:dyDescent="0.25">
      <c r="Q781" s="61"/>
    </row>
    <row r="782" spans="17:17" ht="15.75" customHeight="1" x14ac:dyDescent="0.25">
      <c r="Q782" s="61"/>
    </row>
    <row r="783" spans="17:17" ht="15.75" customHeight="1" x14ac:dyDescent="0.25">
      <c r="Q783" s="61"/>
    </row>
    <row r="784" spans="17:17" ht="15.75" customHeight="1" x14ac:dyDescent="0.25">
      <c r="Q784" s="61"/>
    </row>
    <row r="785" spans="17:17" ht="15.75" customHeight="1" x14ac:dyDescent="0.25">
      <c r="Q785" s="61"/>
    </row>
    <row r="786" spans="17:17" ht="15.75" customHeight="1" x14ac:dyDescent="0.25">
      <c r="Q786" s="61"/>
    </row>
    <row r="787" spans="17:17" ht="15.75" customHeight="1" x14ac:dyDescent="0.25">
      <c r="Q787" s="61"/>
    </row>
    <row r="788" spans="17:17" ht="15.75" customHeight="1" x14ac:dyDescent="0.25">
      <c r="Q788" s="61"/>
    </row>
    <row r="789" spans="17:17" ht="15.75" customHeight="1" x14ac:dyDescent="0.25">
      <c r="Q789" s="61"/>
    </row>
    <row r="790" spans="17:17" ht="15.75" customHeight="1" x14ac:dyDescent="0.25">
      <c r="Q790" s="61"/>
    </row>
    <row r="791" spans="17:17" ht="15.75" customHeight="1" x14ac:dyDescent="0.25">
      <c r="Q791" s="61"/>
    </row>
    <row r="792" spans="17:17" ht="15.75" customHeight="1" x14ac:dyDescent="0.25">
      <c r="Q792" s="61"/>
    </row>
    <row r="793" spans="17:17" ht="15.75" customHeight="1" x14ac:dyDescent="0.25">
      <c r="Q793" s="61"/>
    </row>
    <row r="794" spans="17:17" ht="15.75" customHeight="1" x14ac:dyDescent="0.25">
      <c r="Q794" s="61"/>
    </row>
    <row r="795" spans="17:17" ht="15.75" customHeight="1" x14ac:dyDescent="0.25">
      <c r="Q795" s="61"/>
    </row>
    <row r="796" spans="17:17" ht="15.75" customHeight="1" x14ac:dyDescent="0.25">
      <c r="Q796" s="61"/>
    </row>
    <row r="797" spans="17:17" ht="15.75" customHeight="1" x14ac:dyDescent="0.25">
      <c r="Q797" s="61"/>
    </row>
    <row r="798" spans="17:17" ht="15.75" customHeight="1" x14ac:dyDescent="0.25">
      <c r="Q798" s="61"/>
    </row>
    <row r="799" spans="17:17" ht="15.75" customHeight="1" x14ac:dyDescent="0.25">
      <c r="Q799" s="61"/>
    </row>
    <row r="800" spans="17:17" ht="15.75" customHeight="1" x14ac:dyDescent="0.25">
      <c r="Q800" s="61"/>
    </row>
    <row r="801" spans="17:17" ht="15.75" customHeight="1" x14ac:dyDescent="0.25">
      <c r="Q801" s="61"/>
    </row>
    <row r="802" spans="17:17" ht="15.75" customHeight="1" x14ac:dyDescent="0.25">
      <c r="Q802" s="61"/>
    </row>
    <row r="803" spans="17:17" ht="15.75" customHeight="1" x14ac:dyDescent="0.25">
      <c r="Q803" s="61"/>
    </row>
    <row r="804" spans="17:17" ht="15.75" customHeight="1" x14ac:dyDescent="0.25">
      <c r="Q804" s="61"/>
    </row>
    <row r="805" spans="17:17" ht="15.75" customHeight="1" x14ac:dyDescent="0.25">
      <c r="Q805" s="61"/>
    </row>
    <row r="806" spans="17:17" ht="15.75" customHeight="1" x14ac:dyDescent="0.25">
      <c r="Q806" s="61"/>
    </row>
    <row r="807" spans="17:17" ht="15.75" customHeight="1" x14ac:dyDescent="0.25">
      <c r="Q807" s="61"/>
    </row>
    <row r="808" spans="17:17" ht="15.75" customHeight="1" x14ac:dyDescent="0.25">
      <c r="Q808" s="61"/>
    </row>
    <row r="809" spans="17:17" ht="15.75" customHeight="1" x14ac:dyDescent="0.25">
      <c r="Q809" s="61"/>
    </row>
    <row r="810" spans="17:17" ht="15.75" customHeight="1" x14ac:dyDescent="0.25">
      <c r="Q810" s="61"/>
    </row>
    <row r="811" spans="17:17" ht="15.75" customHeight="1" x14ac:dyDescent="0.25">
      <c r="Q811" s="61"/>
    </row>
    <row r="812" spans="17:17" ht="15.75" customHeight="1" x14ac:dyDescent="0.25">
      <c r="Q812" s="61"/>
    </row>
    <row r="813" spans="17:17" ht="15.75" customHeight="1" x14ac:dyDescent="0.25">
      <c r="Q813" s="61"/>
    </row>
    <row r="814" spans="17:17" ht="15.75" customHeight="1" x14ac:dyDescent="0.25">
      <c r="Q814" s="61"/>
    </row>
    <row r="815" spans="17:17" ht="15.75" customHeight="1" x14ac:dyDescent="0.25">
      <c r="Q815" s="61"/>
    </row>
    <row r="816" spans="17:17" ht="15.75" customHeight="1" x14ac:dyDescent="0.25">
      <c r="Q816" s="61"/>
    </row>
    <row r="817" spans="17:17" ht="15.75" customHeight="1" x14ac:dyDescent="0.25">
      <c r="Q817" s="61"/>
    </row>
    <row r="818" spans="17:17" ht="15.75" customHeight="1" x14ac:dyDescent="0.25">
      <c r="Q818" s="61"/>
    </row>
    <row r="819" spans="17:17" ht="15.75" customHeight="1" x14ac:dyDescent="0.25">
      <c r="Q819" s="61"/>
    </row>
    <row r="820" spans="17:17" ht="15.75" customHeight="1" x14ac:dyDescent="0.25">
      <c r="Q820" s="61"/>
    </row>
    <row r="821" spans="17:17" ht="15.75" customHeight="1" x14ac:dyDescent="0.25">
      <c r="Q821" s="61"/>
    </row>
    <row r="822" spans="17:17" ht="15.75" customHeight="1" x14ac:dyDescent="0.25">
      <c r="Q822" s="61"/>
    </row>
    <row r="823" spans="17:17" ht="15.75" customHeight="1" x14ac:dyDescent="0.25">
      <c r="Q823" s="61"/>
    </row>
    <row r="824" spans="17:17" ht="15.75" customHeight="1" x14ac:dyDescent="0.25">
      <c r="Q824" s="61"/>
    </row>
    <row r="825" spans="17:17" ht="15.75" customHeight="1" x14ac:dyDescent="0.25">
      <c r="Q825" s="61"/>
    </row>
    <row r="826" spans="17:17" ht="15.75" customHeight="1" x14ac:dyDescent="0.25">
      <c r="Q826" s="61"/>
    </row>
    <row r="827" spans="17:17" ht="15.75" customHeight="1" x14ac:dyDescent="0.25">
      <c r="Q827" s="61"/>
    </row>
    <row r="828" spans="17:17" ht="15.75" customHeight="1" x14ac:dyDescent="0.25">
      <c r="Q828" s="61"/>
    </row>
    <row r="829" spans="17:17" ht="15.75" customHeight="1" x14ac:dyDescent="0.25">
      <c r="Q829" s="61"/>
    </row>
    <row r="830" spans="17:17" ht="15.75" customHeight="1" x14ac:dyDescent="0.25">
      <c r="Q830" s="61"/>
    </row>
    <row r="831" spans="17:17" ht="15.75" customHeight="1" x14ac:dyDescent="0.25">
      <c r="Q831" s="61"/>
    </row>
    <row r="832" spans="17:17" ht="15.75" customHeight="1" x14ac:dyDescent="0.25">
      <c r="Q832" s="61"/>
    </row>
    <row r="833" spans="17:17" ht="15.75" customHeight="1" x14ac:dyDescent="0.25">
      <c r="Q833" s="61"/>
    </row>
    <row r="834" spans="17:17" ht="15.75" customHeight="1" x14ac:dyDescent="0.25">
      <c r="Q834" s="61"/>
    </row>
    <row r="835" spans="17:17" ht="15.75" customHeight="1" x14ac:dyDescent="0.25">
      <c r="Q835" s="61"/>
    </row>
    <row r="836" spans="17:17" ht="15.75" customHeight="1" x14ac:dyDescent="0.25">
      <c r="Q836" s="61"/>
    </row>
    <row r="837" spans="17:17" ht="15.75" customHeight="1" x14ac:dyDescent="0.25">
      <c r="Q837" s="61"/>
    </row>
    <row r="838" spans="17:17" ht="15.75" customHeight="1" x14ac:dyDescent="0.25">
      <c r="Q838" s="61"/>
    </row>
    <row r="839" spans="17:17" ht="15.75" customHeight="1" x14ac:dyDescent="0.25">
      <c r="Q839" s="61"/>
    </row>
    <row r="840" spans="17:17" ht="15.75" customHeight="1" x14ac:dyDescent="0.25">
      <c r="Q840" s="61"/>
    </row>
    <row r="841" spans="17:17" ht="15.75" customHeight="1" x14ac:dyDescent="0.25">
      <c r="Q841" s="61"/>
    </row>
    <row r="842" spans="17:17" ht="15.75" customHeight="1" x14ac:dyDescent="0.25">
      <c r="Q842" s="61"/>
    </row>
    <row r="843" spans="17:17" ht="15.75" customHeight="1" x14ac:dyDescent="0.25">
      <c r="Q843" s="61"/>
    </row>
    <row r="844" spans="17:17" ht="15.75" customHeight="1" x14ac:dyDescent="0.25">
      <c r="Q844" s="61"/>
    </row>
    <row r="845" spans="17:17" ht="15.75" customHeight="1" x14ac:dyDescent="0.25">
      <c r="Q845" s="61"/>
    </row>
    <row r="846" spans="17:17" ht="15.75" customHeight="1" x14ac:dyDescent="0.25">
      <c r="Q846" s="61"/>
    </row>
    <row r="847" spans="17:17" ht="15.75" customHeight="1" x14ac:dyDescent="0.25">
      <c r="Q847" s="61"/>
    </row>
    <row r="848" spans="17:17" ht="15.75" customHeight="1" x14ac:dyDescent="0.25">
      <c r="Q848" s="61"/>
    </row>
    <row r="849" spans="17:17" ht="15.75" customHeight="1" x14ac:dyDescent="0.25">
      <c r="Q849" s="61"/>
    </row>
  </sheetData>
  <sortState xmlns:xlrd2="http://schemas.microsoft.com/office/spreadsheetml/2017/richdata2" ref="A2:Q157">
    <sortCondition ref="Q2:Q157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9DC3E6"/>
  </sheetPr>
  <dimension ref="A1:AB1000"/>
  <sheetViews>
    <sheetView workbookViewId="0">
      <pane ySplit="1" topLeftCell="A2" activePane="bottomLeft" state="frozen"/>
      <selection pane="bottomLeft" activeCell="B3" sqref="B3"/>
    </sheetView>
  </sheetViews>
  <sheetFormatPr baseColWidth="10" defaultColWidth="12.6328125" defaultRowHeight="15" customHeight="1" x14ac:dyDescent="0.25"/>
  <cols>
    <col min="1" max="1" width="5.6328125" customWidth="1"/>
    <col min="2" max="2" width="8" customWidth="1"/>
    <col min="3" max="3" width="17.7265625" customWidth="1"/>
    <col min="4" max="4" width="13" customWidth="1"/>
    <col min="5" max="6" width="5.36328125" customWidth="1"/>
    <col min="7" max="21" width="8.26953125" customWidth="1"/>
    <col min="22" max="28" width="7" customWidth="1"/>
  </cols>
  <sheetData>
    <row r="1" spans="1:28" ht="13.5" customHeight="1" x14ac:dyDescent="0.25">
      <c r="A1" s="2" t="s">
        <v>0</v>
      </c>
      <c r="B1" s="2" t="s">
        <v>1</v>
      </c>
      <c r="C1" s="3" t="s">
        <v>2</v>
      </c>
      <c r="D1" s="3" t="s">
        <v>3</v>
      </c>
      <c r="E1" s="2" t="s">
        <v>4</v>
      </c>
      <c r="F1" s="2" t="s">
        <v>5</v>
      </c>
      <c r="G1" s="4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5"/>
      <c r="M1" s="6"/>
      <c r="N1" s="6"/>
      <c r="O1" s="6"/>
      <c r="P1" s="6"/>
      <c r="Q1" s="6"/>
      <c r="R1" s="6"/>
      <c r="S1" s="6"/>
      <c r="T1" s="6"/>
      <c r="U1" s="6"/>
      <c r="V1" s="7"/>
      <c r="W1" s="7"/>
      <c r="X1" s="7"/>
      <c r="Y1" s="7"/>
      <c r="Z1" s="8"/>
      <c r="AA1" s="9"/>
      <c r="AB1" s="10"/>
    </row>
    <row r="2" spans="1:28" ht="13.5" customHeight="1" x14ac:dyDescent="0.35">
      <c r="A2" s="11">
        <f ca="1">IFERROR(__xludf.DUMMYFUNCTION("importrange(""https://docs.google.com/spreadsheets/d/1b5MDXOVAvyXtPAhaTJQ4VklV1IVuMDIMPSQ0egEui-k/edit?gid=1004591596#gid=1004591596"",""Resultats_H!A2:O180"")"),1)</f>
        <v>1</v>
      </c>
      <c r="B2" s="12" t="str">
        <f ca="1">IFERROR(__xludf.DUMMYFUNCTION("""COMPUTED_VALUE"""),"222")</f>
        <v>222</v>
      </c>
      <c r="C2" s="13" t="str">
        <f ca="1">IFERROR(__xludf.DUMMYFUNCTION("""COMPUTED_VALUE"""),"REGNIER")</f>
        <v>REGNIER</v>
      </c>
      <c r="D2" s="14" t="str">
        <f ca="1">IFERROR(__xludf.DUMMYFUNCTION("""COMPUTED_VALUE"""),"BENOIT")</f>
        <v>BENOIT</v>
      </c>
      <c r="E2" s="15" t="str">
        <f ca="1">IFERROR(__xludf.DUMMYFUNCTION("""COMPUTED_VALUE"""),"SH4")</f>
        <v>SH4</v>
      </c>
      <c r="F2" s="15">
        <f ca="1">IFERROR(__xludf.DUMMYFUNCTION("""COMPUTED_VALUE"""),1)</f>
        <v>1</v>
      </c>
      <c r="G2" s="16">
        <f ca="1">IFERROR(__xludf.DUMMYFUNCTION("""COMPUTED_VALUE"""),0.0156481486263321)</f>
        <v>1.5648148626332101E-2</v>
      </c>
      <c r="H2" s="17">
        <f ca="1">IFERROR(__xludf.DUMMYFUNCTION("""COMPUTED_VALUE"""),0.0028009260028297)</f>
        <v>2.8009260028297E-3</v>
      </c>
      <c r="I2" s="17">
        <f ca="1">IFERROR(__xludf.DUMMYFUNCTION("""COMPUTED_VALUE"""),0.0065393518640472)</f>
        <v>6.5393518640471998E-3</v>
      </c>
      <c r="J2" s="17">
        <f ca="1">IFERROR(__xludf.DUMMYFUNCTION("""COMPUTED_VALUE"""),0.0058796296252308)</f>
        <v>5.8796296252308002E-3</v>
      </c>
      <c r="K2" s="18">
        <f ca="1">IFERROR(__xludf.DUMMYFUNCTION("""COMPUTED_VALUE"""),0.000428241134224411)</f>
        <v>4.2824113422441099E-4</v>
      </c>
      <c r="L2" s="19"/>
      <c r="M2" s="19"/>
      <c r="N2" s="19"/>
      <c r="O2" s="19"/>
      <c r="P2" s="19"/>
      <c r="Q2" s="19"/>
      <c r="R2" s="19"/>
      <c r="S2" s="19"/>
      <c r="T2" s="19"/>
      <c r="U2" s="19"/>
      <c r="V2" s="20"/>
      <c r="W2" s="20"/>
      <c r="X2" s="20"/>
      <c r="Y2" s="20"/>
      <c r="Z2" s="21"/>
      <c r="AA2" s="22"/>
      <c r="AB2" s="23"/>
    </row>
    <row r="3" spans="1:28" ht="13.5" customHeight="1" x14ac:dyDescent="0.35">
      <c r="A3" s="24">
        <f ca="1">IFERROR(__xludf.DUMMYFUNCTION("""COMPUTED_VALUE"""),2)</f>
        <v>2</v>
      </c>
      <c r="B3" s="25" t="str">
        <f ca="1">IFERROR(__xludf.DUMMYFUNCTION("""COMPUTED_VALUE"""),"183")</f>
        <v>183</v>
      </c>
      <c r="C3" s="26" t="str">
        <f ca="1">IFERROR(__xludf.DUMMYFUNCTION("""COMPUTED_VALUE"""),"VACHER")</f>
        <v>VACHER</v>
      </c>
      <c r="D3" s="27" t="str">
        <f ca="1">IFERROR(__xludf.DUMMYFUNCTION("""COMPUTED_VALUE"""),"NICOLAS")</f>
        <v>NICOLAS</v>
      </c>
      <c r="E3" s="15" t="str">
        <f ca="1">IFERROR(__xludf.DUMMYFUNCTION("""COMPUTED_VALUE"""),"MH1")</f>
        <v>MH1</v>
      </c>
      <c r="F3" s="28">
        <f ca="1">IFERROR(__xludf.DUMMYFUNCTION("""COMPUTED_VALUE"""),1)</f>
        <v>1</v>
      </c>
      <c r="G3" s="16">
        <f ca="1">IFERROR(__xludf.DUMMYFUNCTION("""COMPUTED_VALUE"""),0.0161689825807949)</f>
        <v>1.61689825807949E-2</v>
      </c>
      <c r="H3" s="17">
        <f ca="1">IFERROR(__xludf.DUMMYFUNCTION("""COMPUTED_VALUE"""),0.00254629639074761)</f>
        <v>2.54629639074761E-3</v>
      </c>
      <c r="I3" s="17">
        <f ca="1">IFERROR(__xludf.DUMMYFUNCTION("""COMPUTED_VALUE"""),0.00668981483863524)</f>
        <v>6.6898148386352399E-3</v>
      </c>
      <c r="J3" s="17">
        <f ca="1">IFERROR(__xludf.DUMMYFUNCTION("""COMPUTED_VALUE"""),0.00645833344629425)</f>
        <v>6.4583334462942499E-3</v>
      </c>
      <c r="K3" s="18">
        <f ca="1">IFERROR(__xludf.DUMMYFUNCTION("""COMPUTED_VALUE"""),0.00047453790511787)</f>
        <v>4.7453790511787E-4</v>
      </c>
      <c r="L3" s="19"/>
      <c r="M3" s="19"/>
      <c r="N3" s="19"/>
      <c r="O3" s="19"/>
      <c r="P3" s="19"/>
      <c r="Q3" s="19"/>
      <c r="R3" s="19"/>
      <c r="S3" s="19"/>
      <c r="T3" s="19"/>
      <c r="U3" s="19"/>
      <c r="V3" s="20"/>
      <c r="W3" s="20"/>
      <c r="X3" s="20"/>
      <c r="Y3" s="20"/>
      <c r="Z3" s="21"/>
      <c r="AA3" s="22"/>
      <c r="AB3" s="23"/>
    </row>
    <row r="4" spans="1:28" ht="13.5" customHeight="1" x14ac:dyDescent="0.35">
      <c r="A4" s="24">
        <f ca="1">IFERROR(__xludf.DUMMYFUNCTION("""COMPUTED_VALUE"""),3)</f>
        <v>3</v>
      </c>
      <c r="B4" s="25" t="str">
        <f ca="1">IFERROR(__xludf.DUMMYFUNCTION("""COMPUTED_VALUE"""),"114")</f>
        <v>114</v>
      </c>
      <c r="C4" s="26" t="str">
        <f ca="1">IFERROR(__xludf.DUMMYFUNCTION("""COMPUTED_VALUE"""),"VERSAEVEL")</f>
        <v>VERSAEVEL</v>
      </c>
      <c r="D4" s="27" t="str">
        <f ca="1">IFERROR(__xludf.DUMMYFUNCTION("""COMPUTED_VALUE"""),"WILLIAM")</f>
        <v>WILLIAM</v>
      </c>
      <c r="E4" s="15" t="str">
        <f ca="1">IFERROR(__xludf.DUMMYFUNCTION("""COMPUTED_VALUE"""),"MH2")</f>
        <v>MH2</v>
      </c>
      <c r="F4" s="28">
        <f ca="1">IFERROR(__xludf.DUMMYFUNCTION("""COMPUTED_VALUE"""),1)</f>
        <v>1</v>
      </c>
      <c r="G4" s="16">
        <f ca="1">IFERROR(__xludf.DUMMYFUNCTION("""COMPUTED_VALUE"""),0.0169907410305803)</f>
        <v>1.6990741030580299E-2</v>
      </c>
      <c r="H4" s="17">
        <f ca="1">IFERROR(__xludf.DUMMYFUNCTION("""COMPUTED_VALUE"""),0.00329861112838727)</f>
        <v>3.2986111283872699E-3</v>
      </c>
      <c r="I4" s="17">
        <f ca="1">IFERROR(__xludf.DUMMYFUNCTION("""COMPUTED_VALUE"""),0.00668981492923633)</f>
        <v>6.6898149292363299E-3</v>
      </c>
      <c r="J4" s="17">
        <f ca="1">IFERROR(__xludf.DUMMYFUNCTION("""COMPUTED_VALUE"""),0.00663194385158189)</f>
        <v>6.6319438515818896E-3</v>
      </c>
      <c r="K4" s="18">
        <f ca="1">IFERROR(__xludf.DUMMYFUNCTION("""COMPUTED_VALUE"""),0.000370371121374837)</f>
        <v>3.7037112137483697E-4</v>
      </c>
      <c r="L4" s="19"/>
      <c r="M4" s="19"/>
      <c r="N4" s="19"/>
      <c r="O4" s="19"/>
      <c r="P4" s="19"/>
      <c r="Q4" s="19"/>
      <c r="R4" s="19"/>
      <c r="S4" s="19"/>
      <c r="T4" s="19"/>
      <c r="U4" s="19"/>
      <c r="V4" s="20"/>
      <c r="W4" s="20"/>
      <c r="X4" s="20"/>
      <c r="Y4" s="20"/>
      <c r="Z4" s="21"/>
      <c r="AA4" s="22"/>
      <c r="AB4" s="23"/>
    </row>
    <row r="5" spans="1:28" ht="13.5" customHeight="1" x14ac:dyDescent="0.35">
      <c r="A5" s="24">
        <f ca="1">IFERROR(__xludf.DUMMYFUNCTION("""COMPUTED_VALUE"""),4)</f>
        <v>4</v>
      </c>
      <c r="B5" s="25" t="str">
        <f ca="1">IFERROR(__xludf.DUMMYFUNCTION("""COMPUTED_VALUE"""),"205")</f>
        <v>205</v>
      </c>
      <c r="C5" s="26" t="str">
        <f ca="1">IFERROR(__xludf.DUMMYFUNCTION("""COMPUTED_VALUE"""),"ACHITE")</f>
        <v>ACHITE</v>
      </c>
      <c r="D5" s="27" t="str">
        <f ca="1">IFERROR(__xludf.DUMMYFUNCTION("""COMPUTED_VALUE"""),"SÉLIM")</f>
        <v>SÉLIM</v>
      </c>
      <c r="E5" s="15" t="str">
        <f ca="1">IFERROR(__xludf.DUMMYFUNCTION("""COMPUTED_VALUE"""),"SH3")</f>
        <v>SH3</v>
      </c>
      <c r="F5" s="28">
        <f ca="1">IFERROR(__xludf.DUMMYFUNCTION("""COMPUTED_VALUE"""),1)</f>
        <v>1</v>
      </c>
      <c r="G5" s="16">
        <f ca="1">IFERROR(__xludf.DUMMYFUNCTION("""COMPUTED_VALUE"""),0.0176967598325677)</f>
        <v>1.7696759832567702E-2</v>
      </c>
      <c r="H5" s="17">
        <f ca="1">IFERROR(__xludf.DUMMYFUNCTION("""COMPUTED_VALUE"""),0.00342592596247718)</f>
        <v>3.4259259624771798E-3</v>
      </c>
      <c r="I5" s="17">
        <f ca="1">IFERROR(__xludf.DUMMYFUNCTION("""COMPUTED_VALUE"""),0.00668981484908062)</f>
        <v>6.6898148490806197E-3</v>
      </c>
      <c r="J5" s="17">
        <f ca="1">IFERROR(__xludf.DUMMYFUNCTION("""COMPUTED_VALUE"""),0.00716435170927215)</f>
        <v>7.1643517092721499E-3</v>
      </c>
      <c r="K5" s="18">
        <f ca="1">IFERROR(__xludf.DUMMYFUNCTION("""COMPUTED_VALUE"""),0.000416667311737836)</f>
        <v>4.1666731173783603E-4</v>
      </c>
      <c r="L5" s="19"/>
      <c r="M5" s="19"/>
      <c r="N5" s="19"/>
      <c r="O5" s="19"/>
      <c r="P5" s="19"/>
      <c r="Q5" s="19"/>
      <c r="R5" s="19"/>
      <c r="S5" s="19"/>
      <c r="T5" s="19"/>
      <c r="U5" s="19"/>
      <c r="V5" s="20"/>
      <c r="W5" s="20"/>
      <c r="X5" s="20"/>
      <c r="Y5" s="20"/>
      <c r="Z5" s="21"/>
      <c r="AA5" s="22"/>
      <c r="AB5" s="23"/>
    </row>
    <row r="6" spans="1:28" ht="13.5" customHeight="1" x14ac:dyDescent="0.35">
      <c r="A6" s="24">
        <f ca="1">IFERROR(__xludf.DUMMYFUNCTION("""COMPUTED_VALUE"""),5)</f>
        <v>5</v>
      </c>
      <c r="B6" s="25" t="str">
        <f ca="1">IFERROR(__xludf.DUMMYFUNCTION("""COMPUTED_VALUE"""),"184")</f>
        <v>184</v>
      </c>
      <c r="C6" s="26" t="str">
        <f ca="1">IFERROR(__xludf.DUMMYFUNCTION("""COMPUTED_VALUE"""),"VOISIN")</f>
        <v>VOISIN</v>
      </c>
      <c r="D6" s="27" t="str">
        <f ca="1">IFERROR(__xludf.DUMMYFUNCTION("""COMPUTED_VALUE"""),"JEAN-SÉBASTIEN")</f>
        <v>JEAN-SÉBASTIEN</v>
      </c>
      <c r="E6" s="15" t="str">
        <f ca="1">IFERROR(__xludf.DUMMYFUNCTION("""COMPUTED_VALUE"""),"MH2")</f>
        <v>MH2</v>
      </c>
      <c r="F6" s="28">
        <f ca="1">IFERROR(__xludf.DUMMYFUNCTION("""COMPUTED_VALUE"""),2)</f>
        <v>2</v>
      </c>
      <c r="G6" s="16">
        <f ca="1">IFERROR(__xludf.DUMMYFUNCTION("""COMPUTED_VALUE"""),0.0178472233275879)</f>
        <v>1.78472233275879E-2</v>
      </c>
      <c r="H6" s="17">
        <f ca="1">IFERROR(__xludf.DUMMYFUNCTION("""COMPUTED_VALUE"""),0.00300925926907581)</f>
        <v>3.00925926907581E-3</v>
      </c>
      <c r="I6" s="17">
        <f ca="1">IFERROR(__xludf.DUMMYFUNCTION("""COMPUTED_VALUE"""),0.00695601854945075)</f>
        <v>6.9560185494507501E-3</v>
      </c>
      <c r="J6" s="17">
        <f ca="1">IFERROR(__xludf.DUMMYFUNCTION("""COMPUTED_VALUE"""),0.0073958341360374)</f>
        <v>7.3958341360373997E-3</v>
      </c>
      <c r="K6" s="18">
        <f ca="1">IFERROR(__xludf.DUMMYFUNCTION("""COMPUTED_VALUE"""),0.000486111373023977)</f>
        <v>4.86111373023977E-4</v>
      </c>
      <c r="L6" s="19"/>
      <c r="M6" s="19"/>
      <c r="N6" s="19"/>
      <c r="O6" s="19"/>
      <c r="P6" s="19"/>
      <c r="Q6" s="19"/>
      <c r="R6" s="19"/>
      <c r="S6" s="19"/>
      <c r="T6" s="19"/>
      <c r="U6" s="19"/>
      <c r="V6" s="20"/>
      <c r="W6" s="20"/>
      <c r="X6" s="20"/>
      <c r="Y6" s="20"/>
      <c r="Z6" s="21"/>
      <c r="AA6" s="22"/>
      <c r="AB6" s="23"/>
    </row>
    <row r="7" spans="1:28" ht="13.5" customHeight="1" x14ac:dyDescent="0.35">
      <c r="A7" s="24">
        <f ca="1">IFERROR(__xludf.DUMMYFUNCTION("""COMPUTED_VALUE"""),6)</f>
        <v>6</v>
      </c>
      <c r="B7" s="25" t="str">
        <f ca="1">IFERROR(__xludf.DUMMYFUNCTION("""COMPUTED_VALUE"""),"174")</f>
        <v>174</v>
      </c>
      <c r="C7" s="26" t="str">
        <f ca="1">IFERROR(__xludf.DUMMYFUNCTION("""COMPUTED_VALUE"""),"RODIER")</f>
        <v>RODIER</v>
      </c>
      <c r="D7" s="27" t="str">
        <f ca="1">IFERROR(__xludf.DUMMYFUNCTION("""COMPUTED_VALUE"""),"PIERRE")</f>
        <v>PIERRE</v>
      </c>
      <c r="E7" s="15" t="str">
        <f ca="1">IFERROR(__xludf.DUMMYFUNCTION("""COMPUTED_VALUE"""),"SH2")</f>
        <v>SH2</v>
      </c>
      <c r="F7" s="28">
        <f ca="1">IFERROR(__xludf.DUMMYFUNCTION("""COMPUTED_VALUE"""),1)</f>
        <v>1</v>
      </c>
      <c r="G7" s="16">
        <f ca="1">IFERROR(__xludf.DUMMYFUNCTION("""COMPUTED_VALUE"""),0.0180324084907818)</f>
        <v>1.80324084907818E-2</v>
      </c>
      <c r="H7" s="17">
        <f ca="1">IFERROR(__xludf.DUMMYFUNCTION("""COMPUTED_VALUE"""),0.00343750002314912)</f>
        <v>3.4375000231491198E-3</v>
      </c>
      <c r="I7" s="17">
        <f ca="1">IFERROR(__xludf.DUMMYFUNCTION("""COMPUTED_VALUE"""),0.0064351852166773)</f>
        <v>6.4351852166772998E-3</v>
      </c>
      <c r="J7" s="17">
        <f ca="1">IFERROR(__xludf.DUMMYFUNCTION("""COMPUTED_VALUE"""),0.00768518527925237)</f>
        <v>7.6851852792523701E-3</v>
      </c>
      <c r="K7" s="18">
        <f ca="1">IFERROR(__xludf.DUMMYFUNCTION("""COMPUTED_VALUE"""),0.000474537971703024)</f>
        <v>4.7453797170302401E-4</v>
      </c>
      <c r="L7" s="19"/>
      <c r="M7" s="19"/>
      <c r="N7" s="19"/>
      <c r="O7" s="19"/>
      <c r="P7" s="19"/>
      <c r="Q7" s="19"/>
      <c r="R7" s="19"/>
      <c r="S7" s="19"/>
      <c r="T7" s="19"/>
      <c r="U7" s="19"/>
      <c r="V7" s="20"/>
      <c r="W7" s="20"/>
      <c r="X7" s="20"/>
      <c r="Y7" s="20"/>
      <c r="Z7" s="21"/>
      <c r="AA7" s="22"/>
      <c r="AB7" s="23"/>
    </row>
    <row r="8" spans="1:28" ht="13.5" customHeight="1" x14ac:dyDescent="0.35">
      <c r="A8" s="24">
        <f ca="1">IFERROR(__xludf.DUMMYFUNCTION("""COMPUTED_VALUE"""),7)</f>
        <v>7</v>
      </c>
      <c r="B8" s="25" t="str">
        <f ca="1">IFERROR(__xludf.DUMMYFUNCTION("""COMPUTED_VALUE"""),"223")</f>
        <v>223</v>
      </c>
      <c r="C8" s="26" t="str">
        <f ca="1">IFERROR(__xludf.DUMMYFUNCTION("""COMPUTED_VALUE"""),"FROMENTEAU")</f>
        <v>FROMENTEAU</v>
      </c>
      <c r="D8" s="27" t="str">
        <f ca="1">IFERROR(__xludf.DUMMYFUNCTION("""COMPUTED_VALUE"""),"MATTHIEU")</f>
        <v>MATTHIEU</v>
      </c>
      <c r="E8" s="15" t="str">
        <f ca="1">IFERROR(__xludf.DUMMYFUNCTION("""COMPUTED_VALUE"""),"SH4")</f>
        <v>SH4</v>
      </c>
      <c r="F8" s="28">
        <f ca="1">IFERROR(__xludf.DUMMYFUNCTION("""COMPUTED_VALUE"""),2)</f>
        <v>2</v>
      </c>
      <c r="G8" s="16">
        <f ca="1">IFERROR(__xludf.DUMMYFUNCTION("""COMPUTED_VALUE"""),0.018043982043219)</f>
        <v>1.8043982043219001E-2</v>
      </c>
      <c r="H8" s="17">
        <f ca="1">IFERROR(__xludf.DUMMYFUNCTION("""COMPUTED_VALUE"""),0.00295138890684612)</f>
        <v>2.95138890684612E-3</v>
      </c>
      <c r="I8" s="17">
        <f ca="1">IFERROR(__xludf.DUMMYFUNCTION("""COMPUTED_VALUE"""),0.00694444449031792)</f>
        <v>6.9444444903179201E-3</v>
      </c>
      <c r="J8" s="17">
        <f ca="1">IFERROR(__xludf.DUMMYFUNCTION("""COMPUTED_VALUE"""),0.00773148181344431)</f>
        <v>7.7314818134443103E-3</v>
      </c>
      <c r="K8" s="18">
        <f ca="1">IFERROR(__xludf.DUMMYFUNCTION("""COMPUTED_VALUE"""),0.000416666832610658)</f>
        <v>4.1666683261065799E-4</v>
      </c>
      <c r="L8" s="19"/>
      <c r="M8" s="19"/>
      <c r="N8" s="19"/>
      <c r="O8" s="19"/>
      <c r="P8" s="19"/>
      <c r="Q8" s="19"/>
      <c r="R8" s="19"/>
      <c r="S8" s="19"/>
      <c r="T8" s="19"/>
      <c r="U8" s="19"/>
      <c r="V8" s="20"/>
      <c r="W8" s="20"/>
      <c r="X8" s="20"/>
      <c r="Y8" s="20"/>
      <c r="Z8" s="21"/>
      <c r="AA8" s="22"/>
      <c r="AB8" s="23"/>
    </row>
    <row r="9" spans="1:28" ht="13.5" customHeight="1" x14ac:dyDescent="0.35">
      <c r="A9" s="24">
        <f ca="1">IFERROR(__xludf.DUMMYFUNCTION("""COMPUTED_VALUE"""),8)</f>
        <v>8</v>
      </c>
      <c r="B9" s="25" t="str">
        <f ca="1">IFERROR(__xludf.DUMMYFUNCTION("""COMPUTED_VALUE"""),"156")</f>
        <v>156</v>
      </c>
      <c r="C9" s="26" t="str">
        <f ca="1">IFERROR(__xludf.DUMMYFUNCTION("""COMPUTED_VALUE"""),"PAGOAGA")</f>
        <v>PAGOAGA</v>
      </c>
      <c r="D9" s="27" t="str">
        <f ca="1">IFERROR(__xludf.DUMMYFUNCTION("""COMPUTED_VALUE"""),"IKER")</f>
        <v>IKER</v>
      </c>
      <c r="E9" s="15" t="str">
        <f ca="1">IFERROR(__xludf.DUMMYFUNCTION("""COMPUTED_VALUE"""),"SH4")</f>
        <v>SH4</v>
      </c>
      <c r="F9" s="28">
        <f ca="1">IFERROR(__xludf.DUMMYFUNCTION("""COMPUTED_VALUE"""),3)</f>
        <v>3</v>
      </c>
      <c r="G9" s="16">
        <f ca="1">IFERROR(__xludf.DUMMYFUNCTION("""COMPUTED_VALUE"""),0.0180671303943924)</f>
        <v>1.8067130394392401E-2</v>
      </c>
      <c r="H9" s="17">
        <f ca="1">IFERROR(__xludf.DUMMYFUNCTION("""COMPUTED_VALUE"""),0.00318287047382164)</f>
        <v>3.1828704738216399E-3</v>
      </c>
      <c r="I9" s="17">
        <f ca="1">IFERROR(__xludf.DUMMYFUNCTION("""COMPUTED_VALUE"""),0.0074768519090012)</f>
        <v>7.4768519090012003E-3</v>
      </c>
      <c r="J9" s="17">
        <f ca="1">IFERROR(__xludf.DUMMYFUNCTION("""COMPUTED_VALUE"""),0.00678240788352199)</f>
        <v>6.7824078835219898E-3</v>
      </c>
      <c r="K9" s="18">
        <f ca="1">IFERROR(__xludf.DUMMYFUNCTION("""COMPUTED_VALUE"""),0.00062500012804758)</f>
        <v>6.2500012804758004E-4</v>
      </c>
      <c r="L9" s="19"/>
      <c r="M9" s="19"/>
      <c r="N9" s="19"/>
      <c r="O9" s="19"/>
      <c r="P9" s="19"/>
      <c r="Q9" s="19"/>
      <c r="R9" s="19"/>
      <c r="S9" s="19"/>
      <c r="T9" s="19"/>
      <c r="U9" s="19"/>
      <c r="V9" s="20"/>
      <c r="W9" s="20"/>
      <c r="X9" s="20"/>
      <c r="Y9" s="20"/>
      <c r="Z9" s="21"/>
      <c r="AA9" s="22"/>
      <c r="AB9" s="23"/>
    </row>
    <row r="10" spans="1:28" ht="13.5" customHeight="1" x14ac:dyDescent="0.35">
      <c r="A10" s="24">
        <f ca="1">IFERROR(__xludf.DUMMYFUNCTION("""COMPUTED_VALUE"""),9)</f>
        <v>9</v>
      </c>
      <c r="B10" s="25" t="str">
        <f ca="1">IFERROR(__xludf.DUMMYFUNCTION("""COMPUTED_VALUE"""),"224")</f>
        <v>224</v>
      </c>
      <c r="C10" s="26" t="str">
        <f ca="1">IFERROR(__xludf.DUMMYFUNCTION("""COMPUTED_VALUE"""),"PELLERIN")</f>
        <v>PELLERIN</v>
      </c>
      <c r="D10" s="27" t="str">
        <f ca="1">IFERROR(__xludf.DUMMYFUNCTION("""COMPUTED_VALUE"""),"PAUL")</f>
        <v>PAUL</v>
      </c>
      <c r="E10" s="15" t="str">
        <f ca="1">IFERROR(__xludf.DUMMYFUNCTION("""COMPUTED_VALUE"""),"SH3")</f>
        <v>SH3</v>
      </c>
      <c r="F10" s="28">
        <f ca="1">IFERROR(__xludf.DUMMYFUNCTION("""COMPUTED_VALUE"""),2)</f>
        <v>2</v>
      </c>
      <c r="G10" s="16">
        <f ca="1">IFERROR(__xludf.DUMMYFUNCTION("""COMPUTED_VALUE"""),0.018136574494696)</f>
        <v>1.8136574494695998E-2</v>
      </c>
      <c r="H10" s="17">
        <f ca="1">IFERROR(__xludf.DUMMYFUNCTION("""COMPUTED_VALUE"""),0.0029398148162254)</f>
        <v>2.9398148162254E-3</v>
      </c>
      <c r="I10" s="17">
        <f ca="1">IFERROR(__xludf.DUMMYFUNCTION("""COMPUTED_VALUE"""),0.00702546301403967)</f>
        <v>7.0254630140396696E-3</v>
      </c>
      <c r="J10" s="17">
        <f ca="1">IFERROR(__xludf.DUMMYFUNCTION("""COMPUTED_VALUE"""),0.00767361064421492)</f>
        <v>7.6736106442149201E-3</v>
      </c>
      <c r="K10" s="18">
        <f ca="1">IFERROR(__xludf.DUMMYFUNCTION("""COMPUTED_VALUE"""),0.000497686020216054)</f>
        <v>4.9768602021605399E-4</v>
      </c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20"/>
      <c r="W10" s="20"/>
      <c r="X10" s="20"/>
      <c r="Y10" s="20"/>
      <c r="Z10" s="21"/>
      <c r="AA10" s="22"/>
      <c r="AB10" s="23"/>
    </row>
    <row r="11" spans="1:28" ht="13.5" customHeight="1" x14ac:dyDescent="0.35">
      <c r="A11" s="24">
        <f ca="1">IFERROR(__xludf.DUMMYFUNCTION("""COMPUTED_VALUE"""),10)</f>
        <v>10</v>
      </c>
      <c r="B11" s="25" t="str">
        <f ca="1">IFERROR(__xludf.DUMMYFUNCTION("""COMPUTED_VALUE"""),"220")</f>
        <v>220</v>
      </c>
      <c r="C11" s="26" t="str">
        <f ca="1">IFERROR(__xludf.DUMMYFUNCTION("""COMPUTED_VALUE"""),"KERGOAT")</f>
        <v>KERGOAT</v>
      </c>
      <c r="D11" s="27" t="str">
        <f ca="1">IFERROR(__xludf.DUMMYFUNCTION("""COMPUTED_VALUE"""),"FRANCOIS")</f>
        <v>FRANCOIS</v>
      </c>
      <c r="E11" s="15" t="str">
        <f ca="1">IFERROR(__xludf.DUMMYFUNCTION("""COMPUTED_VALUE"""),"SH4")</f>
        <v>SH4</v>
      </c>
      <c r="F11" s="28">
        <f ca="1">IFERROR(__xludf.DUMMYFUNCTION("""COMPUTED_VALUE"""),4)</f>
        <v>4</v>
      </c>
      <c r="G11" s="16">
        <f ca="1">IFERROR(__xludf.DUMMYFUNCTION("""COMPUTED_VALUE"""),0.0181597229826362)</f>
        <v>1.8159722982636201E-2</v>
      </c>
      <c r="H11" s="17">
        <f ca="1">IFERROR(__xludf.DUMMYFUNCTION("""COMPUTED_VALUE"""),0.0030439815024599)</f>
        <v>3.0439815024598999E-3</v>
      </c>
      <c r="I11" s="17">
        <f ca="1">IFERROR(__xludf.DUMMYFUNCTION("""COMPUTED_VALUE"""),0.00697916675568808)</f>
        <v>6.97916675568808E-3</v>
      </c>
      <c r="J11" s="17">
        <f ca="1">IFERROR(__xludf.DUMMYFUNCTION("""COMPUTED_VALUE"""),0.0073842590173691)</f>
        <v>7.3842590173690999E-3</v>
      </c>
      <c r="K11" s="18">
        <f ca="1">IFERROR(__xludf.DUMMYFUNCTION("""COMPUTED_VALUE"""),0.000752315707119195)</f>
        <v>7.5231570711919505E-4</v>
      </c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20"/>
      <c r="W11" s="20"/>
      <c r="X11" s="20"/>
      <c r="Y11" s="20"/>
      <c r="Z11" s="21"/>
      <c r="AA11" s="22"/>
      <c r="AB11" s="23"/>
    </row>
    <row r="12" spans="1:28" ht="13.5" customHeight="1" x14ac:dyDescent="0.35">
      <c r="A12" s="24">
        <f ca="1">IFERROR(__xludf.DUMMYFUNCTION("""COMPUTED_VALUE"""),11)</f>
        <v>11</v>
      </c>
      <c r="B12" s="25" t="str">
        <f ca="1">IFERROR(__xludf.DUMMYFUNCTION("""COMPUTED_VALUE"""),"221")</f>
        <v>221</v>
      </c>
      <c r="C12" s="26" t="str">
        <f ca="1">IFERROR(__xludf.DUMMYFUNCTION("""COMPUTED_VALUE"""),"GRAZIANI")</f>
        <v>GRAZIANI</v>
      </c>
      <c r="D12" s="27" t="str">
        <f ca="1">IFERROR(__xludf.DUMMYFUNCTION("""COMPUTED_VALUE"""),"LEO")</f>
        <v>LEO</v>
      </c>
      <c r="E12" s="15" t="str">
        <f ca="1">IFERROR(__xludf.DUMMYFUNCTION("""COMPUTED_VALUE"""),"SH3")</f>
        <v>SH3</v>
      </c>
      <c r="F12" s="28">
        <f ca="1">IFERROR(__xludf.DUMMYFUNCTION("""COMPUTED_VALUE"""),3)</f>
        <v>3</v>
      </c>
      <c r="G12" s="16">
        <f ca="1">IFERROR(__xludf.DUMMYFUNCTION("""COMPUTED_VALUE"""),0.0183101859797515)</f>
        <v>1.8310185979751498E-2</v>
      </c>
      <c r="H12" s="17">
        <f ca="1">IFERROR(__xludf.DUMMYFUNCTION("""COMPUTED_VALUE"""),0.00366898157950319)</f>
        <v>3.6689815795031902E-3</v>
      </c>
      <c r="I12" s="17">
        <f ca="1">IFERROR(__xludf.DUMMYFUNCTION("""COMPUTED_VALUE"""),0.00651620379164203)</f>
        <v>6.5162037916420296E-3</v>
      </c>
      <c r="J12" s="17">
        <f ca="1">IFERROR(__xludf.DUMMYFUNCTION("""COMPUTED_VALUE"""),0.00738425930242137)</f>
        <v>7.3842593024213699E-3</v>
      </c>
      <c r="K12" s="18">
        <f ca="1">IFERROR(__xludf.DUMMYFUNCTION("""COMPUTED_VALUE"""),0.000740741306184945)</f>
        <v>7.4074130618494497E-4</v>
      </c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20"/>
      <c r="W12" s="20"/>
      <c r="X12" s="20"/>
      <c r="Y12" s="20"/>
      <c r="Z12" s="21"/>
      <c r="AA12" s="22"/>
      <c r="AB12" s="23"/>
    </row>
    <row r="13" spans="1:28" ht="13.5" customHeight="1" x14ac:dyDescent="0.35">
      <c r="A13" s="24">
        <f ca="1">IFERROR(__xludf.DUMMYFUNCTION("""COMPUTED_VALUE"""),12)</f>
        <v>12</v>
      </c>
      <c r="B13" s="25" t="str">
        <f ca="1">IFERROR(__xludf.DUMMYFUNCTION("""COMPUTED_VALUE"""),"116")</f>
        <v>116</v>
      </c>
      <c r="C13" s="26" t="str">
        <f ca="1">IFERROR(__xludf.DUMMYFUNCTION("""COMPUTED_VALUE"""),"MORET")</f>
        <v>MORET</v>
      </c>
      <c r="D13" s="27" t="str">
        <f ca="1">IFERROR(__xludf.DUMMYFUNCTION("""COMPUTED_VALUE"""),"QUENTIN")</f>
        <v>QUENTIN</v>
      </c>
      <c r="E13" s="15" t="str">
        <f ca="1">IFERROR(__xludf.DUMMYFUNCTION("""COMPUTED_VALUE"""),"SH3")</f>
        <v>SH3</v>
      </c>
      <c r="F13" s="28">
        <f ca="1">IFERROR(__xludf.DUMMYFUNCTION("""COMPUTED_VALUE"""),4)</f>
        <v>4</v>
      </c>
      <c r="G13" s="16">
        <f ca="1">IFERROR(__xludf.DUMMYFUNCTION("""COMPUTED_VALUE"""),0.0183449084922067)</f>
        <v>1.8344908492206699E-2</v>
      </c>
      <c r="H13" s="17">
        <f ca="1">IFERROR(__xludf.DUMMYFUNCTION("""COMPUTED_VALUE"""),0.00353009269218167)</f>
        <v>3.5300926921816699E-3</v>
      </c>
      <c r="I13" s="17">
        <f ca="1">IFERROR(__xludf.DUMMYFUNCTION("""COMPUTED_VALUE"""),0.00699074078235587)</f>
        <v>6.9907407823558698E-3</v>
      </c>
      <c r="J13" s="17">
        <f ca="1">IFERROR(__xludf.DUMMYFUNCTION("""COMPUTED_VALUE"""),0.0071296303647569)</f>
        <v>7.1296303647568997E-3</v>
      </c>
      <c r="K13" s="18">
        <f ca="1">IFERROR(__xludf.DUMMYFUNCTION("""COMPUTED_VALUE"""),0.00069444465291233)</f>
        <v>6.9444465291233E-4</v>
      </c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20"/>
      <c r="W13" s="20"/>
      <c r="X13" s="20"/>
      <c r="Y13" s="20"/>
      <c r="Z13" s="21"/>
      <c r="AA13" s="22"/>
      <c r="AB13" s="23"/>
    </row>
    <row r="14" spans="1:28" ht="13.5" customHeight="1" x14ac:dyDescent="0.35">
      <c r="A14" s="24">
        <f ca="1">IFERROR(__xludf.DUMMYFUNCTION("""COMPUTED_VALUE"""),13)</f>
        <v>13</v>
      </c>
      <c r="B14" s="25" t="str">
        <f ca="1">IFERROR(__xludf.DUMMYFUNCTION("""COMPUTED_VALUE"""),"199")</f>
        <v>199</v>
      </c>
      <c r="C14" s="26" t="str">
        <f ca="1">IFERROR(__xludf.DUMMYFUNCTION("""COMPUTED_VALUE"""),"DECANTER")</f>
        <v>DECANTER</v>
      </c>
      <c r="D14" s="27" t="str">
        <f ca="1">IFERROR(__xludf.DUMMYFUNCTION("""COMPUTED_VALUE"""),"MATTHIAS")</f>
        <v>MATTHIAS</v>
      </c>
      <c r="E14" s="15" t="str">
        <f ca="1">IFERROR(__xludf.DUMMYFUNCTION("""COMPUTED_VALUE"""),"MH2")</f>
        <v>MH2</v>
      </c>
      <c r="F14" s="28">
        <f ca="1">IFERROR(__xludf.DUMMYFUNCTION("""COMPUTED_VALUE"""),3)</f>
        <v>3</v>
      </c>
      <c r="G14" s="16">
        <f ca="1">IFERROR(__xludf.DUMMYFUNCTION("""COMPUTED_VALUE"""),0.0183912043712926)</f>
        <v>1.8391204371292599E-2</v>
      </c>
      <c r="H14" s="17">
        <f ca="1">IFERROR(__xludf.DUMMYFUNCTION("""COMPUTED_VALUE"""),0.0028587963967393)</f>
        <v>2.8587963967393001E-3</v>
      </c>
      <c r="I14" s="17">
        <f ca="1">IFERROR(__xludf.DUMMYFUNCTION("""COMPUTED_VALUE"""),0.0070254629929974)</f>
        <v>7.0254629929974001E-3</v>
      </c>
      <c r="J14" s="17">
        <f ca="1">IFERROR(__xludf.DUMMYFUNCTION("""COMPUTED_VALUE"""),0.00782407454941043)</f>
        <v>7.8240745494104307E-3</v>
      </c>
      <c r="K14" s="18">
        <f ca="1">IFERROR(__xludf.DUMMYFUNCTION("""COMPUTED_VALUE"""),0.000682870432145489)</f>
        <v>6.8287043214548902E-4</v>
      </c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20"/>
      <c r="W14" s="20"/>
      <c r="X14" s="20"/>
      <c r="Y14" s="20"/>
      <c r="Z14" s="21"/>
      <c r="AA14" s="22"/>
      <c r="AB14" s="23"/>
    </row>
    <row r="15" spans="1:28" ht="13.5" customHeight="1" x14ac:dyDescent="0.35">
      <c r="A15" s="24">
        <f ca="1">IFERROR(__xludf.DUMMYFUNCTION("""COMPUTED_VALUE"""),14)</f>
        <v>14</v>
      </c>
      <c r="B15" s="25" t="str">
        <f ca="1">IFERROR(__xludf.DUMMYFUNCTION("""COMPUTED_VALUE"""),"127")</f>
        <v>127</v>
      </c>
      <c r="C15" s="26" t="str">
        <f ca="1">IFERROR(__xludf.DUMMYFUNCTION("""COMPUTED_VALUE"""),"ROSANVALLON")</f>
        <v>ROSANVALLON</v>
      </c>
      <c r="D15" s="27" t="str">
        <f ca="1">IFERROR(__xludf.DUMMYFUNCTION("""COMPUTED_VALUE"""),"JÉRÉMIE")</f>
        <v>JÉRÉMIE</v>
      </c>
      <c r="E15" s="15" t="str">
        <f ca="1">IFERROR(__xludf.DUMMYFUNCTION("""COMPUTED_VALUE"""),"MH2")</f>
        <v>MH2</v>
      </c>
      <c r="F15" s="28">
        <f ca="1">IFERROR(__xludf.DUMMYFUNCTION("""COMPUTED_VALUE"""),4)</f>
        <v>4</v>
      </c>
      <c r="G15" s="16">
        <f ca="1">IFERROR(__xludf.DUMMYFUNCTION("""COMPUTED_VALUE"""),0.0184259260884095)</f>
        <v>1.8425926088409501E-2</v>
      </c>
      <c r="H15" s="17">
        <f ca="1">IFERROR(__xludf.DUMMYFUNCTION("""COMPUTED_VALUE"""),0.00372685191650366)</f>
        <v>3.7268519165036601E-3</v>
      </c>
      <c r="I15" s="17">
        <f ca="1">IFERROR(__xludf.DUMMYFUNCTION("""COMPUTED_VALUE"""),0.00592592597558039)</f>
        <v>5.9259259755803902E-3</v>
      </c>
      <c r="J15" s="17">
        <f ca="1">IFERROR(__xludf.DUMMYFUNCTION("""COMPUTED_VALUE"""),0.00827546211055218)</f>
        <v>8.2754621105521793E-3</v>
      </c>
      <c r="K15" s="18">
        <f ca="1">IFERROR(__xludf.DUMMYFUNCTION("""COMPUTED_VALUE"""),0.000497686085773273)</f>
        <v>4.9768608577327304E-4</v>
      </c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20"/>
      <c r="W15" s="20"/>
      <c r="X15" s="20"/>
      <c r="Y15" s="20"/>
      <c r="Z15" s="21"/>
      <c r="AA15" s="22"/>
      <c r="AB15" s="23"/>
    </row>
    <row r="16" spans="1:28" ht="13.5" customHeight="1" x14ac:dyDescent="0.35">
      <c r="A16" s="24">
        <f ca="1">IFERROR(__xludf.DUMMYFUNCTION("""COMPUTED_VALUE"""),15)</f>
        <v>15</v>
      </c>
      <c r="B16" s="25" t="str">
        <f ca="1">IFERROR(__xludf.DUMMYFUNCTION("""COMPUTED_VALUE"""),"187")</f>
        <v>187</v>
      </c>
      <c r="C16" s="26" t="str">
        <f ca="1">IFERROR(__xludf.DUMMYFUNCTION("""COMPUTED_VALUE"""),"BULMAN")</f>
        <v>BULMAN</v>
      </c>
      <c r="D16" s="27" t="str">
        <f ca="1">IFERROR(__xludf.DUMMYFUNCTION("""COMPUTED_VALUE"""),"TIMOTHY")</f>
        <v>TIMOTHY</v>
      </c>
      <c r="E16" s="15" t="str">
        <f ca="1">IFERROR(__xludf.DUMMYFUNCTION("""COMPUTED_VALUE"""),"MH2")</f>
        <v>MH2</v>
      </c>
      <c r="F16" s="28">
        <f ca="1">IFERROR(__xludf.DUMMYFUNCTION("""COMPUTED_VALUE"""),5)</f>
        <v>5</v>
      </c>
      <c r="G16" s="16">
        <f ca="1">IFERROR(__xludf.DUMMYFUNCTION("""COMPUTED_VALUE"""),0.0185069448483518)</f>
        <v>1.8506944848351799E-2</v>
      </c>
      <c r="H16" s="17">
        <f ca="1">IFERROR(__xludf.DUMMYFUNCTION("""COMPUTED_VALUE"""),0.00343750000317204)</f>
        <v>3.4375000031720399E-3</v>
      </c>
      <c r="I16" s="17">
        <f ca="1">IFERROR(__xludf.DUMMYFUNCTION("""COMPUTED_VALUE"""),0.00721064820252469)</f>
        <v>7.2106482025246898E-3</v>
      </c>
      <c r="J16" s="17">
        <f ca="1">IFERROR(__xludf.DUMMYFUNCTION("""COMPUTED_VALUE"""),0.00712962938181818)</f>
        <v>7.1296293818181797E-3</v>
      </c>
      <c r="K16" s="18">
        <f ca="1">IFERROR(__xludf.DUMMYFUNCTION("""COMPUTED_VALUE"""),0.000729167260836921)</f>
        <v>7.2916726083692104E-4</v>
      </c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20"/>
      <c r="W16" s="20"/>
      <c r="X16" s="20"/>
      <c r="Y16" s="20"/>
      <c r="Z16" s="21"/>
      <c r="AA16" s="22"/>
      <c r="AB16" s="23"/>
    </row>
    <row r="17" spans="1:28" ht="13.5" customHeight="1" x14ac:dyDescent="0.35">
      <c r="A17" s="24">
        <f ca="1">IFERROR(__xludf.DUMMYFUNCTION("""COMPUTED_VALUE"""),16)</f>
        <v>16</v>
      </c>
      <c r="B17" s="25" t="str">
        <f ca="1">IFERROR(__xludf.DUMMYFUNCTION("""COMPUTED_VALUE"""),"194")</f>
        <v>194</v>
      </c>
      <c r="C17" s="26" t="str">
        <f ca="1">IFERROR(__xludf.DUMMYFUNCTION("""COMPUTED_VALUE"""),"GOUBET")</f>
        <v>GOUBET</v>
      </c>
      <c r="D17" s="27" t="str">
        <f ca="1">IFERROR(__xludf.DUMMYFUNCTION("""COMPUTED_VALUE"""),"ARNAUD")</f>
        <v>ARNAUD</v>
      </c>
      <c r="E17" s="15" t="str">
        <f ca="1">IFERROR(__xludf.DUMMYFUNCTION("""COMPUTED_VALUE"""),"MH2")</f>
        <v>MH2</v>
      </c>
      <c r="F17" s="28">
        <f ca="1">IFERROR(__xludf.DUMMYFUNCTION("""COMPUTED_VALUE"""),6)</f>
        <v>6</v>
      </c>
      <c r="G17" s="16">
        <f ca="1">IFERROR(__xludf.DUMMYFUNCTION("""COMPUTED_VALUE"""),0.0185185196245747)</f>
        <v>1.8518519624574702E-2</v>
      </c>
      <c r="H17" s="17">
        <f ca="1">IFERROR(__xludf.DUMMYFUNCTION("""COMPUTED_VALUE"""),0.00342592601098447)</f>
        <v>3.42592601098447E-3</v>
      </c>
      <c r="I17" s="17">
        <f ca="1">IFERROR(__xludf.DUMMYFUNCTION("""COMPUTED_VALUE"""),0.00734953713620363)</f>
        <v>7.3495371362036297E-3</v>
      </c>
      <c r="J17" s="17">
        <f ca="1">IFERROR(__xludf.DUMMYFUNCTION("""COMPUTED_VALUE"""),0.0070138895165952)</f>
        <v>7.0138895165952004E-3</v>
      </c>
      <c r="K17" s="18">
        <f ca="1">IFERROR(__xludf.DUMMYFUNCTION("""COMPUTED_VALUE"""),0.00072916696079144)</f>
        <v>7.2916696079143996E-4</v>
      </c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20"/>
      <c r="W17" s="20"/>
      <c r="X17" s="20"/>
      <c r="Y17" s="20"/>
      <c r="Z17" s="21"/>
      <c r="AA17" s="22"/>
      <c r="AB17" s="23"/>
    </row>
    <row r="18" spans="1:28" ht="13.5" customHeight="1" x14ac:dyDescent="0.35">
      <c r="A18" s="24">
        <f ca="1">IFERROR(__xludf.DUMMYFUNCTION("""COMPUTED_VALUE"""),17)</f>
        <v>17</v>
      </c>
      <c r="B18" s="25" t="str">
        <f ca="1">IFERROR(__xludf.DUMMYFUNCTION("""COMPUTED_VALUE"""),"226")</f>
        <v>226</v>
      </c>
      <c r="C18" s="26" t="str">
        <f ca="1">IFERROR(__xludf.DUMMYFUNCTION("""COMPUTED_VALUE"""),"TELLIER")</f>
        <v>TELLIER</v>
      </c>
      <c r="D18" s="27" t="str">
        <f ca="1">IFERROR(__xludf.DUMMYFUNCTION("""COMPUTED_VALUE"""),"MAXIME")</f>
        <v>MAXIME</v>
      </c>
      <c r="E18" s="15" t="str">
        <f ca="1">IFERROR(__xludf.DUMMYFUNCTION("""COMPUTED_VALUE"""),"MH1")</f>
        <v>MH1</v>
      </c>
      <c r="F18" s="28">
        <f ca="1">IFERROR(__xludf.DUMMYFUNCTION("""COMPUTED_VALUE"""),2)</f>
        <v>2</v>
      </c>
      <c r="G18" s="16">
        <f ca="1">IFERROR(__xludf.DUMMYFUNCTION("""COMPUTED_VALUE"""),0.0186111111235541)</f>
        <v>1.8611111123554101E-2</v>
      </c>
      <c r="H18" s="17">
        <f ca="1">IFERROR(__xludf.DUMMYFUNCTION("""COMPUTED_VALUE"""),0.00278935186981825)</f>
        <v>2.7893518698182498E-3</v>
      </c>
      <c r="I18" s="17">
        <f ca="1">IFERROR(__xludf.DUMMYFUNCTION("""COMPUTED_VALUE"""),0.00732638896760782)</f>
        <v>7.3263889676078199E-3</v>
      </c>
      <c r="J18" s="17">
        <f ca="1">IFERROR(__xludf.DUMMYFUNCTION("""COMPUTED_VALUE"""),0.00756944375653717)</f>
        <v>7.5694437565371701E-3</v>
      </c>
      <c r="K18" s="18">
        <f ca="1">IFERROR(__xludf.DUMMYFUNCTION("""COMPUTED_VALUE"""),0.000925926529590847)</f>
        <v>9.2592652959084696E-4</v>
      </c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20"/>
      <c r="W18" s="20"/>
      <c r="X18" s="20"/>
      <c r="Y18" s="20"/>
      <c r="Z18" s="21"/>
      <c r="AA18" s="22"/>
      <c r="AB18" s="23"/>
    </row>
    <row r="19" spans="1:28" ht="13.5" customHeight="1" x14ac:dyDescent="0.35">
      <c r="A19" s="24">
        <f ca="1">IFERROR(__xludf.DUMMYFUNCTION("""COMPUTED_VALUE"""),18)</f>
        <v>18</v>
      </c>
      <c r="B19" s="25" t="str">
        <f ca="1">IFERROR(__xludf.DUMMYFUNCTION("""COMPUTED_VALUE"""),"129")</f>
        <v>129</v>
      </c>
      <c r="C19" s="26" t="str">
        <f ca="1">IFERROR(__xludf.DUMMYFUNCTION("""COMPUTED_VALUE"""),"PUISAIS HEE")</f>
        <v>PUISAIS HEE</v>
      </c>
      <c r="D19" s="27" t="str">
        <f ca="1">IFERROR(__xludf.DUMMYFUNCTION("""COMPUTED_VALUE"""),"LUC")</f>
        <v>LUC</v>
      </c>
      <c r="E19" s="15" t="str">
        <f ca="1">IFERROR(__xludf.DUMMYFUNCTION("""COMPUTED_VALUE"""),"MH1")</f>
        <v>MH1</v>
      </c>
      <c r="F19" s="28">
        <f ca="1">IFERROR(__xludf.DUMMYFUNCTION("""COMPUTED_VALUE"""),3)</f>
        <v>3</v>
      </c>
      <c r="G19" s="16">
        <f ca="1">IFERROR(__xludf.DUMMYFUNCTION("""COMPUTED_VALUE"""),0.0187384266513463)</f>
        <v>1.8738426651346299E-2</v>
      </c>
      <c r="H19" s="17">
        <f ca="1">IFERROR(__xludf.DUMMYFUNCTION("""COMPUTED_VALUE"""),0.00378472228730047)</f>
        <v>3.7847222873004698E-3</v>
      </c>
      <c r="I19" s="17">
        <f ca="1">IFERROR(__xludf.DUMMYFUNCTION("""COMPUTED_VALUE"""),0.00716435192778833)</f>
        <v>7.1643519277883299E-3</v>
      </c>
      <c r="J19" s="17">
        <f ca="1">IFERROR(__xludf.DUMMYFUNCTION("""COMPUTED_VALUE"""),0.00701388887001966)</f>
        <v>7.0138888700196599E-3</v>
      </c>
      <c r="K19" s="18">
        <f ca="1">IFERROR(__xludf.DUMMYFUNCTION("""COMPUTED_VALUE"""),0.000775463566237834)</f>
        <v>7.7546356623783396E-4</v>
      </c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20"/>
      <c r="W19" s="20"/>
      <c r="X19" s="20"/>
      <c r="Y19" s="20"/>
      <c r="Z19" s="21"/>
      <c r="AA19" s="22"/>
      <c r="AB19" s="23"/>
    </row>
    <row r="20" spans="1:28" ht="13.5" customHeight="1" x14ac:dyDescent="0.35">
      <c r="A20" s="24">
        <f ca="1">IFERROR(__xludf.DUMMYFUNCTION("""COMPUTED_VALUE"""),19)</f>
        <v>19</v>
      </c>
      <c r="B20" s="25" t="str">
        <f ca="1">IFERROR(__xludf.DUMMYFUNCTION("""COMPUTED_VALUE"""),"200")</f>
        <v>200</v>
      </c>
      <c r="C20" s="26" t="str">
        <f ca="1">IFERROR(__xludf.DUMMYFUNCTION("""COMPUTED_VALUE"""),"BOYER")</f>
        <v>BOYER</v>
      </c>
      <c r="D20" s="27" t="str">
        <f ca="1">IFERROR(__xludf.DUMMYFUNCTION("""COMPUTED_VALUE"""),"MATTHIEU")</f>
        <v>MATTHIEU</v>
      </c>
      <c r="E20" s="15" t="str">
        <f ca="1">IFERROR(__xludf.DUMMYFUNCTION("""COMPUTED_VALUE"""),"MH1")</f>
        <v>MH1</v>
      </c>
      <c r="F20" s="28">
        <f ca="1">IFERROR(__xludf.DUMMYFUNCTION("""COMPUTED_VALUE"""),4)</f>
        <v>4</v>
      </c>
      <c r="G20" s="16">
        <f ca="1">IFERROR(__xludf.DUMMYFUNCTION("""COMPUTED_VALUE"""),0.0188541667790483)</f>
        <v>1.88541667790483E-2</v>
      </c>
      <c r="H20" s="17">
        <f ca="1">IFERROR(__xludf.DUMMYFUNCTION("""COMPUTED_VALUE"""),0.00303240751537718)</f>
        <v>3.0324075153771802E-3</v>
      </c>
      <c r="I20" s="17">
        <f ca="1">IFERROR(__xludf.DUMMYFUNCTION("""COMPUTED_VALUE"""),0.00773148148340892)</f>
        <v>7.7314814834089198E-3</v>
      </c>
      <c r="J20" s="17">
        <f ca="1">IFERROR(__xludf.DUMMYFUNCTION("""COMPUTED_VALUE"""),0.00729166618480717)</f>
        <v>7.29166618480717E-3</v>
      </c>
      <c r="K20" s="18">
        <f ca="1">IFERROR(__xludf.DUMMYFUNCTION("""COMPUTED_VALUE"""),0.000798611595455048)</f>
        <v>7.9861159545504797E-4</v>
      </c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20"/>
      <c r="W20" s="20"/>
      <c r="X20" s="20"/>
      <c r="Y20" s="20"/>
      <c r="Z20" s="21"/>
      <c r="AA20" s="22"/>
      <c r="AB20" s="23"/>
    </row>
    <row r="21" spans="1:28" ht="13.5" customHeight="1" x14ac:dyDescent="0.35">
      <c r="A21" s="24">
        <f ca="1">IFERROR(__xludf.DUMMYFUNCTION("""COMPUTED_VALUE"""),20)</f>
        <v>20</v>
      </c>
      <c r="B21" s="25" t="str">
        <f ca="1">IFERROR(__xludf.DUMMYFUNCTION("""COMPUTED_VALUE"""),"169")</f>
        <v>169</v>
      </c>
      <c r="C21" s="26" t="str">
        <f ca="1">IFERROR(__xludf.DUMMYFUNCTION("""COMPUTED_VALUE"""),"CAYROU")</f>
        <v>CAYROU</v>
      </c>
      <c r="D21" s="27" t="str">
        <f ca="1">IFERROR(__xludf.DUMMYFUNCTION("""COMPUTED_VALUE"""),"BENJAMIN")</f>
        <v>BENJAMIN</v>
      </c>
      <c r="E21" s="15" t="str">
        <f ca="1">IFERROR(__xludf.DUMMYFUNCTION("""COMPUTED_VALUE"""),"MH2")</f>
        <v>MH2</v>
      </c>
      <c r="F21" s="28">
        <f ca="1">IFERROR(__xludf.DUMMYFUNCTION("""COMPUTED_VALUE"""),7)</f>
        <v>7</v>
      </c>
      <c r="G21" s="16">
        <f ca="1">IFERROR(__xludf.DUMMYFUNCTION("""COMPUTED_VALUE"""),0.0189004636356315)</f>
        <v>1.8900463635631502E-2</v>
      </c>
      <c r="H21" s="17">
        <f ca="1">IFERROR(__xludf.DUMMYFUNCTION("""COMPUTED_VALUE"""),0.00334490742938376)</f>
        <v>3.3449074293837601E-3</v>
      </c>
      <c r="I21" s="17">
        <f ca="1">IFERROR(__xludf.DUMMYFUNCTION("""COMPUTED_VALUE"""),0.00685185190545703)</f>
        <v>6.8518519054570296E-3</v>
      </c>
      <c r="J21" s="17">
        <f ca="1">IFERROR(__xludf.DUMMYFUNCTION("""COMPUTED_VALUE"""),0.00819444468382488)</f>
        <v>8.1944446838248808E-3</v>
      </c>
      <c r="K21" s="18">
        <f ca="1">IFERROR(__xludf.DUMMYFUNCTION("""COMPUTED_VALUE"""),0.000509259616965816)</f>
        <v>5.0925961696581597E-4</v>
      </c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20"/>
      <c r="W21" s="20"/>
      <c r="X21" s="20"/>
      <c r="Y21" s="20"/>
      <c r="Z21" s="21"/>
      <c r="AA21" s="22"/>
      <c r="AB21" s="23"/>
    </row>
    <row r="22" spans="1:28" ht="13.5" customHeight="1" x14ac:dyDescent="0.35">
      <c r="A22" s="24">
        <f ca="1">IFERROR(__xludf.DUMMYFUNCTION("""COMPUTED_VALUE"""),21)</f>
        <v>21</v>
      </c>
      <c r="B22" s="25" t="str">
        <f ca="1">IFERROR(__xludf.DUMMYFUNCTION("""COMPUTED_VALUE"""),"201")</f>
        <v>201</v>
      </c>
      <c r="C22" s="26" t="str">
        <f ca="1">IFERROR(__xludf.DUMMYFUNCTION("""COMPUTED_VALUE"""),"MERLEY")</f>
        <v>MERLEY</v>
      </c>
      <c r="D22" s="27" t="str">
        <f ca="1">IFERROR(__xludf.DUMMYFUNCTION("""COMPUTED_VALUE"""),"MAXENCE")</f>
        <v>MAXENCE</v>
      </c>
      <c r="E22" s="15" t="str">
        <f ca="1">IFERROR(__xludf.DUMMYFUNCTION("""COMPUTED_VALUE"""),"SH4")</f>
        <v>SH4</v>
      </c>
      <c r="F22" s="28">
        <f ca="1">IFERROR(__xludf.DUMMYFUNCTION("""COMPUTED_VALUE"""),5)</f>
        <v>5</v>
      </c>
      <c r="G22" s="16">
        <f ca="1">IFERROR(__xludf.DUMMYFUNCTION("""COMPUTED_VALUE"""),0.019027778400684)</f>
        <v>1.9027778400683999E-2</v>
      </c>
      <c r="H22" s="17">
        <f ca="1">IFERROR(__xludf.DUMMYFUNCTION("""COMPUTED_VALUE"""),0.00305555563120468)</f>
        <v>3.0555556312046798E-3</v>
      </c>
      <c r="I22" s="17">
        <f ca="1">IFERROR(__xludf.DUMMYFUNCTION("""COMPUTED_VALUE"""),0.00662037037663619)</f>
        <v>6.6203703766361897E-3</v>
      </c>
      <c r="J22" s="17">
        <f ca="1">IFERROR(__xludf.DUMMYFUNCTION("""COMPUTED_VALUE"""),0.0087152777994496)</f>
        <v>8.7152777994496007E-3</v>
      </c>
      <c r="K22" s="18">
        <f ca="1">IFERROR(__xludf.DUMMYFUNCTION("""COMPUTED_VALUE"""),0.000636574593393587)</f>
        <v>6.3657459339358697E-4</v>
      </c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20"/>
      <c r="W22" s="20"/>
      <c r="X22" s="20"/>
      <c r="Y22" s="20"/>
      <c r="Z22" s="21"/>
      <c r="AA22" s="22"/>
      <c r="AB22" s="23"/>
    </row>
    <row r="23" spans="1:28" ht="13.5" customHeight="1" x14ac:dyDescent="0.35">
      <c r="A23" s="24">
        <f ca="1">IFERROR(__xludf.DUMMYFUNCTION("""COMPUTED_VALUE"""),22)</f>
        <v>22</v>
      </c>
      <c r="B23" s="25" t="str">
        <f ca="1">IFERROR(__xludf.DUMMYFUNCTION("""COMPUTED_VALUE"""),"167")</f>
        <v>167</v>
      </c>
      <c r="C23" s="26" t="str">
        <f ca="1">IFERROR(__xludf.DUMMYFUNCTION("""COMPUTED_VALUE"""),"DELOUX")</f>
        <v>DELOUX</v>
      </c>
      <c r="D23" s="27" t="str">
        <f ca="1">IFERROR(__xludf.DUMMYFUNCTION("""COMPUTED_VALUE"""),"ROBIN")</f>
        <v>ROBIN</v>
      </c>
      <c r="E23" s="15" t="str">
        <f ca="1">IFERROR(__xludf.DUMMYFUNCTION("""COMPUTED_VALUE"""),"SH4")</f>
        <v>SH4</v>
      </c>
      <c r="F23" s="28">
        <f ca="1">IFERROR(__xludf.DUMMYFUNCTION("""COMPUTED_VALUE"""),6)</f>
        <v>6</v>
      </c>
      <c r="G23" s="16">
        <f ca="1">IFERROR(__xludf.DUMMYFUNCTION("""COMPUTED_VALUE"""),0.0190393522484301)</f>
        <v>1.9039352248430098E-2</v>
      </c>
      <c r="H23" s="17">
        <f ca="1">IFERROR(__xludf.DUMMYFUNCTION("""COMPUTED_VALUE"""),0.00376157416315953)</f>
        <v>3.7615741631595299E-3</v>
      </c>
      <c r="I23" s="17">
        <f ca="1">IFERROR(__xludf.DUMMYFUNCTION("""COMPUTED_VALUE"""),0.00730324076624561)</f>
        <v>7.3032407662456103E-3</v>
      </c>
      <c r="J23" s="17">
        <f ca="1">IFERROR(__xludf.DUMMYFUNCTION("""COMPUTED_VALUE"""),0.0071990741441421)</f>
        <v>7.1990741441420999E-3</v>
      </c>
      <c r="K23" s="18">
        <f ca="1">IFERROR(__xludf.DUMMYFUNCTION("""COMPUTED_VALUE"""),0.000775463174882841)</f>
        <v>7.7546317488284095E-4</v>
      </c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20"/>
      <c r="W23" s="20"/>
      <c r="X23" s="20"/>
      <c r="Y23" s="20"/>
      <c r="Z23" s="21"/>
      <c r="AA23" s="22"/>
      <c r="AB23" s="23"/>
    </row>
    <row r="24" spans="1:28" ht="13.5" customHeight="1" x14ac:dyDescent="0.35">
      <c r="A24" s="24">
        <f ca="1">IFERROR(__xludf.DUMMYFUNCTION("""COMPUTED_VALUE"""),23)</f>
        <v>23</v>
      </c>
      <c r="B24" s="25" t="str">
        <f ca="1">IFERROR(__xludf.DUMMYFUNCTION("""COMPUTED_VALUE"""),"185")</f>
        <v>185</v>
      </c>
      <c r="C24" s="26" t="str">
        <f ca="1">IFERROR(__xludf.DUMMYFUNCTION("""COMPUTED_VALUE"""),"LEMARECHAL")</f>
        <v>LEMARECHAL</v>
      </c>
      <c r="D24" s="27" t="str">
        <f ca="1">IFERROR(__xludf.DUMMYFUNCTION("""COMPUTED_VALUE"""),"ERIC")</f>
        <v>ERIC</v>
      </c>
      <c r="E24" s="15" t="str">
        <f ca="1">IFERROR(__xludf.DUMMYFUNCTION("""COMPUTED_VALUE"""),"MH1")</f>
        <v>MH1</v>
      </c>
      <c r="F24" s="28">
        <f ca="1">IFERROR(__xludf.DUMMYFUNCTION("""COMPUTED_VALUE"""),5)</f>
        <v>5</v>
      </c>
      <c r="G24" s="16">
        <f ca="1">IFERROR(__xludf.DUMMYFUNCTION("""COMPUTED_VALUE"""),0.0190856488837059)</f>
        <v>1.90856488837059E-2</v>
      </c>
      <c r="H24" s="17">
        <f ca="1">IFERROR(__xludf.DUMMYFUNCTION("""COMPUTED_VALUE"""),0.00398148149904275)</f>
        <v>3.9814814990427501E-3</v>
      </c>
      <c r="I24" s="17">
        <f ca="1">IFERROR(__xludf.DUMMYFUNCTION("""COMPUTED_VALUE"""),0.00717592592725058)</f>
        <v>7.1759259272505798E-3</v>
      </c>
      <c r="J24" s="17">
        <f ca="1">IFERROR(__xludf.DUMMYFUNCTION("""COMPUTED_VALUE"""),0.00715277790423035)</f>
        <v>7.1527779042303502E-3</v>
      </c>
      <c r="K24" s="18">
        <f ca="1">IFERROR(__xludf.DUMMYFUNCTION("""COMPUTED_VALUE"""),0.000775463553182269)</f>
        <v>7.7546355318226898E-4</v>
      </c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20"/>
      <c r="W24" s="20"/>
      <c r="X24" s="20"/>
      <c r="Y24" s="20"/>
      <c r="Z24" s="21"/>
      <c r="AA24" s="22"/>
      <c r="AB24" s="23"/>
    </row>
    <row r="25" spans="1:28" ht="13.5" customHeight="1" x14ac:dyDescent="0.35">
      <c r="A25" s="24">
        <f ca="1">IFERROR(__xludf.DUMMYFUNCTION("""COMPUTED_VALUE"""),24)</f>
        <v>24</v>
      </c>
      <c r="B25" s="25" t="str">
        <f ca="1">IFERROR(__xludf.DUMMYFUNCTION("""COMPUTED_VALUE"""),"186")</f>
        <v>186</v>
      </c>
      <c r="C25" s="26" t="str">
        <f ca="1">IFERROR(__xludf.DUMMYFUNCTION("""COMPUTED_VALUE"""),"MARTIN")</f>
        <v>MARTIN</v>
      </c>
      <c r="D25" s="27" t="str">
        <f ca="1">IFERROR(__xludf.DUMMYFUNCTION("""COMPUTED_VALUE"""),"NICOLAS")</f>
        <v>NICOLAS</v>
      </c>
      <c r="E25" s="15" t="str">
        <f ca="1">IFERROR(__xludf.DUMMYFUNCTION("""COMPUTED_VALUE"""),"MH1")</f>
        <v>MH1</v>
      </c>
      <c r="F25" s="28">
        <f ca="1">IFERROR(__xludf.DUMMYFUNCTION("""COMPUTED_VALUE"""),6)</f>
        <v>6</v>
      </c>
      <c r="G25" s="16">
        <f ca="1">IFERROR(__xludf.DUMMYFUNCTION("""COMPUTED_VALUE"""),0.0191319445951531)</f>
        <v>1.9131944595153098E-2</v>
      </c>
      <c r="H25" s="17">
        <f ca="1">IFERROR(__xludf.DUMMYFUNCTION("""COMPUTED_VALUE"""),0.00325231491586524)</f>
        <v>3.2523149158652401E-3</v>
      </c>
      <c r="I25" s="17">
        <f ca="1">IFERROR(__xludf.DUMMYFUNCTION("""COMPUTED_VALUE"""),0.00722222223462357)</f>
        <v>7.2222222346235701E-3</v>
      </c>
      <c r="J25" s="17">
        <f ca="1">IFERROR(__xludf.DUMMYFUNCTION("""COMPUTED_VALUE"""),0.00780092549149791)</f>
        <v>7.8009254914979103E-3</v>
      </c>
      <c r="K25" s="18">
        <f ca="1">IFERROR(__xludf.DUMMYFUNCTION("""COMPUTED_VALUE"""),0.000856481953166418)</f>
        <v>8.5648195316641795E-4</v>
      </c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20"/>
      <c r="W25" s="20"/>
      <c r="X25" s="20"/>
      <c r="Y25" s="20"/>
      <c r="Z25" s="21"/>
      <c r="AA25" s="22"/>
      <c r="AB25" s="23"/>
    </row>
    <row r="26" spans="1:28" ht="13.5" customHeight="1" x14ac:dyDescent="0.35">
      <c r="A26" s="24">
        <f ca="1">IFERROR(__xludf.DUMMYFUNCTION("""COMPUTED_VALUE"""),25)</f>
        <v>25</v>
      </c>
      <c r="B26" s="25" t="str">
        <f ca="1">IFERROR(__xludf.DUMMYFUNCTION("""COMPUTED_VALUE"""),"182")</f>
        <v>182</v>
      </c>
      <c r="C26" s="26" t="str">
        <f ca="1">IFERROR(__xludf.DUMMYFUNCTION("""COMPUTED_VALUE"""),"ELISA")</f>
        <v>ELISA</v>
      </c>
      <c r="D26" s="27" t="str">
        <f ca="1">IFERROR(__xludf.DUMMYFUNCTION("""COMPUTED_VALUE"""),"ANTOINE")</f>
        <v>ANTOINE</v>
      </c>
      <c r="E26" s="15" t="str">
        <f ca="1">IFERROR(__xludf.DUMMYFUNCTION("""COMPUTED_VALUE"""),"SH4")</f>
        <v>SH4</v>
      </c>
      <c r="F26" s="28">
        <f ca="1">IFERROR(__xludf.DUMMYFUNCTION("""COMPUTED_VALUE"""),7)</f>
        <v>7</v>
      </c>
      <c r="G26" s="16">
        <f ca="1">IFERROR(__xludf.DUMMYFUNCTION("""COMPUTED_VALUE"""),0.0192476855469243)</f>
        <v>1.9247685546924301E-2</v>
      </c>
      <c r="H26" s="17">
        <f ca="1">IFERROR(__xludf.DUMMYFUNCTION("""COMPUTED_VALUE"""),0.00304398149186836)</f>
        <v>3.0439814918683601E-3</v>
      </c>
      <c r="I26" s="17">
        <f ca="1">IFERROR(__xludf.DUMMYFUNCTION("""COMPUTED_VALUE"""),0.00708333340427998)</f>
        <v>7.08333340427998E-3</v>
      </c>
      <c r="J26" s="17">
        <f ca="1">IFERROR(__xludf.DUMMYFUNCTION("""COMPUTED_VALUE"""),0.00813657375436494)</f>
        <v>8.1365737543649397E-3</v>
      </c>
      <c r="K26" s="18">
        <f ca="1">IFERROR(__xludf.DUMMYFUNCTION("""COMPUTED_VALUE"""),0.0009837968964111)</f>
        <v>9.8379689641109997E-4</v>
      </c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20"/>
      <c r="W26" s="20"/>
      <c r="X26" s="20"/>
      <c r="Y26" s="20"/>
      <c r="Z26" s="21"/>
      <c r="AA26" s="22"/>
      <c r="AB26" s="23"/>
    </row>
    <row r="27" spans="1:28" ht="13.5" customHeight="1" x14ac:dyDescent="0.35">
      <c r="A27" s="24">
        <f ca="1">IFERROR(__xludf.DUMMYFUNCTION("""COMPUTED_VALUE"""),26)</f>
        <v>26</v>
      </c>
      <c r="B27" s="25" t="str">
        <f ca="1">IFERROR(__xludf.DUMMYFUNCTION("""COMPUTED_VALUE"""),"171")</f>
        <v>171</v>
      </c>
      <c r="C27" s="26" t="str">
        <f ca="1">IFERROR(__xludf.DUMMYFUNCTION("""COMPUTED_VALUE"""),"ONALI")</f>
        <v>ONALI</v>
      </c>
      <c r="D27" s="27" t="str">
        <f ca="1">IFERROR(__xludf.DUMMYFUNCTION("""COMPUTED_VALUE"""),"GEORGES LUCIEN")</f>
        <v>GEORGES LUCIEN</v>
      </c>
      <c r="E27" s="15" t="str">
        <f ca="1">IFERROR(__xludf.DUMMYFUNCTION("""COMPUTED_VALUE"""),"MH4")</f>
        <v>MH4</v>
      </c>
      <c r="F27" s="28">
        <f ca="1">IFERROR(__xludf.DUMMYFUNCTION("""COMPUTED_VALUE"""),1)</f>
        <v>1</v>
      </c>
      <c r="G27" s="16">
        <f ca="1">IFERROR(__xludf.DUMMYFUNCTION("""COMPUTED_VALUE"""),0.0192708338305782)</f>
        <v>1.9270833830578201E-2</v>
      </c>
      <c r="H27" s="17">
        <f ca="1">IFERROR(__xludf.DUMMYFUNCTION("""COMPUTED_VALUE"""),0.00335648153911464)</f>
        <v>3.3564815391146398E-3</v>
      </c>
      <c r="I27" s="17">
        <f ca="1">IFERROR(__xludf.DUMMYFUNCTION("""COMPUTED_VALUE"""),0.0071296296797394)</f>
        <v>7.1296296797394004E-3</v>
      </c>
      <c r="J27" s="17">
        <f ca="1">IFERROR(__xludf.DUMMYFUNCTION("""COMPUTED_VALUE"""),0.00799768505576278)</f>
        <v>7.9976850557627807E-3</v>
      </c>
      <c r="K27" s="18">
        <f ca="1">IFERROR(__xludf.DUMMYFUNCTION("""COMPUTED_VALUE"""),0.000787037555961418)</f>
        <v>7.8703755596141805E-4</v>
      </c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20"/>
      <c r="W27" s="20"/>
      <c r="X27" s="20"/>
      <c r="Y27" s="20"/>
      <c r="Z27" s="21"/>
      <c r="AA27" s="22"/>
      <c r="AB27" s="23"/>
    </row>
    <row r="28" spans="1:28" ht="13.5" customHeight="1" x14ac:dyDescent="0.35">
      <c r="A28" s="24">
        <f ca="1">IFERROR(__xludf.DUMMYFUNCTION("""COMPUTED_VALUE"""),27)</f>
        <v>27</v>
      </c>
      <c r="B28" s="25" t="str">
        <f ca="1">IFERROR(__xludf.DUMMYFUNCTION("""COMPUTED_VALUE"""),"197")</f>
        <v>197</v>
      </c>
      <c r="C28" s="26" t="str">
        <f ca="1">IFERROR(__xludf.DUMMYFUNCTION("""COMPUTED_VALUE"""),"ARMAROLI")</f>
        <v>ARMAROLI</v>
      </c>
      <c r="D28" s="27" t="str">
        <f ca="1">IFERROR(__xludf.DUMMYFUNCTION("""COMPUTED_VALUE"""),"ENZO")</f>
        <v>ENZO</v>
      </c>
      <c r="E28" s="15" t="str">
        <f ca="1">IFERROR(__xludf.DUMMYFUNCTION("""COMPUTED_VALUE"""),"SH3")</f>
        <v>SH3</v>
      </c>
      <c r="F28" s="28">
        <f ca="1">IFERROR(__xludf.DUMMYFUNCTION("""COMPUTED_VALUE"""),5)</f>
        <v>5</v>
      </c>
      <c r="G28" s="16">
        <f ca="1">IFERROR(__xludf.DUMMYFUNCTION("""COMPUTED_VALUE"""),0.0192939824490357)</f>
        <v>1.9293982449035699E-2</v>
      </c>
      <c r="H28" s="17">
        <f ca="1">IFERROR(__xludf.DUMMYFUNCTION("""COMPUTED_VALUE"""),0.00334490751465911)</f>
        <v>3.3449075146591099E-3</v>
      </c>
      <c r="I28" s="17">
        <f ca="1">IFERROR(__xludf.DUMMYFUNCTION("""COMPUTED_VALUE"""),0.00725694455789344)</f>
        <v>7.2569445578934402E-3</v>
      </c>
      <c r="J28" s="17">
        <f ca="1">IFERROR(__xludf.DUMMYFUNCTION("""COMPUTED_VALUE"""),0.00758101935871354)</f>
        <v>7.5810193587135402E-3</v>
      </c>
      <c r="K28" s="18">
        <f ca="1">IFERROR(__xludf.DUMMYFUNCTION("""COMPUTED_VALUE"""),0.00111111101776966)</f>
        <v>1.11111101776966E-3</v>
      </c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20"/>
      <c r="W28" s="20"/>
      <c r="X28" s="20"/>
      <c r="Y28" s="20"/>
      <c r="Z28" s="21"/>
      <c r="AA28" s="22"/>
      <c r="AB28" s="23"/>
    </row>
    <row r="29" spans="1:28" ht="13.5" customHeight="1" x14ac:dyDescent="0.35">
      <c r="A29" s="24">
        <f ca="1">IFERROR(__xludf.DUMMYFUNCTION("""COMPUTED_VALUE"""),28)</f>
        <v>28</v>
      </c>
      <c r="B29" s="25" t="str">
        <f ca="1">IFERROR(__xludf.DUMMYFUNCTION("""COMPUTED_VALUE"""),"74")</f>
        <v>74</v>
      </c>
      <c r="C29" s="26" t="str">
        <f ca="1">IFERROR(__xludf.DUMMYFUNCTION("""COMPUTED_VALUE"""),"REVOLLON SCHEIDLER")</f>
        <v>REVOLLON SCHEIDLER</v>
      </c>
      <c r="D29" s="27" t="str">
        <f ca="1">IFERROR(__xludf.DUMMYFUNCTION("""COMPUTED_VALUE"""),"ROMAIN")</f>
        <v>ROMAIN</v>
      </c>
      <c r="E29" s="15" t="str">
        <f ca="1">IFERROR(__xludf.DUMMYFUNCTION("""COMPUTED_VALUE"""),"MH1")</f>
        <v>MH1</v>
      </c>
      <c r="F29" s="28">
        <f ca="1">IFERROR(__xludf.DUMMYFUNCTION("""COMPUTED_VALUE"""),7)</f>
        <v>7</v>
      </c>
      <c r="G29" s="16">
        <f ca="1">IFERROR(__xludf.DUMMYFUNCTION("""COMPUTED_VALUE"""),0.0193750002241195)</f>
        <v>1.9375000224119501E-2</v>
      </c>
      <c r="H29" s="17">
        <f ca="1">IFERROR(__xludf.DUMMYFUNCTION("""COMPUTED_VALUE"""),0.00391203714040701)</f>
        <v>3.91203714040701E-3</v>
      </c>
      <c r="I29" s="17">
        <f ca="1">IFERROR(__xludf.DUMMYFUNCTION("""COMPUTED_VALUE"""),0.00718750009698228)</f>
        <v>7.1875000969822802E-3</v>
      </c>
      <c r="J29" s="17">
        <f ca="1">IFERROR(__xludf.DUMMYFUNCTION("""COMPUTED_VALUE"""),0.00719907409136673)</f>
        <v>7.1990740913667299E-3</v>
      </c>
      <c r="K29" s="18">
        <f ca="1">IFERROR(__xludf.DUMMYFUNCTION("""COMPUTED_VALUE"""),0.00107638889536355)</f>
        <v>1.07638889536355E-3</v>
      </c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20"/>
      <c r="W29" s="20"/>
      <c r="X29" s="20"/>
      <c r="Y29" s="20"/>
      <c r="Z29" s="21"/>
      <c r="AA29" s="22"/>
      <c r="AB29" s="23"/>
    </row>
    <row r="30" spans="1:28" ht="13.5" customHeight="1" x14ac:dyDescent="0.35">
      <c r="A30" s="24">
        <f ca="1">IFERROR(__xludf.DUMMYFUNCTION("""COMPUTED_VALUE"""),29)</f>
        <v>29</v>
      </c>
      <c r="B30" s="25" t="str">
        <f ca="1">IFERROR(__xludf.DUMMYFUNCTION("""COMPUTED_VALUE"""),"202")</f>
        <v>202</v>
      </c>
      <c r="C30" s="26" t="str">
        <f ca="1">IFERROR(__xludf.DUMMYFUNCTION("""COMPUTED_VALUE"""),"BOURCIER")</f>
        <v>BOURCIER</v>
      </c>
      <c r="D30" s="27" t="str">
        <f ca="1">IFERROR(__xludf.DUMMYFUNCTION("""COMPUTED_VALUE"""),"FLORIAN")</f>
        <v>FLORIAN</v>
      </c>
      <c r="E30" s="15" t="str">
        <f ca="1">IFERROR(__xludf.DUMMYFUNCTION("""COMPUTED_VALUE"""),"SH4")</f>
        <v>SH4</v>
      </c>
      <c r="F30" s="28">
        <f ca="1">IFERROR(__xludf.DUMMYFUNCTION("""COMPUTED_VALUE"""),8)</f>
        <v>8</v>
      </c>
      <c r="G30" s="16">
        <f ca="1">IFERROR(__xludf.DUMMYFUNCTION("""COMPUTED_VALUE"""),0.0195833334369873)</f>
        <v>1.9583333436987298E-2</v>
      </c>
      <c r="H30" s="17">
        <f ca="1">IFERROR(__xludf.DUMMYFUNCTION("""COMPUTED_VALUE"""),0.00317129637956081)</f>
        <v>3.17129637956081E-3</v>
      </c>
      <c r="I30" s="17">
        <f ca="1">IFERROR(__xludf.DUMMYFUNCTION("""COMPUTED_VALUE"""),0.00703703708448095)</f>
        <v>7.0370370844809503E-3</v>
      </c>
      <c r="J30" s="17">
        <f ca="1">IFERROR(__xludf.DUMMYFUNCTION("""COMPUTED_VALUE"""),0.00863425837645793)</f>
        <v>8.6342583764579296E-3</v>
      </c>
      <c r="K30" s="18">
        <f ca="1">IFERROR(__xludf.DUMMYFUNCTION("""COMPUTED_VALUE"""),0.000740741596487654)</f>
        <v>7.4074159648765403E-4</v>
      </c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20"/>
      <c r="W30" s="20"/>
      <c r="X30" s="20"/>
      <c r="Y30" s="20"/>
      <c r="Z30" s="21"/>
      <c r="AA30" s="22"/>
      <c r="AB30" s="23"/>
    </row>
    <row r="31" spans="1:28" ht="13.5" customHeight="1" x14ac:dyDescent="0.35">
      <c r="A31" s="24">
        <f ca="1">IFERROR(__xludf.DUMMYFUNCTION("""COMPUTED_VALUE"""),30)</f>
        <v>30</v>
      </c>
      <c r="B31" s="25" t="str">
        <f ca="1">IFERROR(__xludf.DUMMYFUNCTION("""COMPUTED_VALUE"""),"198")</f>
        <v>198</v>
      </c>
      <c r="C31" s="26" t="str">
        <f ca="1">IFERROR(__xludf.DUMMYFUNCTION("""COMPUTED_VALUE"""),"HUGUES")</f>
        <v>HUGUES</v>
      </c>
      <c r="D31" s="27" t="str">
        <f ca="1">IFERROR(__xludf.DUMMYFUNCTION("""COMPUTED_VALUE"""),"BRUNO")</f>
        <v>BRUNO</v>
      </c>
      <c r="E31" s="15" t="str">
        <f ca="1">IFERROR(__xludf.DUMMYFUNCTION("""COMPUTED_VALUE"""),"MH2")</f>
        <v>MH2</v>
      </c>
      <c r="F31" s="28">
        <f ca="1">IFERROR(__xludf.DUMMYFUNCTION("""COMPUTED_VALUE"""),8)</f>
        <v>8</v>
      </c>
      <c r="G31" s="16">
        <f ca="1">IFERROR(__xludf.DUMMYFUNCTION("""COMPUTED_VALUE"""),0.0195833340769734)</f>
        <v>1.9583334076973401E-2</v>
      </c>
      <c r="H31" s="17">
        <f ca="1">IFERROR(__xludf.DUMMYFUNCTION("""COMPUTED_VALUE"""),0.00356481485554879)</f>
        <v>3.5648148555487901E-3</v>
      </c>
      <c r="I31" s="17">
        <f ca="1">IFERROR(__xludf.DUMMYFUNCTION("""COMPUTED_VALUE"""),0.0073611111131131)</f>
        <v>7.3611111131130997E-3</v>
      </c>
      <c r="J31" s="17">
        <f ca="1">IFERROR(__xludf.DUMMYFUNCTION("""COMPUTED_VALUE"""),0.0077430557426798)</f>
        <v>7.7430557426798E-3</v>
      </c>
      <c r="K31" s="18">
        <f ca="1">IFERROR(__xludf.DUMMYFUNCTION("""COMPUTED_VALUE"""),0.000914352365631768)</f>
        <v>9.1435236563176803E-4</v>
      </c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20"/>
      <c r="W31" s="20"/>
      <c r="X31" s="20"/>
      <c r="Y31" s="20"/>
      <c r="Z31" s="21"/>
      <c r="AA31" s="22"/>
      <c r="AB31" s="23"/>
    </row>
    <row r="32" spans="1:28" ht="13.5" customHeight="1" x14ac:dyDescent="0.35">
      <c r="A32" s="24">
        <f ca="1">IFERROR(__xludf.DUMMYFUNCTION("""COMPUTED_VALUE"""),31)</f>
        <v>31</v>
      </c>
      <c r="B32" s="25" t="str">
        <f ca="1">IFERROR(__xludf.DUMMYFUNCTION("""COMPUTED_VALUE"""),"133")</f>
        <v>133</v>
      </c>
      <c r="C32" s="26" t="str">
        <f ca="1">IFERROR(__xludf.DUMMYFUNCTION("""COMPUTED_VALUE"""),"BRUNET")</f>
        <v>BRUNET</v>
      </c>
      <c r="D32" s="27" t="str">
        <f ca="1">IFERROR(__xludf.DUMMYFUNCTION("""COMPUTED_VALUE"""),"FRANCK")</f>
        <v>FRANCK</v>
      </c>
      <c r="E32" s="15" t="str">
        <f ca="1">IFERROR(__xludf.DUMMYFUNCTION("""COMPUTED_VALUE"""),"MH3")</f>
        <v>MH3</v>
      </c>
      <c r="F32" s="28">
        <f ca="1">IFERROR(__xludf.DUMMYFUNCTION("""COMPUTED_VALUE"""),1)</f>
        <v>1</v>
      </c>
      <c r="G32" s="16">
        <f ca="1">IFERROR(__xludf.DUMMYFUNCTION("""COMPUTED_VALUE"""),0.019780093326146)</f>
        <v>1.9780093326146001E-2</v>
      </c>
      <c r="H32" s="17">
        <f ca="1">IFERROR(__xludf.DUMMYFUNCTION("""COMPUTED_VALUE"""),0.00380787040522345)</f>
        <v>3.8078704052234499E-3</v>
      </c>
      <c r="I32" s="17">
        <f ca="1">IFERROR(__xludf.DUMMYFUNCTION("""COMPUTED_VALUE"""),0.00767361119345799)</f>
        <v>7.6736111934579904E-3</v>
      </c>
      <c r="J32" s="17">
        <f ca="1">IFERROR(__xludf.DUMMYFUNCTION("""COMPUTED_VALUE"""),0.00752314880139879)</f>
        <v>7.5231488013987897E-3</v>
      </c>
      <c r="K32" s="18">
        <f ca="1">IFERROR(__xludf.DUMMYFUNCTION("""COMPUTED_VALUE"""),0.000775462926065758)</f>
        <v>7.7546292606575802E-4</v>
      </c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20"/>
      <c r="W32" s="20"/>
      <c r="X32" s="20"/>
      <c r="Y32" s="20"/>
      <c r="Z32" s="21"/>
      <c r="AA32" s="22"/>
      <c r="AB32" s="23"/>
    </row>
    <row r="33" spans="1:28" ht="13.5" customHeight="1" x14ac:dyDescent="0.35">
      <c r="A33" s="24">
        <f ca="1">IFERROR(__xludf.DUMMYFUNCTION("""COMPUTED_VALUE"""),32)</f>
        <v>32</v>
      </c>
      <c r="B33" s="25" t="str">
        <f ca="1">IFERROR(__xludf.DUMMYFUNCTION("""COMPUTED_VALUE"""),"225")</f>
        <v>225</v>
      </c>
      <c r="C33" s="26" t="str">
        <f ca="1">IFERROR(__xludf.DUMMYFUNCTION("""COMPUTED_VALUE"""),"LANDRY")</f>
        <v>LANDRY</v>
      </c>
      <c r="D33" s="27" t="str">
        <f ca="1">IFERROR(__xludf.DUMMYFUNCTION("""COMPUTED_VALUE"""),"GUILLAUME")</f>
        <v>GUILLAUME</v>
      </c>
      <c r="E33" s="15" t="str">
        <f ca="1">IFERROR(__xludf.DUMMYFUNCTION("""COMPUTED_VALUE"""),"MH1")</f>
        <v>MH1</v>
      </c>
      <c r="F33" s="28">
        <f ca="1">IFERROR(__xludf.DUMMYFUNCTION("""COMPUTED_VALUE"""),8)</f>
        <v>8</v>
      </c>
      <c r="G33" s="16">
        <f ca="1">IFERROR(__xludf.DUMMYFUNCTION("""COMPUTED_VALUE"""),0.0199884260186957)</f>
        <v>1.9988426018695701E-2</v>
      </c>
      <c r="H33" s="17">
        <f ca="1">IFERROR(__xludf.DUMMYFUNCTION("""COMPUTED_VALUE"""),0.00277777787778127)</f>
        <v>2.7777778777812699E-3</v>
      </c>
      <c r="I33" s="17">
        <f ca="1">IFERROR(__xludf.DUMMYFUNCTION("""COMPUTED_VALUE"""),0.00811342600337777)</f>
        <v>8.1134260033777703E-3</v>
      </c>
      <c r="J33" s="17">
        <f ca="1">IFERROR(__xludf.DUMMYFUNCTION("""COMPUTED_VALUE"""),0.00833333249832313)</f>
        <v>8.3333324983231299E-3</v>
      </c>
      <c r="K33" s="18">
        <f ca="1">IFERROR(__xludf.DUMMYFUNCTION("""COMPUTED_VALUE"""),0.00076388963921357)</f>
        <v>7.6388963921357001E-4</v>
      </c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20"/>
      <c r="W33" s="20"/>
      <c r="X33" s="20"/>
      <c r="Y33" s="20"/>
      <c r="Z33" s="21"/>
      <c r="AA33" s="22"/>
      <c r="AB33" s="23"/>
    </row>
    <row r="34" spans="1:28" ht="13.5" customHeight="1" x14ac:dyDescent="0.35">
      <c r="A34" s="24">
        <f ca="1">IFERROR(__xludf.DUMMYFUNCTION("""COMPUTED_VALUE"""),33)</f>
        <v>33</v>
      </c>
      <c r="B34" s="25" t="str">
        <f ca="1">IFERROR(__xludf.DUMMYFUNCTION("""COMPUTED_VALUE"""),"139")</f>
        <v>139</v>
      </c>
      <c r="C34" s="26" t="str">
        <f ca="1">IFERROR(__xludf.DUMMYFUNCTION("""COMPUTED_VALUE"""),"HADJI-LAZARO")</f>
        <v>HADJI-LAZARO</v>
      </c>
      <c r="D34" s="27" t="str">
        <f ca="1">IFERROR(__xludf.DUMMYFUNCTION("""COMPUTED_VALUE"""),"PAUL")</f>
        <v>PAUL</v>
      </c>
      <c r="E34" s="15" t="str">
        <f ca="1">IFERROR(__xludf.DUMMYFUNCTION("""COMPUTED_VALUE"""),"SH3")</f>
        <v>SH3</v>
      </c>
      <c r="F34" s="28">
        <f ca="1">IFERROR(__xludf.DUMMYFUNCTION("""COMPUTED_VALUE"""),6)</f>
        <v>6</v>
      </c>
      <c r="G34" s="16">
        <f ca="1">IFERROR(__xludf.DUMMYFUNCTION("""COMPUTED_VALUE"""),0.0200347227825687)</f>
        <v>2.0034722782568699E-2</v>
      </c>
      <c r="H34" s="17">
        <f ca="1">IFERROR(__xludf.DUMMYFUNCTION("""COMPUTED_VALUE"""),0.00358796296777963)</f>
        <v>3.58796296777963E-3</v>
      </c>
      <c r="I34" s="17">
        <f ca="1">IFERROR(__xludf.DUMMYFUNCTION("""COMPUTED_VALUE"""),0.00701388897468923)</f>
        <v>7.0138889746892297E-3</v>
      </c>
      <c r="J34" s="17">
        <f ca="1">IFERROR(__xludf.DUMMYFUNCTION("""COMPUTED_VALUE"""),0.00778935155659116)</f>
        <v>7.7893515565911602E-3</v>
      </c>
      <c r="K34" s="18">
        <f ca="1">IFERROR(__xludf.DUMMYFUNCTION("""COMPUTED_VALUE"""),0.00164351928350873)</f>
        <v>1.6435192835087299E-3</v>
      </c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20"/>
      <c r="W34" s="20"/>
      <c r="X34" s="20"/>
      <c r="Y34" s="20"/>
      <c r="Z34" s="21"/>
      <c r="AA34" s="22"/>
      <c r="AB34" s="23"/>
    </row>
    <row r="35" spans="1:28" ht="13.5" customHeight="1" x14ac:dyDescent="0.35">
      <c r="A35" s="24">
        <f ca="1">IFERROR(__xludf.DUMMYFUNCTION("""COMPUTED_VALUE"""),34)</f>
        <v>34</v>
      </c>
      <c r="B35" s="25" t="str">
        <f ca="1">IFERROR(__xludf.DUMMYFUNCTION("""COMPUTED_VALUE"""),"97")</f>
        <v>97</v>
      </c>
      <c r="C35" s="26" t="str">
        <f ca="1">IFERROR(__xludf.DUMMYFUNCTION("""COMPUTED_VALUE"""),"MARLER")</f>
        <v>MARLER</v>
      </c>
      <c r="D35" s="27" t="str">
        <f ca="1">IFERROR(__xludf.DUMMYFUNCTION("""COMPUTED_VALUE"""),"CODY")</f>
        <v>CODY</v>
      </c>
      <c r="E35" s="15" t="str">
        <f ca="1">IFERROR(__xludf.DUMMYFUNCTION("""COMPUTED_VALUE"""),"SH4")</f>
        <v>SH4</v>
      </c>
      <c r="F35" s="28">
        <f ca="1">IFERROR(__xludf.DUMMYFUNCTION("""COMPUTED_VALUE"""),9)</f>
        <v>9</v>
      </c>
      <c r="G35" s="16">
        <f ca="1">IFERROR(__xludf.DUMMYFUNCTION("""COMPUTED_VALUE"""),0.0201041674556093)</f>
        <v>2.0104167455609299E-2</v>
      </c>
      <c r="H35" s="17">
        <f ca="1">IFERROR(__xludf.DUMMYFUNCTION("""COMPUTED_VALUE"""),0.00344907411557872)</f>
        <v>3.4490741155787201E-3</v>
      </c>
      <c r="I35" s="17">
        <f ca="1">IFERROR(__xludf.DUMMYFUNCTION("""COMPUTED_VALUE"""),0.00708333344793949)</f>
        <v>7.08333344793949E-3</v>
      </c>
      <c r="J35" s="17">
        <f ca="1">IFERROR(__xludf.DUMMYFUNCTION("""COMPUTED_VALUE"""),0.00868055581401085)</f>
        <v>8.6805558140108496E-3</v>
      </c>
      <c r="K35" s="18">
        <f ca="1">IFERROR(__xludf.DUMMYFUNCTION("""COMPUTED_VALUE"""),0.000891204078080296)</f>
        <v>8.9120407808029596E-4</v>
      </c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20"/>
      <c r="W35" s="20"/>
      <c r="X35" s="20"/>
      <c r="Y35" s="20"/>
      <c r="Z35" s="21"/>
      <c r="AA35" s="22"/>
      <c r="AB35" s="23"/>
    </row>
    <row r="36" spans="1:28" ht="13.5" customHeight="1" x14ac:dyDescent="0.35">
      <c r="A36" s="24">
        <f ca="1">IFERROR(__xludf.DUMMYFUNCTION("""COMPUTED_VALUE"""),35)</f>
        <v>35</v>
      </c>
      <c r="B36" s="25" t="str">
        <f ca="1">IFERROR(__xludf.DUMMYFUNCTION("""COMPUTED_VALUE"""),"144")</f>
        <v>144</v>
      </c>
      <c r="C36" s="26" t="str">
        <f ca="1">IFERROR(__xludf.DUMMYFUNCTION("""COMPUTED_VALUE"""),"HEROGUEZ")</f>
        <v>HEROGUEZ</v>
      </c>
      <c r="D36" s="27" t="str">
        <f ca="1">IFERROR(__xludf.DUMMYFUNCTION("""COMPUTED_VALUE"""),"NICOLAS")</f>
        <v>NICOLAS</v>
      </c>
      <c r="E36" s="15" t="str">
        <f ca="1">IFERROR(__xludf.DUMMYFUNCTION("""COMPUTED_VALUE"""),"MH3")</f>
        <v>MH3</v>
      </c>
      <c r="F36" s="28">
        <f ca="1">IFERROR(__xludf.DUMMYFUNCTION("""COMPUTED_VALUE"""),2)</f>
        <v>2</v>
      </c>
      <c r="G36" s="16">
        <f ca="1">IFERROR(__xludf.DUMMYFUNCTION("""COMPUTED_VALUE"""),0.0201851859545402)</f>
        <v>2.0185185954540202E-2</v>
      </c>
      <c r="H36" s="17">
        <f ca="1">IFERROR(__xludf.DUMMYFUNCTION("""COMPUTED_VALUE"""),0.00445601862575324)</f>
        <v>4.45601862575324E-3</v>
      </c>
      <c r="I36" s="17">
        <f ca="1">IFERROR(__xludf.DUMMYFUNCTION("""COMPUTED_VALUE"""),0.0073611111607228)</f>
        <v>7.3611111607227997E-3</v>
      </c>
      <c r="J36" s="17">
        <f ca="1">IFERROR(__xludf.DUMMYFUNCTION("""COMPUTED_VALUE"""),0.0074999996946194)</f>
        <v>7.4999996946193996E-3</v>
      </c>
      <c r="K36" s="18">
        <f ca="1">IFERROR(__xludf.DUMMYFUNCTION("""COMPUTED_VALUE"""),0.000868056473444815)</f>
        <v>8.6805647344481501E-4</v>
      </c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20"/>
      <c r="W36" s="20"/>
      <c r="X36" s="20"/>
      <c r="Y36" s="20"/>
      <c r="Z36" s="21"/>
      <c r="AA36" s="22"/>
      <c r="AB36" s="23"/>
    </row>
    <row r="37" spans="1:28" ht="13.5" customHeight="1" x14ac:dyDescent="0.35">
      <c r="A37" s="24">
        <f ca="1">IFERROR(__xludf.DUMMYFUNCTION("""COMPUTED_VALUE"""),36)</f>
        <v>36</v>
      </c>
      <c r="B37" s="25" t="str">
        <f ca="1">IFERROR(__xludf.DUMMYFUNCTION("""COMPUTED_VALUE"""),"154")</f>
        <v>154</v>
      </c>
      <c r="C37" s="26" t="str">
        <f ca="1">IFERROR(__xludf.DUMMYFUNCTION("""COMPUTED_VALUE"""),"GONZALEZ DE CABO")</f>
        <v>GONZALEZ DE CABO</v>
      </c>
      <c r="D37" s="27" t="str">
        <f ca="1">IFERROR(__xludf.DUMMYFUNCTION("""COMPUTED_VALUE"""),"DAVID")</f>
        <v>DAVID</v>
      </c>
      <c r="E37" s="15" t="str">
        <f ca="1">IFERROR(__xludf.DUMMYFUNCTION("""COMPUTED_VALUE"""),"SH4")</f>
        <v>SH4</v>
      </c>
      <c r="F37" s="28">
        <f ca="1">IFERROR(__xludf.DUMMYFUNCTION("""COMPUTED_VALUE"""),10)</f>
        <v>10</v>
      </c>
      <c r="G37" s="16">
        <f ca="1">IFERROR(__xludf.DUMMYFUNCTION("""COMPUTED_VALUE"""),0.0202199081939596)</f>
        <v>2.02199081939596E-2</v>
      </c>
      <c r="H37" s="17">
        <f ca="1">IFERROR(__xludf.DUMMYFUNCTION("""COMPUTED_VALUE"""),0.00408564823360484)</f>
        <v>4.0856482336048402E-3</v>
      </c>
      <c r="I37" s="17">
        <f ca="1">IFERROR(__xludf.DUMMYFUNCTION("""COMPUTED_VALUE"""),0.00710648155847223)</f>
        <v>7.1064815584722298E-3</v>
      </c>
      <c r="J37" s="17">
        <f ca="1">IFERROR(__xludf.DUMMYFUNCTION("""COMPUTED_VALUE"""),0.00796296302363093)</f>
        <v>7.9629630236309305E-3</v>
      </c>
      <c r="K37" s="18">
        <f ca="1">IFERROR(__xludf.DUMMYFUNCTION("""COMPUTED_VALUE"""),0.00106481537825165)</f>
        <v>1.06481537825165E-3</v>
      </c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20"/>
      <c r="W37" s="20"/>
      <c r="X37" s="20"/>
      <c r="Y37" s="20"/>
      <c r="Z37" s="21"/>
      <c r="AA37" s="22"/>
      <c r="AB37" s="23"/>
    </row>
    <row r="38" spans="1:28" ht="13.5" customHeight="1" x14ac:dyDescent="0.35">
      <c r="A38" s="24">
        <f ca="1">IFERROR(__xludf.DUMMYFUNCTION("""COMPUTED_VALUE"""),37)</f>
        <v>37</v>
      </c>
      <c r="B38" s="25" t="str">
        <f ca="1">IFERROR(__xludf.DUMMYFUNCTION("""COMPUTED_VALUE"""),"131")</f>
        <v>131</v>
      </c>
      <c r="C38" s="26" t="str">
        <f ca="1">IFERROR(__xludf.DUMMYFUNCTION("""COMPUTED_VALUE"""),"DAVOUST")</f>
        <v>DAVOUST</v>
      </c>
      <c r="D38" s="27" t="str">
        <f ca="1">IFERROR(__xludf.DUMMYFUNCTION("""COMPUTED_VALUE"""),"FRÉDÉRIC")</f>
        <v>FRÉDÉRIC</v>
      </c>
      <c r="E38" s="15" t="str">
        <f ca="1">IFERROR(__xludf.DUMMYFUNCTION("""COMPUTED_VALUE"""),"MH2")</f>
        <v>MH2</v>
      </c>
      <c r="F38" s="28">
        <f ca="1">IFERROR(__xludf.DUMMYFUNCTION("""COMPUTED_VALUE"""),9)</f>
        <v>9</v>
      </c>
      <c r="G38" s="16">
        <f ca="1">IFERROR(__xludf.DUMMYFUNCTION("""COMPUTED_VALUE"""),0.0202430561468198)</f>
        <v>2.0243056146819802E-2</v>
      </c>
      <c r="H38" s="17">
        <f ca="1">IFERROR(__xludf.DUMMYFUNCTION("""COMPUTED_VALUE"""),0.00315972228152157)</f>
        <v>3.1597222815215702E-3</v>
      </c>
      <c r="I38" s="17">
        <f ca="1">IFERROR(__xludf.DUMMYFUNCTION("""COMPUTED_VALUE"""),0.00718750005201798)</f>
        <v>7.1875000520179796E-3</v>
      </c>
      <c r="J38" s="17">
        <f ca="1">IFERROR(__xludf.DUMMYFUNCTION("""COMPUTED_VALUE"""),0.00868055610114767)</f>
        <v>8.6805561011476708E-3</v>
      </c>
      <c r="K38" s="18">
        <f ca="1">IFERROR(__xludf.DUMMYFUNCTION("""COMPUTED_VALUE"""),0.00121527771213265)</f>
        <v>1.21527771213265E-3</v>
      </c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20"/>
      <c r="W38" s="20"/>
      <c r="X38" s="20"/>
      <c r="Y38" s="20"/>
      <c r="Z38" s="21"/>
      <c r="AA38" s="22"/>
      <c r="AB38" s="23"/>
    </row>
    <row r="39" spans="1:28" ht="13.5" customHeight="1" x14ac:dyDescent="0.35">
      <c r="A39" s="24">
        <f ca="1">IFERROR(__xludf.DUMMYFUNCTION("""COMPUTED_VALUE"""),38)</f>
        <v>38</v>
      </c>
      <c r="B39" s="25" t="str">
        <f ca="1">IFERROR(__xludf.DUMMYFUNCTION("""COMPUTED_VALUE"""),"107")</f>
        <v>107</v>
      </c>
      <c r="C39" s="26" t="str">
        <f ca="1">IFERROR(__xludf.DUMMYFUNCTION("""COMPUTED_VALUE"""),"MICLET")</f>
        <v>MICLET</v>
      </c>
      <c r="D39" s="27" t="str">
        <f ca="1">IFERROR(__xludf.DUMMYFUNCTION("""COMPUTED_VALUE"""),"EMERIC")</f>
        <v>EMERIC</v>
      </c>
      <c r="E39" s="15" t="str">
        <f ca="1">IFERROR(__xludf.DUMMYFUNCTION("""COMPUTED_VALUE"""),"MH3")</f>
        <v>MH3</v>
      </c>
      <c r="F39" s="28">
        <f ca="1">IFERROR(__xludf.DUMMYFUNCTION("""COMPUTED_VALUE"""),3)</f>
        <v>3</v>
      </c>
      <c r="G39" s="16">
        <f ca="1">IFERROR(__xludf.DUMMYFUNCTION("""COMPUTED_VALUE"""),0.0204513895633915)</f>
        <v>2.04513895633915E-2</v>
      </c>
      <c r="H39" s="17">
        <f ca="1">IFERROR(__xludf.DUMMYFUNCTION("""COMPUTED_VALUE"""),0.00359953707838754)</f>
        <v>3.5995370783875398E-3</v>
      </c>
      <c r="I39" s="17">
        <f ca="1">IFERROR(__xludf.DUMMYFUNCTION("""COMPUTED_VALUE"""),0.00730324080468336)</f>
        <v>7.3032408046833598E-3</v>
      </c>
      <c r="J39" s="17">
        <f ca="1">IFERROR(__xludf.DUMMYFUNCTION("""COMPUTED_VALUE"""),0.00806713020865112)</f>
        <v>8.0671302086511194E-3</v>
      </c>
      <c r="K39" s="18">
        <f ca="1">IFERROR(__xludf.DUMMYFUNCTION("""COMPUTED_VALUE"""),0.00148148147166951)</f>
        <v>1.4814814716695101E-3</v>
      </c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20"/>
      <c r="W39" s="20"/>
      <c r="X39" s="20"/>
      <c r="Y39" s="20"/>
      <c r="Z39" s="21"/>
      <c r="AA39" s="22"/>
      <c r="AB39" s="23"/>
    </row>
    <row r="40" spans="1:28" ht="13.5" customHeight="1" x14ac:dyDescent="0.35">
      <c r="A40" s="24">
        <f ca="1">IFERROR(__xludf.DUMMYFUNCTION("""COMPUTED_VALUE"""),39)</f>
        <v>39</v>
      </c>
      <c r="B40" s="25" t="str">
        <f ca="1">IFERROR(__xludf.DUMMYFUNCTION("""COMPUTED_VALUE"""),"90")</f>
        <v>90</v>
      </c>
      <c r="C40" s="26" t="str">
        <f ca="1">IFERROR(__xludf.DUMMYFUNCTION("""COMPUTED_VALUE"""),"NYEKI")</f>
        <v>NYEKI</v>
      </c>
      <c r="D40" s="27" t="str">
        <f ca="1">IFERROR(__xludf.DUMMYFUNCTION("""COMPUTED_VALUE"""),"SÉBASTIEN")</f>
        <v>SÉBASTIEN</v>
      </c>
      <c r="E40" s="15" t="str">
        <f ca="1">IFERROR(__xludf.DUMMYFUNCTION("""COMPUTED_VALUE"""),"MH1")</f>
        <v>MH1</v>
      </c>
      <c r="F40" s="28">
        <f ca="1">IFERROR(__xludf.DUMMYFUNCTION("""COMPUTED_VALUE"""),9)</f>
        <v>9</v>
      </c>
      <c r="G40" s="16">
        <f ca="1">IFERROR(__xludf.DUMMYFUNCTION("""COMPUTED_VALUE"""),0.020590278922168)</f>
        <v>2.0590278922167998E-2</v>
      </c>
      <c r="H40" s="17">
        <f ca="1">IFERROR(__xludf.DUMMYFUNCTION("""COMPUTED_VALUE"""),0.00447916677409504)</f>
        <v>4.4791667740950404E-3</v>
      </c>
      <c r="I40" s="17">
        <f ca="1">IFERROR(__xludf.DUMMYFUNCTION("""COMPUTED_VALUE"""),0.00736111115203899)</f>
        <v>7.3611111520389899E-3</v>
      </c>
      <c r="J40" s="17">
        <f ca="1">IFERROR(__xludf.DUMMYFUNCTION("""COMPUTED_VALUE"""),0.00774305616675233)</f>
        <v>7.7430561667523297E-3</v>
      </c>
      <c r="K40" s="18">
        <f ca="1">IFERROR(__xludf.DUMMYFUNCTION("""COMPUTED_VALUE"""),0.00100694482928165)</f>
        <v>1.0069448292816499E-3</v>
      </c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20"/>
      <c r="W40" s="20"/>
      <c r="X40" s="20"/>
      <c r="Y40" s="20"/>
      <c r="Z40" s="21"/>
      <c r="AA40" s="22"/>
      <c r="AB40" s="23"/>
    </row>
    <row r="41" spans="1:28" ht="13.5" customHeight="1" x14ac:dyDescent="0.35">
      <c r="A41" s="24">
        <f ca="1">IFERROR(__xludf.DUMMYFUNCTION("""COMPUTED_VALUE"""),40)</f>
        <v>40</v>
      </c>
      <c r="B41" s="25" t="str">
        <f ca="1">IFERROR(__xludf.DUMMYFUNCTION("""COMPUTED_VALUE"""),"160")</f>
        <v>160</v>
      </c>
      <c r="C41" s="26" t="str">
        <f ca="1">IFERROR(__xludf.DUMMYFUNCTION("""COMPUTED_VALUE"""),"FAIVRE")</f>
        <v>FAIVRE</v>
      </c>
      <c r="D41" s="27" t="str">
        <f ca="1">IFERROR(__xludf.DUMMYFUNCTION("""COMPUTED_VALUE"""),"LIONEL")</f>
        <v>LIONEL</v>
      </c>
      <c r="E41" s="15" t="str">
        <f ca="1">IFERROR(__xludf.DUMMYFUNCTION("""COMPUTED_VALUE"""),"MH1")</f>
        <v>MH1</v>
      </c>
      <c r="F41" s="28">
        <f ca="1">IFERROR(__xludf.DUMMYFUNCTION("""COMPUTED_VALUE"""),10)</f>
        <v>10</v>
      </c>
      <c r="G41" s="16">
        <f ca="1">IFERROR(__xludf.DUMMYFUNCTION("""COMPUTED_VALUE"""),0.0206018520401965)</f>
        <v>2.0601852040196499E-2</v>
      </c>
      <c r="H41" s="17">
        <f ca="1">IFERROR(__xludf.DUMMYFUNCTION("""COMPUTED_VALUE"""),0.00400462969384261)</f>
        <v>4.0046296938426101E-3</v>
      </c>
      <c r="I41" s="17">
        <f ca="1">IFERROR(__xludf.DUMMYFUNCTION("""COMPUTED_VALUE"""),0.00732638891701924)</f>
        <v>7.3263889170192397E-3</v>
      </c>
      <c r="J41" s="17">
        <f ca="1">IFERROR(__xludf.DUMMYFUNCTION("""COMPUTED_VALUE"""),0.00818286948878336)</f>
        <v>8.1828694887833599E-3</v>
      </c>
      <c r="K41" s="18">
        <f ca="1">IFERROR(__xludf.DUMMYFUNCTION("""COMPUTED_VALUE"""),0.00108796394055131)</f>
        <v>1.08796394055131E-3</v>
      </c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20"/>
      <c r="W41" s="20"/>
      <c r="X41" s="20"/>
      <c r="Y41" s="20"/>
      <c r="Z41" s="21"/>
      <c r="AA41" s="22"/>
      <c r="AB41" s="23"/>
    </row>
    <row r="42" spans="1:28" ht="13.5" customHeight="1" x14ac:dyDescent="0.35">
      <c r="A42" s="24">
        <f ca="1">IFERROR(__xludf.DUMMYFUNCTION("""COMPUTED_VALUE"""),41)</f>
        <v>41</v>
      </c>
      <c r="B42" s="25" t="str">
        <f ca="1">IFERROR(__xludf.DUMMYFUNCTION("""COMPUTED_VALUE"""),"229")</f>
        <v>229</v>
      </c>
      <c r="C42" s="26" t="str">
        <f ca="1">IFERROR(__xludf.DUMMYFUNCTION("""COMPUTED_VALUE"""),"FARINOLE")</f>
        <v>FARINOLE</v>
      </c>
      <c r="D42" s="27" t="str">
        <f ca="1">IFERROR(__xludf.DUMMYFUNCTION("""COMPUTED_VALUE"""),"BENOÎT")</f>
        <v>BENOÎT</v>
      </c>
      <c r="E42" s="15" t="str">
        <f ca="1">IFERROR(__xludf.DUMMYFUNCTION("""COMPUTED_VALUE"""),"SH4")</f>
        <v>SH4</v>
      </c>
      <c r="F42" s="28">
        <f ca="1">IFERROR(__xludf.DUMMYFUNCTION("""COMPUTED_VALUE"""),11)</f>
        <v>11</v>
      </c>
      <c r="G42" s="16">
        <f ca="1">IFERROR(__xludf.DUMMYFUNCTION("""COMPUTED_VALUE"""),0.0206828710560091)</f>
        <v>2.0682871056009099E-2</v>
      </c>
      <c r="H42" s="17">
        <f ca="1">IFERROR(__xludf.DUMMYFUNCTION("""COMPUTED_VALUE"""),0.00271990748197771)</f>
        <v>2.7199074819777101E-3</v>
      </c>
      <c r="I42" s="17">
        <f ca="1">IFERROR(__xludf.DUMMYFUNCTION("""COMPUTED_VALUE"""),0.00813657417417897)</f>
        <v>8.1365741741789704E-3</v>
      </c>
      <c r="J42" s="17">
        <f ca="1">IFERROR(__xludf.DUMMYFUNCTION("""COMPUTED_VALUE"""),0.00902777825553112)</f>
        <v>9.0277782555311208E-3</v>
      </c>
      <c r="K42" s="18">
        <f ca="1">IFERROR(__xludf.DUMMYFUNCTION("""COMPUTED_VALUE"""),0.000798611144321372)</f>
        <v>7.9861114432137198E-4</v>
      </c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20"/>
      <c r="W42" s="20"/>
      <c r="X42" s="20"/>
      <c r="Y42" s="20"/>
      <c r="Z42" s="21"/>
      <c r="AA42" s="22"/>
      <c r="AB42" s="23"/>
    </row>
    <row r="43" spans="1:28" ht="13.5" customHeight="1" x14ac:dyDescent="0.35">
      <c r="A43" s="24">
        <f ca="1">IFERROR(__xludf.DUMMYFUNCTION("""COMPUTED_VALUE"""),42)</f>
        <v>42</v>
      </c>
      <c r="B43" s="25" t="str">
        <f ca="1">IFERROR(__xludf.DUMMYFUNCTION("""COMPUTED_VALUE"""),"73")</f>
        <v>73</v>
      </c>
      <c r="C43" s="26" t="str">
        <f ca="1">IFERROR(__xludf.DUMMYFUNCTION("""COMPUTED_VALUE"""),"DEFFONTAINES")</f>
        <v>DEFFONTAINES</v>
      </c>
      <c r="D43" s="27" t="str">
        <f ca="1">IFERROR(__xludf.DUMMYFUNCTION("""COMPUTED_VALUE"""),"GWENVEL")</f>
        <v>GWENVEL</v>
      </c>
      <c r="E43" s="15" t="str">
        <f ca="1">IFERROR(__xludf.DUMMYFUNCTION("""COMPUTED_VALUE"""),"SH3")</f>
        <v>SH3</v>
      </c>
      <c r="F43" s="28">
        <f ca="1">IFERROR(__xludf.DUMMYFUNCTION("""COMPUTED_VALUE"""),7)</f>
        <v>7</v>
      </c>
      <c r="G43" s="16">
        <f ca="1">IFERROR(__xludf.DUMMYFUNCTION("""COMPUTED_VALUE"""),0.0207754630349952)</f>
        <v>2.0775463034995199E-2</v>
      </c>
      <c r="H43" s="17">
        <f ca="1">IFERROR(__xludf.DUMMYFUNCTION("""COMPUTED_VALUE"""),0.00379629639779557)</f>
        <v>3.7962963977955701E-3</v>
      </c>
      <c r="I43" s="17">
        <f ca="1">IFERROR(__xludf.DUMMYFUNCTION("""COMPUTED_VALUE"""),0.00706018524312585)</f>
        <v>7.0601852431258503E-3</v>
      </c>
      <c r="J43" s="17">
        <f ca="1">IFERROR(__xludf.DUMMYFUNCTION("""COMPUTED_VALUE"""),0.0086226851788846)</f>
        <v>8.6226851788845996E-3</v>
      </c>
      <c r="K43" s="18">
        <f ca="1">IFERROR(__xludf.DUMMYFUNCTION("""COMPUTED_VALUE"""),0.00129629621518917)</f>
        <v>1.29629621518917E-3</v>
      </c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20"/>
      <c r="W43" s="20"/>
      <c r="X43" s="20"/>
      <c r="Y43" s="20"/>
      <c r="Z43" s="21"/>
      <c r="AA43" s="22"/>
      <c r="AB43" s="23"/>
    </row>
    <row r="44" spans="1:28" ht="13.5" customHeight="1" x14ac:dyDescent="0.35">
      <c r="A44" s="24">
        <f ca="1">IFERROR(__xludf.DUMMYFUNCTION("""COMPUTED_VALUE"""),43)</f>
        <v>43</v>
      </c>
      <c r="B44" s="25" t="str">
        <f ca="1">IFERROR(__xludf.DUMMYFUNCTION("""COMPUTED_VALUE"""),"146")</f>
        <v>146</v>
      </c>
      <c r="C44" s="26" t="str">
        <f ca="1">IFERROR(__xludf.DUMMYFUNCTION("""COMPUTED_VALUE"""),"POUTOUT")</f>
        <v>POUTOUT</v>
      </c>
      <c r="D44" s="27" t="str">
        <f ca="1">IFERROR(__xludf.DUMMYFUNCTION("""COMPUTED_VALUE"""),"ROMAIN")</f>
        <v>ROMAIN</v>
      </c>
      <c r="E44" s="15" t="str">
        <f ca="1">IFERROR(__xludf.DUMMYFUNCTION("""COMPUTED_VALUE"""),"SH4")</f>
        <v>SH4</v>
      </c>
      <c r="F44" s="28">
        <f ca="1">IFERROR(__xludf.DUMMYFUNCTION("""COMPUTED_VALUE"""),12)</f>
        <v>12</v>
      </c>
      <c r="G44" s="16">
        <f ca="1">IFERROR(__xludf.DUMMYFUNCTION("""COMPUTED_VALUE"""),0.0208912038684347)</f>
        <v>2.08912038684347E-2</v>
      </c>
      <c r="H44" s="17">
        <f ca="1">IFERROR(__xludf.DUMMYFUNCTION("""COMPUTED_VALUE"""),0.00401620370678365)</f>
        <v>4.0162037067836501E-3</v>
      </c>
      <c r="I44" s="17">
        <f ca="1">IFERROR(__xludf.DUMMYFUNCTION("""COMPUTED_VALUE"""),0.00730324076472597)</f>
        <v>7.30324076472597E-3</v>
      </c>
      <c r="J44" s="17">
        <f ca="1">IFERROR(__xludf.DUMMYFUNCTION("""COMPUTED_VALUE"""),0.00884259218143364)</f>
        <v>8.8425921814336405E-3</v>
      </c>
      <c r="K44" s="18">
        <f ca="1">IFERROR(__xludf.DUMMYFUNCTION("""COMPUTED_VALUE"""),0.000729167215491502)</f>
        <v>7.29167215491502E-4</v>
      </c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20"/>
      <c r="W44" s="20"/>
      <c r="X44" s="20"/>
      <c r="Y44" s="20"/>
      <c r="Z44" s="21"/>
      <c r="AA44" s="22"/>
      <c r="AB44" s="23"/>
    </row>
    <row r="45" spans="1:28" ht="13.5" customHeight="1" x14ac:dyDescent="0.35">
      <c r="A45" s="24">
        <f ca="1">IFERROR(__xludf.DUMMYFUNCTION("""COMPUTED_VALUE"""),44)</f>
        <v>44</v>
      </c>
      <c r="B45" s="25" t="str">
        <f ca="1">IFERROR(__xludf.DUMMYFUNCTION("""COMPUTED_VALUE"""),"130")</f>
        <v>130</v>
      </c>
      <c r="C45" s="26" t="str">
        <f ca="1">IFERROR(__xludf.DUMMYFUNCTION("""COMPUTED_VALUE"""),"MILLERET")</f>
        <v>MILLERET</v>
      </c>
      <c r="D45" s="27" t="str">
        <f ca="1">IFERROR(__xludf.DUMMYFUNCTION("""COMPUTED_VALUE"""),"ARNAUD")</f>
        <v>ARNAUD</v>
      </c>
      <c r="E45" s="15" t="str">
        <f ca="1">IFERROR(__xludf.DUMMYFUNCTION("""COMPUTED_VALUE"""),"MH1")</f>
        <v>MH1</v>
      </c>
      <c r="F45" s="28">
        <f ca="1">IFERROR(__xludf.DUMMYFUNCTION("""COMPUTED_VALUE"""),11)</f>
        <v>11</v>
      </c>
      <c r="G45" s="16">
        <f ca="1">IFERROR(__xludf.DUMMYFUNCTION("""COMPUTED_VALUE"""),0.0209027788140949)</f>
        <v>2.0902778814094899E-2</v>
      </c>
      <c r="H45" s="17">
        <f ca="1">IFERROR(__xludf.DUMMYFUNCTION("""COMPUTED_VALUE"""),0.00295138892865238)</f>
        <v>2.9513889286523799E-3</v>
      </c>
      <c r="I45" s="17">
        <f ca="1">IFERROR(__xludf.DUMMYFUNCTION("""COMPUTED_VALUE"""),0.00738425930557184)</f>
        <v>7.3842593055718402E-3</v>
      </c>
      <c r="J45" s="17">
        <f ca="1">IFERROR(__xludf.DUMMYFUNCTION("""COMPUTED_VALUE"""),0.00947916706244193)</f>
        <v>9.4791670624419302E-3</v>
      </c>
      <c r="K45" s="18">
        <f ca="1">IFERROR(__xludf.DUMMYFUNCTION("""COMPUTED_VALUE"""),0.00108796351742877)</f>
        <v>1.0879635174287699E-3</v>
      </c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20"/>
      <c r="W45" s="20"/>
      <c r="X45" s="20"/>
      <c r="Y45" s="20"/>
      <c r="Z45" s="21"/>
      <c r="AA45" s="22"/>
      <c r="AB45" s="23"/>
    </row>
    <row r="46" spans="1:28" ht="13.5" customHeight="1" x14ac:dyDescent="0.35">
      <c r="A46" s="24">
        <f ca="1">IFERROR(__xludf.DUMMYFUNCTION("""COMPUTED_VALUE"""),45)</f>
        <v>45</v>
      </c>
      <c r="B46" s="25" t="str">
        <f ca="1">IFERROR(__xludf.DUMMYFUNCTION("""COMPUTED_VALUE"""),"112")</f>
        <v>112</v>
      </c>
      <c r="C46" s="26" t="str">
        <f ca="1">IFERROR(__xludf.DUMMYFUNCTION("""COMPUTED_VALUE"""),"VAUCHER")</f>
        <v>VAUCHER</v>
      </c>
      <c r="D46" s="27" t="str">
        <f ca="1">IFERROR(__xludf.DUMMYFUNCTION("""COMPUTED_VALUE"""),"ANTOINE")</f>
        <v>ANTOINE</v>
      </c>
      <c r="E46" s="15" t="str">
        <f ca="1">IFERROR(__xludf.DUMMYFUNCTION("""COMPUTED_VALUE"""),"MH2")</f>
        <v>MH2</v>
      </c>
      <c r="F46" s="28">
        <f ca="1">IFERROR(__xludf.DUMMYFUNCTION("""COMPUTED_VALUE"""),10)</f>
        <v>10</v>
      </c>
      <c r="G46" s="16">
        <f ca="1">IFERROR(__xludf.DUMMYFUNCTION("""COMPUTED_VALUE"""),0.020925926634743)</f>
        <v>2.0925926634742999E-2</v>
      </c>
      <c r="H46" s="17">
        <f ca="1">IFERROR(__xludf.DUMMYFUNCTION("""COMPUTED_VALUE"""),0.00349537043330158)</f>
        <v>3.4953704333015802E-3</v>
      </c>
      <c r="I46" s="17">
        <f ca="1">IFERROR(__xludf.DUMMYFUNCTION("""COMPUTED_VALUE"""),0.00678240741095098)</f>
        <v>6.7824074109509797E-3</v>
      </c>
      <c r="J46" s="17">
        <f ca="1">IFERROR(__xludf.DUMMYFUNCTION("""COMPUTED_VALUE"""),0.00935185203435005)</f>
        <v>9.3518520343500496E-3</v>
      </c>
      <c r="K46" s="18">
        <f ca="1">IFERROR(__xludf.DUMMYFUNCTION("""COMPUTED_VALUE"""),0.0012962967561404)</f>
        <v>1.2962967561404E-3</v>
      </c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20"/>
      <c r="W46" s="20"/>
      <c r="X46" s="20"/>
      <c r="Y46" s="20"/>
      <c r="Z46" s="21"/>
      <c r="AA46" s="22"/>
      <c r="AB46" s="23"/>
    </row>
    <row r="47" spans="1:28" ht="13.5" customHeight="1" x14ac:dyDescent="0.35">
      <c r="A47" s="24">
        <f ca="1">IFERROR(__xludf.DUMMYFUNCTION("""COMPUTED_VALUE"""),46)</f>
        <v>46</v>
      </c>
      <c r="B47" s="25" t="str">
        <f ca="1">IFERROR(__xludf.DUMMYFUNCTION("""COMPUTED_VALUE"""),"120")</f>
        <v>120</v>
      </c>
      <c r="C47" s="26" t="str">
        <f ca="1">IFERROR(__xludf.DUMMYFUNCTION("""COMPUTED_VALUE"""),"SOLOMIAC")</f>
        <v>SOLOMIAC</v>
      </c>
      <c r="D47" s="27" t="str">
        <f ca="1">IFERROR(__xludf.DUMMYFUNCTION("""COMPUTED_VALUE"""),"BORIS")</f>
        <v>BORIS</v>
      </c>
      <c r="E47" s="15" t="str">
        <f ca="1">IFERROR(__xludf.DUMMYFUNCTION("""COMPUTED_VALUE"""),"MH1")</f>
        <v>MH1</v>
      </c>
      <c r="F47" s="28">
        <f ca="1">IFERROR(__xludf.DUMMYFUNCTION("""COMPUTED_VALUE"""),12)</f>
        <v>12</v>
      </c>
      <c r="G47" s="16">
        <f ca="1">IFERROR(__xludf.DUMMYFUNCTION("""COMPUTED_VALUE"""),0.020925927078114)</f>
        <v>2.0925927078113998E-2</v>
      </c>
      <c r="H47" s="17">
        <f ca="1">IFERROR(__xludf.DUMMYFUNCTION("""COMPUTED_VALUE"""),0.00321759260422921)</f>
        <v>3.2175926042292101E-3</v>
      </c>
      <c r="I47" s="17">
        <f ca="1">IFERROR(__xludf.DUMMYFUNCTION("""COMPUTED_VALUE"""),0.00803240745849248)</f>
        <v>8.0324074584924802E-3</v>
      </c>
      <c r="J47" s="17">
        <f ca="1">IFERROR(__xludf.DUMMYFUNCTION("""COMPUTED_VALUE"""),0.00835648232490857)</f>
        <v>8.3564823249085707E-3</v>
      </c>
      <c r="K47" s="18">
        <f ca="1">IFERROR(__xludf.DUMMYFUNCTION("""COMPUTED_VALUE"""),0.00131944469048375)</f>
        <v>1.3194446904837499E-3</v>
      </c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20"/>
      <c r="W47" s="20"/>
      <c r="X47" s="20"/>
      <c r="Y47" s="20"/>
      <c r="Z47" s="21"/>
      <c r="AA47" s="22"/>
      <c r="AB47" s="23"/>
    </row>
    <row r="48" spans="1:28" ht="13.5" customHeight="1" x14ac:dyDescent="0.35">
      <c r="A48" s="24">
        <f ca="1">IFERROR(__xludf.DUMMYFUNCTION("""COMPUTED_VALUE"""),47)</f>
        <v>47</v>
      </c>
      <c r="B48" s="25" t="str">
        <f ca="1">IFERROR(__xludf.DUMMYFUNCTION("""COMPUTED_VALUE"""),"75")</f>
        <v>75</v>
      </c>
      <c r="C48" s="26" t="str">
        <f ca="1">IFERROR(__xludf.DUMMYFUNCTION("""COMPUTED_VALUE"""),"EL AZDI")</f>
        <v>EL AZDI</v>
      </c>
      <c r="D48" s="27" t="str">
        <f ca="1">IFERROR(__xludf.DUMMYFUNCTION("""COMPUTED_VALUE"""),"ABDELKRIM")</f>
        <v>ABDELKRIM</v>
      </c>
      <c r="E48" s="15" t="str">
        <f ca="1">IFERROR(__xludf.DUMMYFUNCTION("""COMPUTED_VALUE"""),"SH4")</f>
        <v>SH4</v>
      </c>
      <c r="F48" s="28">
        <f ca="1">IFERROR(__xludf.DUMMYFUNCTION("""COMPUTED_VALUE"""),13)</f>
        <v>13</v>
      </c>
      <c r="G48" s="16">
        <f ca="1">IFERROR(__xludf.DUMMYFUNCTION("""COMPUTED_VALUE"""),0.0210879637257803)</f>
        <v>2.1087963725780302E-2</v>
      </c>
      <c r="H48" s="17">
        <f ca="1">IFERROR(__xludf.DUMMYFUNCTION("""COMPUTED_VALUE"""),0.00445601854586972)</f>
        <v>4.45601854586972E-3</v>
      </c>
      <c r="I48" s="17">
        <f ca="1">IFERROR(__xludf.DUMMYFUNCTION("""COMPUTED_VALUE"""),0.00714120371349308)</f>
        <v>7.1412037134930802E-3</v>
      </c>
      <c r="J48" s="17">
        <f ca="1">IFERROR(__xludf.DUMMYFUNCTION("""COMPUTED_VALUE"""),0.00810185226046154)</f>
        <v>8.1018522604615392E-3</v>
      </c>
      <c r="K48" s="18">
        <f ca="1">IFERROR(__xludf.DUMMYFUNCTION("""COMPUTED_VALUE"""),0.00138888920595604)</f>
        <v>1.3888892059560399E-3</v>
      </c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20"/>
      <c r="W48" s="20"/>
      <c r="X48" s="20"/>
      <c r="Y48" s="20"/>
      <c r="Z48" s="21"/>
      <c r="AA48" s="22"/>
      <c r="AB48" s="23"/>
    </row>
    <row r="49" spans="1:28" ht="13.5" customHeight="1" x14ac:dyDescent="0.35">
      <c r="A49" s="24">
        <f ca="1">IFERROR(__xludf.DUMMYFUNCTION("""COMPUTED_VALUE"""),48)</f>
        <v>48</v>
      </c>
      <c r="B49" s="25" t="str">
        <f ca="1">IFERROR(__xludf.DUMMYFUNCTION("""COMPUTED_VALUE"""),"99")</f>
        <v>99</v>
      </c>
      <c r="C49" s="26" t="str">
        <f ca="1">IFERROR(__xludf.DUMMYFUNCTION("""COMPUTED_VALUE"""),"MAZIERE")</f>
        <v>MAZIERE</v>
      </c>
      <c r="D49" s="27" t="str">
        <f ca="1">IFERROR(__xludf.DUMMYFUNCTION("""COMPUTED_VALUE"""),"CHRISTOPHE")</f>
        <v>CHRISTOPHE</v>
      </c>
      <c r="E49" s="15" t="str">
        <f ca="1">IFERROR(__xludf.DUMMYFUNCTION("""COMPUTED_VALUE"""),"MH2")</f>
        <v>MH2</v>
      </c>
      <c r="F49" s="28">
        <f ca="1">IFERROR(__xludf.DUMMYFUNCTION("""COMPUTED_VALUE"""),11)</f>
        <v>11</v>
      </c>
      <c r="G49" s="16">
        <f ca="1">IFERROR(__xludf.DUMMYFUNCTION("""COMPUTED_VALUE"""),0.0211226863214838)</f>
        <v>2.11226863214838E-2</v>
      </c>
      <c r="H49" s="17">
        <f ca="1">IFERROR(__xludf.DUMMYFUNCTION("""COMPUTED_VALUE"""),0.00478009270097306)</f>
        <v>4.7800927009730597E-3</v>
      </c>
      <c r="I49" s="17">
        <f ca="1">IFERROR(__xludf.DUMMYFUNCTION("""COMPUTED_VALUE"""),0.00858796299208152)</f>
        <v>8.5879629920815204E-3</v>
      </c>
      <c r="J49" s="17">
        <f ca="1">IFERROR(__xludf.DUMMYFUNCTION("""COMPUTED_VALUE"""),0.00662037114030153)</f>
        <v>6.6203711403015298E-3</v>
      </c>
      <c r="K49" s="18">
        <f ca="1">IFERROR(__xludf.DUMMYFUNCTION("""COMPUTED_VALUE"""),0.00113425948812774)</f>
        <v>1.1342594881277399E-3</v>
      </c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20"/>
      <c r="W49" s="20"/>
      <c r="X49" s="20"/>
      <c r="Y49" s="20"/>
      <c r="Z49" s="21"/>
      <c r="AA49" s="22"/>
      <c r="AB49" s="23"/>
    </row>
    <row r="50" spans="1:28" ht="13.5" customHeight="1" x14ac:dyDescent="0.35">
      <c r="A50" s="24">
        <f ca="1">IFERROR(__xludf.DUMMYFUNCTION("""COMPUTED_VALUE"""),49)</f>
        <v>49</v>
      </c>
      <c r="B50" s="25" t="str">
        <f ca="1">IFERROR(__xludf.DUMMYFUNCTION("""COMPUTED_VALUE"""),"106")</f>
        <v>106</v>
      </c>
      <c r="C50" s="26" t="str">
        <f ca="1">IFERROR(__xludf.DUMMYFUNCTION("""COMPUTED_VALUE"""),"GAUTHE")</f>
        <v>GAUTHE</v>
      </c>
      <c r="D50" s="27" t="str">
        <f ca="1">IFERROR(__xludf.DUMMYFUNCTION("""COMPUTED_VALUE"""),"FABIEN")</f>
        <v>FABIEN</v>
      </c>
      <c r="E50" s="15" t="str">
        <f ca="1">IFERROR(__xludf.DUMMYFUNCTION("""COMPUTED_VALUE"""),"MH2")</f>
        <v>MH2</v>
      </c>
      <c r="F50" s="28">
        <f ca="1">IFERROR(__xludf.DUMMYFUNCTION("""COMPUTED_VALUE"""),12)</f>
        <v>12</v>
      </c>
      <c r="G50" s="16">
        <f ca="1">IFERROR(__xludf.DUMMYFUNCTION("""COMPUTED_VALUE"""),0.0211805562916021)</f>
        <v>2.11805562916021E-2</v>
      </c>
      <c r="H50" s="17">
        <f ca="1">IFERROR(__xludf.DUMMYFUNCTION("""COMPUTED_VALUE"""),0.00466435194451769)</f>
        <v>4.6643519445176904E-3</v>
      </c>
      <c r="I50" s="17">
        <f ca="1">IFERROR(__xludf.DUMMYFUNCTION("""COMPUTED_VALUE"""),0.00732638899702043)</f>
        <v>7.3263889970204303E-3</v>
      </c>
      <c r="J50" s="17">
        <f ca="1">IFERROR(__xludf.DUMMYFUNCTION("""COMPUTED_VALUE"""),0.00834490742765983)</f>
        <v>8.3449074276598298E-3</v>
      </c>
      <c r="K50" s="18">
        <f ca="1">IFERROR(__xludf.DUMMYFUNCTION("""COMPUTED_VALUE"""),0.000844907922404153)</f>
        <v>8.4490792240415305E-4</v>
      </c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20"/>
      <c r="W50" s="20"/>
      <c r="X50" s="20"/>
      <c r="Y50" s="20"/>
      <c r="Z50" s="21"/>
      <c r="AA50" s="22"/>
      <c r="AB50" s="23"/>
    </row>
    <row r="51" spans="1:28" ht="13.5" customHeight="1" x14ac:dyDescent="0.35">
      <c r="A51" s="24">
        <f ca="1">IFERROR(__xludf.DUMMYFUNCTION("""COMPUTED_VALUE"""),50)</f>
        <v>50</v>
      </c>
      <c r="B51" s="25" t="str">
        <f ca="1">IFERROR(__xludf.DUMMYFUNCTION("""COMPUTED_VALUE"""),"14")</f>
        <v>14</v>
      </c>
      <c r="C51" s="26" t="str">
        <f ca="1">IFERROR(__xludf.DUMMYFUNCTION("""COMPUTED_VALUE"""),"CHICAUD")</f>
        <v>CHICAUD</v>
      </c>
      <c r="D51" s="27" t="str">
        <f ca="1">IFERROR(__xludf.DUMMYFUNCTION("""COMPUTED_VALUE"""),"MATTHIEU")</f>
        <v>MATTHIEU</v>
      </c>
      <c r="E51" s="15" t="str">
        <f ca="1">IFERROR(__xludf.DUMMYFUNCTION("""COMPUTED_VALUE"""),"SH3")</f>
        <v>SH3</v>
      </c>
      <c r="F51" s="28">
        <f ca="1">IFERROR(__xludf.DUMMYFUNCTION("""COMPUTED_VALUE"""),8)</f>
        <v>8</v>
      </c>
      <c r="G51" s="16">
        <f ca="1">IFERROR(__xludf.DUMMYFUNCTION("""COMPUTED_VALUE"""),0.0212268522108848)</f>
        <v>2.12268522108848E-2</v>
      </c>
      <c r="H51" s="17">
        <f ca="1">IFERROR(__xludf.DUMMYFUNCTION("""COMPUTED_VALUE"""),0.00506944453554067)</f>
        <v>5.0694445355406702E-3</v>
      </c>
      <c r="I51" s="17">
        <f ca="1">IFERROR(__xludf.DUMMYFUNCTION("""COMPUTED_VALUE"""),0.00677083334256344)</f>
        <v>6.7708333425634398E-3</v>
      </c>
      <c r="J51" s="17">
        <f ca="1">IFERROR(__xludf.DUMMYFUNCTION("""COMPUTED_VALUE"""),0.00809027794776645)</f>
        <v>8.0902779477664503E-3</v>
      </c>
      <c r="K51" s="18">
        <f ca="1">IFERROR(__xludf.DUMMYFUNCTION("""COMPUTED_VALUE"""),0.00129629638501423)</f>
        <v>1.2962963850142301E-3</v>
      </c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20"/>
      <c r="W51" s="20"/>
      <c r="X51" s="20"/>
      <c r="Y51" s="20"/>
      <c r="Z51" s="21"/>
      <c r="AA51" s="22"/>
      <c r="AB51" s="23"/>
    </row>
    <row r="52" spans="1:28" ht="13.5" customHeight="1" x14ac:dyDescent="0.35">
      <c r="A52" s="24">
        <f ca="1">IFERROR(__xludf.DUMMYFUNCTION("""COMPUTED_VALUE"""),51)</f>
        <v>51</v>
      </c>
      <c r="B52" s="25" t="str">
        <f ca="1">IFERROR(__xludf.DUMMYFUNCTION("""COMPUTED_VALUE"""),"168")</f>
        <v>168</v>
      </c>
      <c r="C52" s="26" t="str">
        <f ca="1">IFERROR(__xludf.DUMMYFUNCTION("""COMPUTED_VALUE"""),"SEVERAC")</f>
        <v>SEVERAC</v>
      </c>
      <c r="D52" s="27" t="str">
        <f ca="1">IFERROR(__xludf.DUMMYFUNCTION("""COMPUTED_VALUE"""),"MARC")</f>
        <v>MARC</v>
      </c>
      <c r="E52" s="15" t="str">
        <f ca="1">IFERROR(__xludf.DUMMYFUNCTION("""COMPUTED_VALUE"""),"MH2")</f>
        <v>MH2</v>
      </c>
      <c r="F52" s="28">
        <f ca="1">IFERROR(__xludf.DUMMYFUNCTION("""COMPUTED_VALUE"""),13)</f>
        <v>13</v>
      </c>
      <c r="G52" s="16">
        <f ca="1">IFERROR(__xludf.DUMMYFUNCTION("""COMPUTED_VALUE"""),0.02122685229063)</f>
        <v>2.122685229063E-2</v>
      </c>
      <c r="H52" s="17">
        <f ca="1">IFERROR(__xludf.DUMMYFUNCTION("""COMPUTED_VALUE"""),0.00401620379929515)</f>
        <v>4.0162037992951503E-3</v>
      </c>
      <c r="I52" s="17">
        <f ca="1">IFERROR(__xludf.DUMMYFUNCTION("""COMPUTED_VALUE"""),0.00692129635860788)</f>
        <v>6.9212963586078799E-3</v>
      </c>
      <c r="J52" s="17">
        <f ca="1">IFERROR(__xludf.DUMMYFUNCTION("""COMPUTED_VALUE"""),0.00861111129133746)</f>
        <v>8.6111112913374605E-3</v>
      </c>
      <c r="K52" s="18">
        <f ca="1">IFERROR(__xludf.DUMMYFUNCTION("""COMPUTED_VALUE"""),0.00167824084138951)</f>
        <v>1.67824084138951E-3</v>
      </c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20"/>
      <c r="W52" s="20"/>
      <c r="X52" s="20"/>
      <c r="Y52" s="20"/>
      <c r="Z52" s="21"/>
      <c r="AA52" s="22"/>
      <c r="AB52" s="23"/>
    </row>
    <row r="53" spans="1:28" ht="13.5" customHeight="1" x14ac:dyDescent="0.35">
      <c r="A53" s="24">
        <f ca="1">IFERROR(__xludf.DUMMYFUNCTION("""COMPUTED_VALUE"""),52)</f>
        <v>52</v>
      </c>
      <c r="B53" s="25" t="str">
        <f ca="1">IFERROR(__xludf.DUMMYFUNCTION("""COMPUTED_VALUE"""),"173")</f>
        <v>173</v>
      </c>
      <c r="C53" s="26" t="str">
        <f ca="1">IFERROR(__xludf.DUMMYFUNCTION("""COMPUTED_VALUE"""),"ROUSSEAU MALABRY")</f>
        <v>ROUSSEAU MALABRY</v>
      </c>
      <c r="D53" s="27" t="str">
        <f ca="1">IFERROR(__xludf.DUMMYFUNCTION("""COMPUTED_VALUE"""),"THOMAS")</f>
        <v>THOMAS</v>
      </c>
      <c r="E53" s="15" t="str">
        <f ca="1">IFERROR(__xludf.DUMMYFUNCTION("""COMPUTED_VALUE"""),"SH4")</f>
        <v>SH4</v>
      </c>
      <c r="F53" s="28">
        <f ca="1">IFERROR(__xludf.DUMMYFUNCTION("""COMPUTED_VALUE"""),14)</f>
        <v>14</v>
      </c>
      <c r="G53" s="16">
        <f ca="1">IFERROR(__xludf.DUMMYFUNCTION("""COMPUTED_VALUE"""),0.0213310193790255)</f>
        <v>2.1331019379025502E-2</v>
      </c>
      <c r="H53" s="17">
        <f ca="1">IFERROR(__xludf.DUMMYFUNCTION("""COMPUTED_VALUE"""),0.00431712963298165)</f>
        <v>4.31712963298165E-3</v>
      </c>
      <c r="I53" s="17">
        <f ca="1">IFERROR(__xludf.DUMMYFUNCTION("""COMPUTED_VALUE"""),0.00813657412948121)</f>
        <v>8.1365741294812093E-3</v>
      </c>
      <c r="J53" s="17">
        <f ca="1">IFERROR(__xludf.DUMMYFUNCTION("""COMPUTED_VALUE"""),0.00824074126612638)</f>
        <v>8.2407412661263807E-3</v>
      </c>
      <c r="K53" s="18">
        <f ca="1">IFERROR(__xludf.DUMMYFUNCTION("""COMPUTED_VALUE"""),0.000636574350436318)</f>
        <v>6.3657435043631798E-4</v>
      </c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20"/>
      <c r="W53" s="20"/>
      <c r="X53" s="20"/>
      <c r="Y53" s="20"/>
      <c r="Z53" s="21"/>
      <c r="AA53" s="22"/>
      <c r="AB53" s="23"/>
    </row>
    <row r="54" spans="1:28" ht="13.5" customHeight="1" x14ac:dyDescent="0.35">
      <c r="A54" s="24">
        <f ca="1">IFERROR(__xludf.DUMMYFUNCTION("""COMPUTED_VALUE"""),53)</f>
        <v>53</v>
      </c>
      <c r="B54" s="25" t="str">
        <f ca="1">IFERROR(__xludf.DUMMYFUNCTION("""COMPUTED_VALUE"""),"64")</f>
        <v>64</v>
      </c>
      <c r="C54" s="26" t="str">
        <f ca="1">IFERROR(__xludf.DUMMYFUNCTION("""COMPUTED_VALUE"""),"PERETTI")</f>
        <v>PERETTI</v>
      </c>
      <c r="D54" s="27" t="str">
        <f ca="1">IFERROR(__xludf.DUMMYFUNCTION("""COMPUTED_VALUE"""),"MAXIME")</f>
        <v>MAXIME</v>
      </c>
      <c r="E54" s="15" t="str">
        <f ca="1">IFERROR(__xludf.DUMMYFUNCTION("""COMPUTED_VALUE"""),"MH1")</f>
        <v>MH1</v>
      </c>
      <c r="F54" s="28">
        <f ca="1">IFERROR(__xludf.DUMMYFUNCTION("""COMPUTED_VALUE"""),13)</f>
        <v>13</v>
      </c>
      <c r="G54" s="16">
        <f ca="1">IFERROR(__xludf.DUMMYFUNCTION("""COMPUTED_VALUE"""),0.0213425926919932)</f>
        <v>2.1342592691993199E-2</v>
      </c>
      <c r="H54" s="17">
        <f ca="1">IFERROR(__xludf.DUMMYFUNCTION("""COMPUTED_VALUE"""),0.00428240751984446)</f>
        <v>4.2824075198444602E-3</v>
      </c>
      <c r="I54" s="17">
        <f ca="1">IFERROR(__xludf.DUMMYFUNCTION("""COMPUTED_VALUE"""),0.0076504630305122)</f>
        <v>7.6504630305122001E-3</v>
      </c>
      <c r="J54" s="17">
        <f ca="1">IFERROR(__xludf.DUMMYFUNCTION("""COMPUTED_VALUE"""),0.00817129602802858)</f>
        <v>8.1712960280285792E-3</v>
      </c>
      <c r="K54" s="18">
        <f ca="1">IFERROR(__xludf.DUMMYFUNCTION("""COMPUTED_VALUE"""),0.00123842611360802)</f>
        <v>1.2384261136080201E-3</v>
      </c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20"/>
      <c r="W54" s="20"/>
      <c r="X54" s="20"/>
      <c r="Y54" s="20"/>
      <c r="Z54" s="21"/>
      <c r="AA54" s="22"/>
      <c r="AB54" s="23"/>
    </row>
    <row r="55" spans="1:28" ht="13.5" customHeight="1" x14ac:dyDescent="0.35">
      <c r="A55" s="24">
        <f ca="1">IFERROR(__xludf.DUMMYFUNCTION("""COMPUTED_VALUE"""),54)</f>
        <v>54</v>
      </c>
      <c r="B55" s="25" t="str">
        <f ca="1">IFERROR(__xludf.DUMMYFUNCTION("""COMPUTED_VALUE"""),"157")</f>
        <v>157</v>
      </c>
      <c r="C55" s="26" t="str">
        <f ca="1">IFERROR(__xludf.DUMMYFUNCTION("""COMPUTED_VALUE"""),"AZEMA")</f>
        <v>AZEMA</v>
      </c>
      <c r="D55" s="27" t="str">
        <f ca="1">IFERROR(__xludf.DUMMYFUNCTION("""COMPUTED_VALUE"""),"BAPTISTE")</f>
        <v>BAPTISTE</v>
      </c>
      <c r="E55" s="15" t="str">
        <f ca="1">IFERROR(__xludf.DUMMYFUNCTION("""COMPUTED_VALUE"""),"SH3")</f>
        <v>SH3</v>
      </c>
      <c r="F55" s="28">
        <f ca="1">IFERROR(__xludf.DUMMYFUNCTION("""COMPUTED_VALUE"""),9)</f>
        <v>9</v>
      </c>
      <c r="G55" s="16">
        <f ca="1">IFERROR(__xludf.DUMMYFUNCTION("""COMPUTED_VALUE"""),0.0214930566060375)</f>
        <v>2.1493056606037501E-2</v>
      </c>
      <c r="H55" s="17">
        <f ca="1">IFERROR(__xludf.DUMMYFUNCTION("""COMPUTED_VALUE"""),0.00406250010654615)</f>
        <v>4.0625001065461496E-3</v>
      </c>
      <c r="I55" s="17">
        <f ca="1">IFERROR(__xludf.DUMMYFUNCTION("""COMPUTED_VALUE"""),0.00729166675728389)</f>
        <v>7.2916667572838897E-3</v>
      </c>
      <c r="J55" s="17">
        <f ca="1">IFERROR(__xludf.DUMMYFUNCTION("""COMPUTED_VALUE"""),0.00846064830775135)</f>
        <v>8.4606483077513499E-3</v>
      </c>
      <c r="K55" s="18">
        <f ca="1">IFERROR(__xludf.DUMMYFUNCTION("""COMPUTED_VALUE"""),0.00167824143445617)</f>
        <v>1.6782414344561701E-3</v>
      </c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20"/>
      <c r="W55" s="20"/>
      <c r="X55" s="20"/>
      <c r="Y55" s="20"/>
      <c r="Z55" s="21"/>
      <c r="AA55" s="22"/>
      <c r="AB55" s="23"/>
    </row>
    <row r="56" spans="1:28" ht="13.5" customHeight="1" x14ac:dyDescent="0.35">
      <c r="A56" s="24">
        <f ca="1">IFERROR(__xludf.DUMMYFUNCTION("""COMPUTED_VALUE"""),55)</f>
        <v>55</v>
      </c>
      <c r="B56" s="25" t="str">
        <f ca="1">IFERROR(__xludf.DUMMYFUNCTION("""COMPUTED_VALUE"""),"76")</f>
        <v>76</v>
      </c>
      <c r="C56" s="26" t="str">
        <f ca="1">IFERROR(__xludf.DUMMYFUNCTION("""COMPUTED_VALUE"""),"BÜSCHER")</f>
        <v>BÜSCHER</v>
      </c>
      <c r="D56" s="27" t="str">
        <f ca="1">IFERROR(__xludf.DUMMYFUNCTION("""COMPUTED_VALUE"""),"JAN")</f>
        <v>JAN</v>
      </c>
      <c r="E56" s="15" t="str">
        <f ca="1">IFERROR(__xludf.DUMMYFUNCTION("""COMPUTED_VALUE"""),"SH4")</f>
        <v>SH4</v>
      </c>
      <c r="F56" s="28">
        <f ca="1">IFERROR(__xludf.DUMMYFUNCTION("""COMPUTED_VALUE"""),15)</f>
        <v>15</v>
      </c>
      <c r="G56" s="16">
        <f ca="1">IFERROR(__xludf.DUMMYFUNCTION("""COMPUTED_VALUE"""),0.0215277782450655)</f>
        <v>2.15277782450655E-2</v>
      </c>
      <c r="H56" s="17">
        <f ca="1">IFERROR(__xludf.DUMMYFUNCTION("""COMPUTED_VALUE"""),0.00438657413543844)</f>
        <v>4.3865741354384398E-3</v>
      </c>
      <c r="I56" s="17">
        <f ca="1">IFERROR(__xludf.DUMMYFUNCTION("""COMPUTED_VALUE"""),0.00703703705378049)</f>
        <v>7.0370370537804899E-3</v>
      </c>
      <c r="J56" s="17">
        <f ca="1">IFERROR(__xludf.DUMMYFUNCTION("""COMPUTED_VALUE"""),0.00864583286690498)</f>
        <v>8.6458328669049792E-3</v>
      </c>
      <c r="K56" s="18">
        <f ca="1">IFERROR(__xludf.DUMMYFUNCTION("""COMPUTED_VALUE"""),0.00145833418894165)</f>
        <v>1.45833418894165E-3</v>
      </c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20"/>
      <c r="W56" s="20"/>
      <c r="X56" s="20"/>
      <c r="Y56" s="20"/>
      <c r="Z56" s="21"/>
      <c r="AA56" s="22"/>
      <c r="AB56" s="23"/>
    </row>
    <row r="57" spans="1:28" ht="13.5" customHeight="1" x14ac:dyDescent="0.35">
      <c r="A57" s="24">
        <f ca="1">IFERROR(__xludf.DUMMYFUNCTION("""COMPUTED_VALUE"""),56)</f>
        <v>56</v>
      </c>
      <c r="B57" s="25" t="str">
        <f ca="1">IFERROR(__xludf.DUMMYFUNCTION("""COMPUTED_VALUE"""),"138")</f>
        <v>138</v>
      </c>
      <c r="C57" s="26" t="str">
        <f ca="1">IFERROR(__xludf.DUMMYFUNCTION("""COMPUTED_VALUE"""),"RONCERAY")</f>
        <v>RONCERAY</v>
      </c>
      <c r="D57" s="27" t="str">
        <f ca="1">IFERROR(__xludf.DUMMYFUNCTION("""COMPUTED_VALUE"""),"JEAN-RENE")</f>
        <v>JEAN-RENE</v>
      </c>
      <c r="E57" s="15" t="str">
        <f ca="1">IFERROR(__xludf.DUMMYFUNCTION("""COMPUTED_VALUE"""),"MH4")</f>
        <v>MH4</v>
      </c>
      <c r="F57" s="28">
        <f ca="1">IFERROR(__xludf.DUMMYFUNCTION("""COMPUTED_VALUE"""),2)</f>
        <v>2</v>
      </c>
      <c r="G57" s="16">
        <f ca="1">IFERROR(__xludf.DUMMYFUNCTION("""COMPUTED_VALUE"""),0.0215972228443045)</f>
        <v>2.1597222844304501E-2</v>
      </c>
      <c r="H57" s="17">
        <f ca="1">IFERROR(__xludf.DUMMYFUNCTION("""COMPUTED_VALUE"""),0.00394675928958889)</f>
        <v>3.9467592895888904E-3</v>
      </c>
      <c r="I57" s="17">
        <f ca="1">IFERROR(__xludf.DUMMYFUNCTION("""COMPUTED_VALUE"""),0.00747685190054035)</f>
        <v>7.4768519005403503E-3</v>
      </c>
      <c r="J57" s="17">
        <f ca="1">IFERROR(__xludf.DUMMYFUNCTION("""COMPUTED_VALUE"""),0.00893518555380725)</f>
        <v>8.9351855538072501E-3</v>
      </c>
      <c r="K57" s="18">
        <f ca="1">IFERROR(__xludf.DUMMYFUNCTION("""COMPUTED_VALUE"""),0.00123842610036804)</f>
        <v>1.23842610036804E-3</v>
      </c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20"/>
      <c r="W57" s="20"/>
      <c r="X57" s="20"/>
      <c r="Y57" s="20"/>
      <c r="Z57" s="21"/>
      <c r="AA57" s="22"/>
      <c r="AB57" s="23"/>
    </row>
    <row r="58" spans="1:28" ht="13.5" customHeight="1" x14ac:dyDescent="0.35">
      <c r="A58" s="24">
        <f ca="1">IFERROR(__xludf.DUMMYFUNCTION("""COMPUTED_VALUE"""),57)</f>
        <v>57</v>
      </c>
      <c r="B58" s="25" t="str">
        <f ca="1">IFERROR(__xludf.DUMMYFUNCTION("""COMPUTED_VALUE"""),"188")</f>
        <v>188</v>
      </c>
      <c r="C58" s="26" t="str">
        <f ca="1">IFERROR(__xludf.DUMMYFUNCTION("""COMPUTED_VALUE"""),"GRENIER")</f>
        <v>GRENIER</v>
      </c>
      <c r="D58" s="27" t="str">
        <f ca="1">IFERROR(__xludf.DUMMYFUNCTION("""COMPUTED_VALUE"""),"RÉMY")</f>
        <v>RÉMY</v>
      </c>
      <c r="E58" s="15" t="str">
        <f ca="1">IFERROR(__xludf.DUMMYFUNCTION("""COMPUTED_VALUE"""),"MH1")</f>
        <v>MH1</v>
      </c>
      <c r="F58" s="28">
        <f ca="1">IFERROR(__xludf.DUMMYFUNCTION("""COMPUTED_VALUE"""),14)</f>
        <v>14</v>
      </c>
      <c r="G58" s="16">
        <f ca="1">IFERROR(__xludf.DUMMYFUNCTION("""COMPUTED_VALUE"""),0.0217245374275669)</f>
        <v>2.1724537427566901E-2</v>
      </c>
      <c r="H58" s="17">
        <f ca="1">IFERROR(__xludf.DUMMYFUNCTION("""COMPUTED_VALUE"""),0.00467592600665622)</f>
        <v>4.6759260066562202E-3</v>
      </c>
      <c r="I58" s="17">
        <f ca="1">IFERROR(__xludf.DUMMYFUNCTION("""COMPUTED_VALUE"""),0.00685185185623706)</f>
        <v>6.8518518562370604E-3</v>
      </c>
      <c r="J58" s="17">
        <f ca="1">IFERROR(__xludf.DUMMYFUNCTION("""COMPUTED_VALUE"""),0.00881944483045384)</f>
        <v>8.8194448304538403E-3</v>
      </c>
      <c r="K58" s="18">
        <f ca="1">IFERROR(__xludf.DUMMYFUNCTION("""COMPUTED_VALUE"""),0.0013773147342198)</f>
        <v>1.3773147342197999E-3</v>
      </c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20"/>
      <c r="W58" s="20"/>
      <c r="X58" s="20"/>
      <c r="Y58" s="20"/>
      <c r="Z58" s="21"/>
      <c r="AA58" s="22"/>
      <c r="AB58" s="23"/>
    </row>
    <row r="59" spans="1:28" ht="13.5" customHeight="1" x14ac:dyDescent="0.35">
      <c r="A59" s="24">
        <f ca="1">IFERROR(__xludf.DUMMYFUNCTION("""COMPUTED_VALUE"""),58)</f>
        <v>58</v>
      </c>
      <c r="B59" s="25" t="str">
        <f ca="1">IFERROR(__xludf.DUMMYFUNCTION("""COMPUTED_VALUE"""),"102")</f>
        <v>102</v>
      </c>
      <c r="C59" s="26" t="str">
        <f ca="1">IFERROR(__xludf.DUMMYFUNCTION("""COMPUTED_VALUE"""),"DIAKHO")</f>
        <v>DIAKHO</v>
      </c>
      <c r="D59" s="27" t="str">
        <f ca="1">IFERROR(__xludf.DUMMYFUNCTION("""COMPUTED_VALUE"""),"ABDARHAMANE")</f>
        <v>ABDARHAMANE</v>
      </c>
      <c r="E59" s="15" t="str">
        <f ca="1">IFERROR(__xludf.DUMMYFUNCTION("""COMPUTED_VALUE"""),"MH3")</f>
        <v>MH3</v>
      </c>
      <c r="F59" s="28">
        <f ca="1">IFERROR(__xludf.DUMMYFUNCTION("""COMPUTED_VALUE"""),4)</f>
        <v>4</v>
      </c>
      <c r="G59" s="16">
        <f ca="1">IFERROR(__xludf.DUMMYFUNCTION("""COMPUTED_VALUE"""),0.0217708342850712)</f>
        <v>2.1770834285071199E-2</v>
      </c>
      <c r="H59" s="17">
        <f ca="1">IFERROR(__xludf.DUMMYFUNCTION("""COMPUTED_VALUE"""),0.00458333341110036)</f>
        <v>4.5833334111003597E-3</v>
      </c>
      <c r="I59" s="17">
        <f ca="1">IFERROR(__xludf.DUMMYFUNCTION("""COMPUTED_VALUE"""),0.00815972228837919)</f>
        <v>8.1597222883791898E-3</v>
      </c>
      <c r="J59" s="17">
        <f ca="1">IFERROR(__xludf.DUMMYFUNCTION("""COMPUTED_VALUE"""),0.00739583353222968)</f>
        <v>7.3958335322296797E-3</v>
      </c>
      <c r="K59" s="18">
        <f ca="1">IFERROR(__xludf.DUMMYFUNCTION("""COMPUTED_VALUE"""),0.00163194505336205)</f>
        <v>1.6319450533620499E-3</v>
      </c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20"/>
      <c r="W59" s="20"/>
      <c r="X59" s="20"/>
      <c r="Y59" s="20"/>
      <c r="Z59" s="21"/>
      <c r="AA59" s="22"/>
      <c r="AB59" s="23"/>
    </row>
    <row r="60" spans="1:28" ht="13.5" customHeight="1" x14ac:dyDescent="0.35">
      <c r="A60" s="24">
        <f ca="1">IFERROR(__xludf.DUMMYFUNCTION("""COMPUTED_VALUE"""),59)</f>
        <v>59</v>
      </c>
      <c r="B60" s="25" t="str">
        <f ca="1">IFERROR(__xludf.DUMMYFUNCTION("""COMPUTED_VALUE"""),"103")</f>
        <v>103</v>
      </c>
      <c r="C60" s="26" t="str">
        <f ca="1">IFERROR(__xludf.DUMMYFUNCTION("""COMPUTED_VALUE"""),"CHARMAIL")</f>
        <v>CHARMAIL</v>
      </c>
      <c r="D60" s="27" t="str">
        <f ca="1">IFERROR(__xludf.DUMMYFUNCTION("""COMPUTED_VALUE"""),"NICOLAS")</f>
        <v>NICOLAS</v>
      </c>
      <c r="E60" s="15" t="str">
        <f ca="1">IFERROR(__xludf.DUMMYFUNCTION("""COMPUTED_VALUE"""),"MH3")</f>
        <v>MH3</v>
      </c>
      <c r="F60" s="28">
        <f ca="1">IFERROR(__xludf.DUMMYFUNCTION("""COMPUTED_VALUE"""),5)</f>
        <v>5</v>
      </c>
      <c r="G60" s="16">
        <f ca="1">IFERROR(__xludf.DUMMYFUNCTION("""COMPUTED_VALUE"""),0.0218171299979909)</f>
        <v>2.1817129997990899E-2</v>
      </c>
      <c r="H60" s="17">
        <f ca="1">IFERROR(__xludf.DUMMYFUNCTION("""COMPUTED_VALUE"""),0.00366898149737406)</f>
        <v>3.6689814973740599E-3</v>
      </c>
      <c r="I60" s="17">
        <f ca="1">IFERROR(__xludf.DUMMYFUNCTION("""COMPUTED_VALUE"""),0.00792824078206837)</f>
        <v>7.9282407820683697E-3</v>
      </c>
      <c r="J60" s="17">
        <f ca="1">IFERROR(__xludf.DUMMYFUNCTION("""COMPUTED_VALUE"""),0.00917824054047926)</f>
        <v>9.1782405404792593E-3</v>
      </c>
      <c r="K60" s="18">
        <f ca="1">IFERROR(__xludf.DUMMYFUNCTION("""COMPUTED_VALUE"""),0.00104166717806924)</f>
        <v>1.0416671780692399E-3</v>
      </c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20"/>
      <c r="W60" s="20"/>
      <c r="X60" s="20"/>
      <c r="Y60" s="20"/>
      <c r="Z60" s="21"/>
      <c r="AA60" s="22"/>
      <c r="AB60" s="23"/>
    </row>
    <row r="61" spans="1:28" ht="13.5" customHeight="1" x14ac:dyDescent="0.35">
      <c r="A61" s="24">
        <f ca="1">IFERROR(__xludf.DUMMYFUNCTION("""COMPUTED_VALUE"""),60)</f>
        <v>60</v>
      </c>
      <c r="B61" s="25" t="str">
        <f ca="1">IFERROR(__xludf.DUMMYFUNCTION("""COMPUTED_VALUE"""),"135")</f>
        <v>135</v>
      </c>
      <c r="C61" s="26" t="str">
        <f ca="1">IFERROR(__xludf.DUMMYFUNCTION("""COMPUTED_VALUE"""),"ANSELMI")</f>
        <v>ANSELMI</v>
      </c>
      <c r="D61" s="27" t="str">
        <f ca="1">IFERROR(__xludf.DUMMYFUNCTION("""COMPUTED_VALUE"""),"AURELIEN")</f>
        <v>AURELIEN</v>
      </c>
      <c r="E61" s="15" t="str">
        <f ca="1">IFERROR(__xludf.DUMMYFUNCTION("""COMPUTED_VALUE"""),"MH1")</f>
        <v>MH1</v>
      </c>
      <c r="F61" s="28">
        <f ca="1">IFERROR(__xludf.DUMMYFUNCTION("""COMPUTED_VALUE"""),15)</f>
        <v>15</v>
      </c>
      <c r="G61" s="16">
        <f ca="1">IFERROR(__xludf.DUMMYFUNCTION("""COMPUTED_VALUE"""),0.0219791675058186)</f>
        <v>2.19791675058186E-2</v>
      </c>
      <c r="H61" s="17">
        <f ca="1">IFERROR(__xludf.DUMMYFUNCTION("""COMPUTED_VALUE"""),0.00356481492861758)</f>
        <v>3.5648149286175799E-3</v>
      </c>
      <c r="I61" s="17">
        <f ca="1">IFERROR(__xludf.DUMMYFUNCTION("""COMPUTED_VALUE"""),0.00805555563307119)</f>
        <v>8.0555556330711899E-3</v>
      </c>
      <c r="J61" s="17">
        <f ca="1">IFERROR(__xludf.DUMMYFUNCTION("""COMPUTED_VALUE"""),0.00936342584278862)</f>
        <v>9.36342584278862E-3</v>
      </c>
      <c r="K61" s="18">
        <f ca="1">IFERROR(__xludf.DUMMYFUNCTION("""COMPUTED_VALUE"""),0.000995371101341229)</f>
        <v>9.9537110134122891E-4</v>
      </c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20"/>
      <c r="W61" s="20"/>
      <c r="X61" s="20"/>
      <c r="Y61" s="20"/>
      <c r="Z61" s="21"/>
      <c r="AA61" s="22"/>
      <c r="AB61" s="23"/>
    </row>
    <row r="62" spans="1:28" ht="13.5" customHeight="1" x14ac:dyDescent="0.35">
      <c r="A62" s="24">
        <f ca="1">IFERROR(__xludf.DUMMYFUNCTION("""COMPUTED_VALUE"""),61)</f>
        <v>61</v>
      </c>
      <c r="B62" s="25" t="str">
        <f ca="1">IFERROR(__xludf.DUMMYFUNCTION("""COMPUTED_VALUE"""),"113")</f>
        <v>113</v>
      </c>
      <c r="C62" s="26" t="str">
        <f ca="1">IFERROR(__xludf.DUMMYFUNCTION("""COMPUTED_VALUE"""),"GAUER")</f>
        <v>GAUER</v>
      </c>
      <c r="D62" s="27" t="str">
        <f ca="1">IFERROR(__xludf.DUMMYFUNCTION("""COMPUTED_VALUE"""),"MATHIEU")</f>
        <v>MATHIEU</v>
      </c>
      <c r="E62" s="15" t="str">
        <f ca="1">IFERROR(__xludf.DUMMYFUNCTION("""COMPUTED_VALUE"""),"SH3")</f>
        <v>SH3</v>
      </c>
      <c r="F62" s="28">
        <f ca="1">IFERROR(__xludf.DUMMYFUNCTION("""COMPUTED_VALUE"""),10)</f>
        <v>10</v>
      </c>
      <c r="G62" s="16">
        <f ca="1">IFERROR(__xludf.DUMMYFUNCTION("""COMPUTED_VALUE"""),0.0220601852528502)</f>
        <v>2.2060185252850199E-2</v>
      </c>
      <c r="H62" s="17">
        <f ca="1">IFERROR(__xludf.DUMMYFUNCTION("""COMPUTED_VALUE"""),0.00479166675852764)</f>
        <v>4.79166675852764E-3</v>
      </c>
      <c r="I62" s="17">
        <f ca="1">IFERROR(__xludf.DUMMYFUNCTION("""COMPUTED_VALUE"""),0.00707175931817167)</f>
        <v>7.0717593181716699E-3</v>
      </c>
      <c r="J62" s="17">
        <f ca="1">IFERROR(__xludf.DUMMYFUNCTION("""COMPUTED_VALUE"""),0.00810185157479004)</f>
        <v>8.1018515747900404E-3</v>
      </c>
      <c r="K62" s="18">
        <f ca="1">IFERROR(__xludf.DUMMYFUNCTION("""COMPUTED_VALUE"""),0.00209490760136084)</f>
        <v>2.09490760136084E-3</v>
      </c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20"/>
      <c r="W62" s="20"/>
      <c r="X62" s="20"/>
      <c r="Y62" s="20"/>
      <c r="Z62" s="21"/>
      <c r="AA62" s="22"/>
      <c r="AB62" s="23"/>
    </row>
    <row r="63" spans="1:28" ht="13.5" customHeight="1" x14ac:dyDescent="0.35">
      <c r="A63" s="24">
        <f ca="1">IFERROR(__xludf.DUMMYFUNCTION("""COMPUTED_VALUE"""),62)</f>
        <v>62</v>
      </c>
      <c r="B63" s="25" t="str">
        <f ca="1">IFERROR(__xludf.DUMMYFUNCTION("""COMPUTED_VALUE"""),"172")</f>
        <v>172</v>
      </c>
      <c r="C63" s="26" t="str">
        <f ca="1">IFERROR(__xludf.DUMMYFUNCTION("""COMPUTED_VALUE"""),"PARES")</f>
        <v>PARES</v>
      </c>
      <c r="D63" s="27" t="str">
        <f ca="1">IFERROR(__xludf.DUMMYFUNCTION("""COMPUTED_VALUE"""),"QUENTIN")</f>
        <v>QUENTIN</v>
      </c>
      <c r="E63" s="15" t="str">
        <f ca="1">IFERROR(__xludf.DUMMYFUNCTION("""COMPUTED_VALUE"""),"SH3")</f>
        <v>SH3</v>
      </c>
      <c r="F63" s="28">
        <f ca="1">IFERROR(__xludf.DUMMYFUNCTION("""COMPUTED_VALUE"""),11)</f>
        <v>11</v>
      </c>
      <c r="G63" s="16">
        <f ca="1">IFERROR(__xludf.DUMMYFUNCTION("""COMPUTED_VALUE"""),0.022094907775339)</f>
        <v>2.2094907775338998E-2</v>
      </c>
      <c r="H63" s="17">
        <f ca="1">IFERROR(__xludf.DUMMYFUNCTION("""COMPUTED_VALUE"""),0.00422453711291107)</f>
        <v>4.2245371129110698E-3</v>
      </c>
      <c r="I63" s="17">
        <f ca="1">IFERROR(__xludf.DUMMYFUNCTION("""COMPUTED_VALUE"""),0.00953703714786649)</f>
        <v>9.5370371478664898E-3</v>
      </c>
      <c r="J63" s="17">
        <f ca="1">IFERROR(__xludf.DUMMYFUNCTION("""COMPUTED_VALUE"""),0.0071759256177077)</f>
        <v>7.1759256177076998E-3</v>
      </c>
      <c r="K63" s="18">
        <f ca="1">IFERROR(__xludf.DUMMYFUNCTION("""COMPUTED_VALUE"""),0.00115740789685376)</f>
        <v>1.1574078968537599E-3</v>
      </c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20"/>
      <c r="W63" s="20"/>
      <c r="X63" s="20"/>
      <c r="Y63" s="20"/>
      <c r="Z63" s="21"/>
      <c r="AA63" s="22"/>
      <c r="AB63" s="23"/>
    </row>
    <row r="64" spans="1:28" ht="13.5" customHeight="1" x14ac:dyDescent="0.35">
      <c r="A64" s="24">
        <f ca="1">IFERROR(__xludf.DUMMYFUNCTION("""COMPUTED_VALUE"""),63)</f>
        <v>63</v>
      </c>
      <c r="B64" s="25" t="str">
        <f ca="1">IFERROR(__xludf.DUMMYFUNCTION("""COMPUTED_VALUE"""),"15")</f>
        <v>15</v>
      </c>
      <c r="C64" s="26" t="str">
        <f ca="1">IFERROR(__xludf.DUMMYFUNCTION("""COMPUTED_VALUE"""),"JACOB")</f>
        <v>JACOB</v>
      </c>
      <c r="D64" s="27" t="str">
        <f ca="1">IFERROR(__xludf.DUMMYFUNCTION("""COMPUTED_VALUE"""),"RENAUD")</f>
        <v>RENAUD</v>
      </c>
      <c r="E64" s="15" t="str">
        <f ca="1">IFERROR(__xludf.DUMMYFUNCTION("""COMPUTED_VALUE"""),"SH4")</f>
        <v>SH4</v>
      </c>
      <c r="F64" s="28">
        <f ca="1">IFERROR(__xludf.DUMMYFUNCTION("""COMPUTED_VALUE"""),16)</f>
        <v>16</v>
      </c>
      <c r="G64" s="16">
        <f ca="1">IFERROR(__xludf.DUMMYFUNCTION("""COMPUTED_VALUE"""),0.0221527784017578)</f>
        <v>2.2152778401757799E-2</v>
      </c>
      <c r="H64" s="17">
        <f ca="1">IFERROR(__xludf.DUMMYFUNCTION("""COMPUTED_VALUE"""),0.00465277780318773)</f>
        <v>4.6527778031877302E-3</v>
      </c>
      <c r="I64" s="17">
        <f ca="1">IFERROR(__xludf.DUMMYFUNCTION("""COMPUTED_VALUE"""),0.00751157412515024)</f>
        <v>7.51157412515024E-3</v>
      </c>
      <c r="J64" s="17">
        <f ca="1">IFERROR(__xludf.DUMMYFUNCTION("""COMPUTED_VALUE"""),0.00879629596580551)</f>
        <v>8.7962959658055093E-3</v>
      </c>
      <c r="K64" s="18">
        <f ca="1">IFERROR(__xludf.DUMMYFUNCTION("""COMPUTED_VALUE"""),0.00119213050761433)</f>
        <v>1.1921305076143299E-3</v>
      </c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20"/>
      <c r="W64" s="20"/>
      <c r="X64" s="20"/>
      <c r="Y64" s="20"/>
      <c r="Z64" s="21"/>
      <c r="AA64" s="22"/>
      <c r="AB64" s="23"/>
    </row>
    <row r="65" spans="1:28" ht="13.5" customHeight="1" x14ac:dyDescent="0.35">
      <c r="A65" s="24">
        <f ca="1">IFERROR(__xludf.DUMMYFUNCTION("""COMPUTED_VALUE"""),64)</f>
        <v>64</v>
      </c>
      <c r="B65" s="25" t="str">
        <f ca="1">IFERROR(__xludf.DUMMYFUNCTION("""COMPUTED_VALUE"""),"134")</f>
        <v>134</v>
      </c>
      <c r="C65" s="26" t="str">
        <f ca="1">IFERROR(__xludf.DUMMYFUNCTION("""COMPUTED_VALUE"""),"THIERRY")</f>
        <v>THIERRY</v>
      </c>
      <c r="D65" s="27" t="str">
        <f ca="1">IFERROR(__xludf.DUMMYFUNCTION("""COMPUTED_VALUE"""),"GABRIEL")</f>
        <v>GABRIEL</v>
      </c>
      <c r="E65" s="15" t="str">
        <f ca="1">IFERROR(__xludf.DUMMYFUNCTION("""COMPUTED_VALUE"""),"MH1")</f>
        <v>MH1</v>
      </c>
      <c r="F65" s="28">
        <f ca="1">IFERROR(__xludf.DUMMYFUNCTION("""COMPUTED_VALUE"""),16)</f>
        <v>16</v>
      </c>
      <c r="G65" s="16">
        <f ca="1">IFERROR(__xludf.DUMMYFUNCTION("""COMPUTED_VALUE"""),0.0221643520626606)</f>
        <v>2.2164352062660601E-2</v>
      </c>
      <c r="H65" s="17">
        <f ca="1">IFERROR(__xludf.DUMMYFUNCTION("""COMPUTED_VALUE"""),0.00452546304086093)</f>
        <v>4.5254630408609296E-3</v>
      </c>
      <c r="I65" s="17">
        <f ca="1">IFERROR(__xludf.DUMMYFUNCTION("""COMPUTED_VALUE"""),0.00739583337216792)</f>
        <v>7.3958333721679198E-3</v>
      </c>
      <c r="J65" s="17">
        <f ca="1">IFERROR(__xludf.DUMMYFUNCTION("""COMPUTED_VALUE"""),0.00879629553155458)</f>
        <v>8.7962955315545807E-3</v>
      </c>
      <c r="K65" s="18">
        <f ca="1">IFERROR(__xludf.DUMMYFUNCTION("""COMPUTED_VALUE"""),0.0014467601180772)</f>
        <v>1.4467601180772E-3</v>
      </c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20"/>
      <c r="W65" s="20"/>
      <c r="X65" s="20"/>
      <c r="Y65" s="20"/>
      <c r="Z65" s="21"/>
      <c r="AA65" s="22"/>
      <c r="AB65" s="23"/>
    </row>
    <row r="66" spans="1:28" ht="13.5" customHeight="1" x14ac:dyDescent="0.35">
      <c r="A66" s="24">
        <f ca="1">IFERROR(__xludf.DUMMYFUNCTION("""COMPUTED_VALUE"""),65)</f>
        <v>65</v>
      </c>
      <c r="B66" s="25" t="str">
        <f ca="1">IFERROR(__xludf.DUMMYFUNCTION("""COMPUTED_VALUE"""),"141")</f>
        <v>141</v>
      </c>
      <c r="C66" s="26" t="str">
        <f ca="1">IFERROR(__xludf.DUMMYFUNCTION("""COMPUTED_VALUE"""),"PRADIER")</f>
        <v>PRADIER</v>
      </c>
      <c r="D66" s="27" t="str">
        <f ca="1">IFERROR(__xludf.DUMMYFUNCTION("""COMPUTED_VALUE"""),"VINCENT")</f>
        <v>VINCENT</v>
      </c>
      <c r="E66" s="15" t="str">
        <f ca="1">IFERROR(__xludf.DUMMYFUNCTION("""COMPUTED_VALUE"""),"MH1")</f>
        <v>MH1</v>
      </c>
      <c r="F66" s="28">
        <f ca="1">IFERROR(__xludf.DUMMYFUNCTION("""COMPUTED_VALUE"""),17)</f>
        <v>17</v>
      </c>
      <c r="G66" s="16">
        <f ca="1">IFERROR(__xludf.DUMMYFUNCTION("""COMPUTED_VALUE"""),0.0222106483861162)</f>
        <v>2.2210648386116201E-2</v>
      </c>
      <c r="H66" s="17">
        <f ca="1">IFERROR(__xludf.DUMMYFUNCTION("""COMPUTED_VALUE"""),0.00406250009799893)</f>
        <v>4.0625000979989303E-3</v>
      </c>
      <c r="I66" s="17">
        <f ca="1">IFERROR(__xludf.DUMMYFUNCTION("""COMPUTED_VALUE"""),0.00774305562783804)</f>
        <v>7.7430556278380398E-3</v>
      </c>
      <c r="J66" s="17">
        <f ca="1">IFERROR(__xludf.DUMMYFUNCTION("""COMPUTED_VALUE"""),0.0090972219059759)</f>
        <v>9.0972219059758993E-3</v>
      </c>
      <c r="K66" s="18">
        <f ca="1">IFERROR(__xludf.DUMMYFUNCTION("""COMPUTED_VALUE"""),0.00130787075430337)</f>
        <v>1.30787075430337E-3</v>
      </c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20"/>
      <c r="W66" s="20"/>
      <c r="X66" s="20"/>
      <c r="Y66" s="20"/>
      <c r="Z66" s="21"/>
      <c r="AA66" s="22"/>
      <c r="AB66" s="23"/>
    </row>
    <row r="67" spans="1:28" ht="13.5" customHeight="1" x14ac:dyDescent="0.35">
      <c r="A67" s="24">
        <f ca="1">IFERROR(__xludf.DUMMYFUNCTION("""COMPUTED_VALUE"""),66)</f>
        <v>66</v>
      </c>
      <c r="B67" s="25" t="str">
        <f ca="1">IFERROR(__xludf.DUMMYFUNCTION("""COMPUTED_VALUE"""),"77")</f>
        <v>77</v>
      </c>
      <c r="C67" s="26" t="str">
        <f ca="1">IFERROR(__xludf.DUMMYFUNCTION("""COMPUTED_VALUE"""),"RAFFRAY")</f>
        <v>RAFFRAY</v>
      </c>
      <c r="D67" s="27" t="str">
        <f ca="1">IFERROR(__xludf.DUMMYFUNCTION("""COMPUTED_VALUE"""),"SYLVAIN")</f>
        <v>SYLVAIN</v>
      </c>
      <c r="E67" s="15" t="str">
        <f ca="1">IFERROR(__xludf.DUMMYFUNCTION("""COMPUTED_VALUE"""),"MH2")</f>
        <v>MH2</v>
      </c>
      <c r="F67" s="28">
        <f ca="1">IFERROR(__xludf.DUMMYFUNCTION("""COMPUTED_VALUE"""),14)</f>
        <v>14</v>
      </c>
      <c r="G67" s="16">
        <f ca="1">IFERROR(__xludf.DUMMYFUNCTION("""COMPUTED_VALUE"""),0.0223032410022524)</f>
        <v>2.2303241002252401E-2</v>
      </c>
      <c r="H67" s="17">
        <f ca="1">IFERROR(__xludf.DUMMYFUNCTION("""COMPUTED_VALUE"""),0.00395833344653669)</f>
        <v>3.9583334465366901E-3</v>
      </c>
      <c r="I67" s="17">
        <f ca="1">IFERROR(__xludf.DUMMYFUNCTION("""COMPUTED_VALUE"""),0.0073958334004089)</f>
        <v>7.3958334004088997E-3</v>
      </c>
      <c r="J67" s="17">
        <f ca="1">IFERROR(__xludf.DUMMYFUNCTION("""COMPUTED_VALUE"""),0.00964120322694)</f>
        <v>9.6412032269400007E-3</v>
      </c>
      <c r="K67" s="18">
        <f ca="1">IFERROR(__xludf.DUMMYFUNCTION("""COMPUTED_VALUE"""),0.00130787092836683)</f>
        <v>1.3078709283668301E-3</v>
      </c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20"/>
      <c r="W67" s="20"/>
      <c r="X67" s="20"/>
      <c r="Y67" s="20"/>
      <c r="Z67" s="21"/>
      <c r="AA67" s="22"/>
      <c r="AB67" s="23"/>
    </row>
    <row r="68" spans="1:28" ht="13.5" customHeight="1" x14ac:dyDescent="0.35">
      <c r="A68" s="24">
        <f ca="1">IFERROR(__xludf.DUMMYFUNCTION("""COMPUTED_VALUE"""),67)</f>
        <v>67</v>
      </c>
      <c r="B68" s="25" t="str">
        <f ca="1">IFERROR(__xludf.DUMMYFUNCTION("""COMPUTED_VALUE"""),"98")</f>
        <v>98</v>
      </c>
      <c r="C68" s="26" t="str">
        <f ca="1">IFERROR(__xludf.DUMMYFUNCTION("""COMPUTED_VALUE"""),"LARNICOL")</f>
        <v>LARNICOL</v>
      </c>
      <c r="D68" s="27" t="str">
        <f ca="1">IFERROR(__xludf.DUMMYFUNCTION("""COMPUTED_VALUE"""),"OLIVIER")</f>
        <v>OLIVIER</v>
      </c>
      <c r="E68" s="15" t="str">
        <f ca="1">IFERROR(__xludf.DUMMYFUNCTION("""COMPUTED_VALUE"""),"SH4")</f>
        <v>SH4</v>
      </c>
      <c r="F68" s="28">
        <f ca="1">IFERROR(__xludf.DUMMYFUNCTION("""COMPUTED_VALUE"""),17)</f>
        <v>17</v>
      </c>
      <c r="G68" s="16">
        <f ca="1">IFERROR(__xludf.DUMMYFUNCTION("""COMPUTED_VALUE"""),0.0225347231023071)</f>
        <v>2.25347231023071E-2</v>
      </c>
      <c r="H68" s="17">
        <f ca="1">IFERROR(__xludf.DUMMYFUNCTION("""COMPUTED_VALUE"""),0.00365740742477987)</f>
        <v>3.6574074247798698E-3</v>
      </c>
      <c r="I68" s="17">
        <f ca="1">IFERROR(__xludf.DUMMYFUNCTION("""COMPUTED_VALUE"""),0.00715277784713123)</f>
        <v>7.1527778471312297E-3</v>
      </c>
      <c r="J68" s="17">
        <f ca="1">IFERROR(__xludf.DUMMYFUNCTION("""COMPUTED_VALUE"""),0.0101273147239171)</f>
        <v>1.01273147239171E-2</v>
      </c>
      <c r="K68" s="18">
        <f ca="1">IFERROR(__xludf.DUMMYFUNCTION("""COMPUTED_VALUE"""),0.0015972231064788)</f>
        <v>1.5972231064788E-3</v>
      </c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20"/>
      <c r="W68" s="20"/>
      <c r="X68" s="20"/>
      <c r="Y68" s="20"/>
      <c r="Z68" s="21"/>
      <c r="AA68" s="22"/>
      <c r="AB68" s="23"/>
    </row>
    <row r="69" spans="1:28" ht="13.5" customHeight="1" x14ac:dyDescent="0.35">
      <c r="A69" s="24">
        <f ca="1">IFERROR(__xludf.DUMMYFUNCTION("""COMPUTED_VALUE"""),68)</f>
        <v>68</v>
      </c>
      <c r="B69" s="25" t="str">
        <f ca="1">IFERROR(__xludf.DUMMYFUNCTION("""COMPUTED_VALUE"""),"196")</f>
        <v>196</v>
      </c>
      <c r="C69" s="26" t="str">
        <f ca="1">IFERROR(__xludf.DUMMYFUNCTION("""COMPUTED_VALUE"""),"PICHON")</f>
        <v>PICHON</v>
      </c>
      <c r="D69" s="27" t="str">
        <f ca="1">IFERROR(__xludf.DUMMYFUNCTION("""COMPUTED_VALUE"""),"MATTHIEU")</f>
        <v>MATTHIEU</v>
      </c>
      <c r="E69" s="15" t="str">
        <f ca="1">IFERROR(__xludf.DUMMYFUNCTION("""COMPUTED_VALUE"""),"SH4")</f>
        <v>SH4</v>
      </c>
      <c r="F69" s="28">
        <f ca="1">IFERROR(__xludf.DUMMYFUNCTION("""COMPUTED_VALUE"""),18)</f>
        <v>18</v>
      </c>
      <c r="G69" s="16">
        <f ca="1">IFERROR(__xludf.DUMMYFUNCTION("""COMPUTED_VALUE"""),0.0225810187761792)</f>
        <v>2.2581018776179199E-2</v>
      </c>
      <c r="H69" s="17">
        <f ca="1">IFERROR(__xludf.DUMMYFUNCTION("""COMPUTED_VALUE"""),0.00384259267664549)</f>
        <v>3.8425926766454902E-3</v>
      </c>
      <c r="I69" s="17">
        <f ca="1">IFERROR(__xludf.DUMMYFUNCTION("""COMPUTED_VALUE"""),0.00682870374064752)</f>
        <v>6.8287037406475201E-3</v>
      </c>
      <c r="J69" s="17">
        <f ca="1">IFERROR(__xludf.DUMMYFUNCTION("""COMPUTED_VALUE"""),0.0108333329293524)</f>
        <v>1.08333329293524E-2</v>
      </c>
      <c r="K69" s="18">
        <f ca="1">IFERROR(__xludf.DUMMYFUNCTION("""COMPUTED_VALUE"""),0.00107638942953372)</f>
        <v>1.0763894295337201E-3</v>
      </c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20"/>
      <c r="W69" s="20"/>
      <c r="X69" s="20"/>
      <c r="Y69" s="20"/>
      <c r="Z69" s="21"/>
      <c r="AA69" s="22"/>
      <c r="AB69" s="23"/>
    </row>
    <row r="70" spans="1:28" ht="13.5" customHeight="1" x14ac:dyDescent="0.35">
      <c r="A70" s="24">
        <f ca="1">IFERROR(__xludf.DUMMYFUNCTION("""COMPUTED_VALUE"""),69)</f>
        <v>69</v>
      </c>
      <c r="B70" s="25" t="str">
        <f ca="1">IFERROR(__xludf.DUMMYFUNCTION("""COMPUTED_VALUE"""),"140")</f>
        <v>140</v>
      </c>
      <c r="C70" s="26" t="str">
        <f ca="1">IFERROR(__xludf.DUMMYFUNCTION("""COMPUTED_VALUE"""),"LUNION")</f>
        <v>LUNION</v>
      </c>
      <c r="D70" s="27" t="str">
        <f ca="1">IFERROR(__xludf.DUMMYFUNCTION("""COMPUTED_VALUE"""),"ROMAIN")</f>
        <v>ROMAIN</v>
      </c>
      <c r="E70" s="15" t="str">
        <f ca="1">IFERROR(__xludf.DUMMYFUNCTION("""COMPUTED_VALUE"""),"SH3")</f>
        <v>SH3</v>
      </c>
      <c r="F70" s="28">
        <f ca="1">IFERROR(__xludf.DUMMYFUNCTION("""COMPUTED_VALUE"""),12)</f>
        <v>12</v>
      </c>
      <c r="G70" s="16">
        <f ca="1">IFERROR(__xludf.DUMMYFUNCTION("""COMPUTED_VALUE"""),0.0226620380258883)</f>
        <v>2.2662038025888301E-2</v>
      </c>
      <c r="H70" s="17">
        <f ca="1">IFERROR(__xludf.DUMMYFUNCTION("""COMPUTED_VALUE"""),0.0040046297126177)</f>
        <v>4.0046297126177001E-3</v>
      </c>
      <c r="I70" s="17">
        <f ca="1">IFERROR(__xludf.DUMMYFUNCTION("""COMPUTED_VALUE"""),0.00806712966976767)</f>
        <v>8.0671296697676694E-3</v>
      </c>
      <c r="J70" s="17">
        <f ca="1">IFERROR(__xludf.DUMMYFUNCTION("""COMPUTED_VALUE"""),0.00883101935427921)</f>
        <v>8.8310193542792109E-3</v>
      </c>
      <c r="K70" s="18">
        <f ca="1">IFERROR(__xludf.DUMMYFUNCTION("""COMPUTED_VALUE"""),0.00175925928922379)</f>
        <v>1.7592592892237901E-3</v>
      </c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20"/>
      <c r="W70" s="20"/>
      <c r="X70" s="20"/>
      <c r="Y70" s="20"/>
      <c r="Z70" s="21"/>
      <c r="AA70" s="22"/>
      <c r="AB70" s="23"/>
    </row>
    <row r="71" spans="1:28" ht="13.5" customHeight="1" x14ac:dyDescent="0.35">
      <c r="A71" s="24">
        <f ca="1">IFERROR(__xludf.DUMMYFUNCTION("""COMPUTED_VALUE"""),70)</f>
        <v>70</v>
      </c>
      <c r="B71" s="25" t="str">
        <f ca="1">IFERROR(__xludf.DUMMYFUNCTION("""COMPUTED_VALUE"""),"195")</f>
        <v>195</v>
      </c>
      <c r="C71" s="26" t="str">
        <f ca="1">IFERROR(__xludf.DUMMYFUNCTION("""COMPUTED_VALUE"""),"BESSON")</f>
        <v>BESSON</v>
      </c>
      <c r="D71" s="27" t="str">
        <f ca="1">IFERROR(__xludf.DUMMYFUNCTION("""COMPUTED_VALUE"""),"GUILLAUME")</f>
        <v>GUILLAUME</v>
      </c>
      <c r="E71" s="15" t="str">
        <f ca="1">IFERROR(__xludf.DUMMYFUNCTION("""COMPUTED_VALUE"""),"SH4")</f>
        <v>SH4</v>
      </c>
      <c r="F71" s="28">
        <f ca="1">IFERROR(__xludf.DUMMYFUNCTION("""COMPUTED_VALUE"""),19)</f>
        <v>19</v>
      </c>
      <c r="G71" s="16">
        <f ca="1">IFERROR(__xludf.DUMMYFUNCTION("""COMPUTED_VALUE"""),0.0227199077049341)</f>
        <v>2.2719907704934102E-2</v>
      </c>
      <c r="H71" s="17">
        <f ca="1">IFERROR(__xludf.DUMMYFUNCTION("""COMPUTED_VALUE"""),0.00403935194708906)</f>
        <v>4.03935194708906E-3</v>
      </c>
      <c r="I71" s="17">
        <f ca="1">IFERROR(__xludf.DUMMYFUNCTION("""COMPUTED_VALUE"""),0.00766203706451462)</f>
        <v>7.6620370645146202E-3</v>
      </c>
      <c r="J71" s="17">
        <f ca="1">IFERROR(__xludf.DUMMYFUNCTION("""COMPUTED_VALUE"""),0.0094444442871783)</f>
        <v>9.4444442871783E-3</v>
      </c>
      <c r="K71" s="18">
        <f ca="1">IFERROR(__xludf.DUMMYFUNCTION("""COMPUTED_VALUE"""),0.00157407440615217)</f>
        <v>1.57407440615217E-3</v>
      </c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20"/>
      <c r="W71" s="20"/>
      <c r="X71" s="20"/>
      <c r="Y71" s="20"/>
      <c r="Z71" s="21"/>
      <c r="AA71" s="22"/>
      <c r="AB71" s="23"/>
    </row>
    <row r="72" spans="1:28" ht="13.5" customHeight="1" x14ac:dyDescent="0.35">
      <c r="A72" s="24">
        <f ca="1">IFERROR(__xludf.DUMMYFUNCTION("""COMPUTED_VALUE"""),71)</f>
        <v>71</v>
      </c>
      <c r="B72" s="25" t="str">
        <f ca="1">IFERROR(__xludf.DUMMYFUNCTION("""COMPUTED_VALUE"""),"118")</f>
        <v>118</v>
      </c>
      <c r="C72" s="26" t="str">
        <f ca="1">IFERROR(__xludf.DUMMYFUNCTION("""COMPUTED_VALUE"""),"HUBERTY")</f>
        <v>HUBERTY</v>
      </c>
      <c r="D72" s="27" t="str">
        <f ca="1">IFERROR(__xludf.DUMMYFUNCTION("""COMPUTED_VALUE"""),"BENJAMIN")</f>
        <v>BENJAMIN</v>
      </c>
      <c r="E72" s="15" t="str">
        <f ca="1">IFERROR(__xludf.DUMMYFUNCTION("""COMPUTED_VALUE"""),"SH4")</f>
        <v>SH4</v>
      </c>
      <c r="F72" s="28">
        <f ca="1">IFERROR(__xludf.DUMMYFUNCTION("""COMPUTED_VALUE"""),20)</f>
        <v>20</v>
      </c>
      <c r="G72" s="16">
        <f ca="1">IFERROR(__xludf.DUMMYFUNCTION("""COMPUTED_VALUE"""),0.0227314821117146)</f>
        <v>2.27314821117146E-2</v>
      </c>
      <c r="H72" s="17">
        <f ca="1">IFERROR(__xludf.DUMMYFUNCTION("""COMPUTED_VALUE"""),0.00517361115880058)</f>
        <v>5.1736111588005802E-3</v>
      </c>
      <c r="I72" s="17">
        <f ca="1">IFERROR(__xludf.DUMMYFUNCTION("""COMPUTED_VALUE"""),0.00737268519917923)</f>
        <v>7.3726851991792299E-3</v>
      </c>
      <c r="J72" s="17">
        <f ca="1">IFERROR(__xludf.DUMMYFUNCTION("""COMPUTED_VALUE"""),0.0084837969129186)</f>
        <v>8.4837969129186001E-3</v>
      </c>
      <c r="K72" s="18">
        <f ca="1">IFERROR(__xludf.DUMMYFUNCTION("""COMPUTED_VALUE"""),0.00170138884081627)</f>
        <v>1.70138884081627E-3</v>
      </c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20"/>
      <c r="W72" s="20"/>
      <c r="X72" s="20"/>
      <c r="Y72" s="20"/>
      <c r="Z72" s="21"/>
      <c r="AA72" s="22"/>
      <c r="AB72" s="23"/>
    </row>
    <row r="73" spans="1:28" ht="13.5" customHeight="1" x14ac:dyDescent="0.35">
      <c r="A73" s="24">
        <f ca="1">IFERROR(__xludf.DUMMYFUNCTION("""COMPUTED_VALUE"""),72)</f>
        <v>72</v>
      </c>
      <c r="B73" s="25" t="str">
        <f ca="1">IFERROR(__xludf.DUMMYFUNCTION("""COMPUTED_VALUE"""),"159")</f>
        <v>159</v>
      </c>
      <c r="C73" s="26" t="str">
        <f ca="1">IFERROR(__xludf.DUMMYFUNCTION("""COMPUTED_VALUE"""),"FALA")</f>
        <v>FALA</v>
      </c>
      <c r="D73" s="27" t="str">
        <f ca="1">IFERROR(__xludf.DUMMYFUNCTION("""COMPUTED_VALUE"""),"LUDWIG")</f>
        <v>LUDWIG</v>
      </c>
      <c r="E73" s="15" t="str">
        <f ca="1">IFERROR(__xludf.DUMMYFUNCTION("""COMPUTED_VALUE"""),"SH4")</f>
        <v>SH4</v>
      </c>
      <c r="F73" s="28">
        <f ca="1">IFERROR(__xludf.DUMMYFUNCTION("""COMPUTED_VALUE"""),21)</f>
        <v>21</v>
      </c>
      <c r="G73" s="16">
        <f ca="1">IFERROR(__xludf.DUMMYFUNCTION("""COMPUTED_VALUE"""),0.0227777788314746)</f>
        <v>2.27777788314746E-2</v>
      </c>
      <c r="H73" s="17">
        <f ca="1">IFERROR(__xludf.DUMMYFUNCTION("""COMPUTED_VALUE"""),0.00400462968913338)</f>
        <v>4.0046296891333797E-3</v>
      </c>
      <c r="I73" s="17">
        <f ca="1">IFERROR(__xludf.DUMMYFUNCTION("""COMPUTED_VALUE"""),0.00807870377763237)</f>
        <v>8.0787037776323695E-3</v>
      </c>
      <c r="J73" s="17">
        <f ca="1">IFERROR(__xludf.DUMMYFUNCTION("""COMPUTED_VALUE"""),0.00915509252262405)</f>
        <v>9.15509252262405E-3</v>
      </c>
      <c r="K73" s="18">
        <f ca="1">IFERROR(__xludf.DUMMYFUNCTION("""COMPUTED_VALUE"""),0.00153935284208483)</f>
        <v>1.5393528420848299E-3</v>
      </c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20"/>
      <c r="W73" s="20"/>
      <c r="X73" s="20"/>
      <c r="Y73" s="20"/>
      <c r="Z73" s="21"/>
      <c r="AA73" s="22"/>
      <c r="AB73" s="23"/>
    </row>
    <row r="74" spans="1:28" ht="13.5" customHeight="1" x14ac:dyDescent="0.35">
      <c r="A74" s="24">
        <f ca="1">IFERROR(__xludf.DUMMYFUNCTION("""COMPUTED_VALUE"""),73)</f>
        <v>73</v>
      </c>
      <c r="B74" s="25" t="str">
        <f ca="1">IFERROR(__xludf.DUMMYFUNCTION("""COMPUTED_VALUE"""),"18")</f>
        <v>18</v>
      </c>
      <c r="C74" s="26" t="str">
        <f ca="1">IFERROR(__xludf.DUMMYFUNCTION("""COMPUTED_VALUE"""),"DELMAS")</f>
        <v>DELMAS</v>
      </c>
      <c r="D74" s="27" t="str">
        <f ca="1">IFERROR(__xludf.DUMMYFUNCTION("""COMPUTED_VALUE"""),"JEAN ANTOINE")</f>
        <v>JEAN ANTOINE</v>
      </c>
      <c r="E74" s="15" t="str">
        <f ca="1">IFERROR(__xludf.DUMMYFUNCTION("""COMPUTED_VALUE"""),"MH3")</f>
        <v>MH3</v>
      </c>
      <c r="F74" s="28">
        <f ca="1">IFERROR(__xludf.DUMMYFUNCTION("""COMPUTED_VALUE"""),6)</f>
        <v>6</v>
      </c>
      <c r="G74" s="16">
        <f ca="1">IFERROR(__xludf.DUMMYFUNCTION("""COMPUTED_VALUE"""),0.0230787043509594)</f>
        <v>2.3078704350959399E-2</v>
      </c>
      <c r="H74" s="17">
        <f ca="1">IFERROR(__xludf.DUMMYFUNCTION("""COMPUTED_VALUE"""),0.00461805557800806)</f>
        <v>4.6180555780080601E-3</v>
      </c>
      <c r="I74" s="17">
        <f ca="1">IFERROR(__xludf.DUMMYFUNCTION("""COMPUTED_VALUE"""),0.00850694455586142)</f>
        <v>8.5069445558614201E-3</v>
      </c>
      <c r="J74" s="17">
        <f ca="1">IFERROR(__xludf.DUMMYFUNCTION("""COMPUTED_VALUE"""),0.00872685164015478)</f>
        <v>8.7268516401547806E-3</v>
      </c>
      <c r="K74" s="18">
        <f ca="1">IFERROR(__xludf.DUMMYFUNCTION("""COMPUTED_VALUE"""),0.00122685257693517)</f>
        <v>1.2268525769351701E-3</v>
      </c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20"/>
      <c r="W74" s="20"/>
      <c r="X74" s="20"/>
      <c r="Y74" s="20"/>
      <c r="Z74" s="21"/>
      <c r="AA74" s="22"/>
      <c r="AB74" s="23"/>
    </row>
    <row r="75" spans="1:28" ht="13.5" customHeight="1" x14ac:dyDescent="0.35">
      <c r="A75" s="24">
        <f ca="1">IFERROR(__xludf.DUMMYFUNCTION("""COMPUTED_VALUE"""),74)</f>
        <v>74</v>
      </c>
      <c r="B75" s="25" t="str">
        <f ca="1">IFERROR(__xludf.DUMMYFUNCTION("""COMPUTED_VALUE"""),"60")</f>
        <v>60</v>
      </c>
      <c r="C75" s="26" t="str">
        <f ca="1">IFERROR(__xludf.DUMMYFUNCTION("""COMPUTED_VALUE"""),"BARBEAU")</f>
        <v>BARBEAU</v>
      </c>
      <c r="D75" s="27" t="str">
        <f ca="1">IFERROR(__xludf.DUMMYFUNCTION("""COMPUTED_VALUE"""),"REMY")</f>
        <v>REMY</v>
      </c>
      <c r="E75" s="15" t="str">
        <f ca="1">IFERROR(__xludf.DUMMYFUNCTION("""COMPUTED_VALUE"""),"MH2")</f>
        <v>MH2</v>
      </c>
      <c r="F75" s="28">
        <f ca="1">IFERROR(__xludf.DUMMYFUNCTION("""COMPUTED_VALUE"""),15)</f>
        <v>15</v>
      </c>
      <c r="G75" s="16">
        <f ca="1">IFERROR(__xludf.DUMMYFUNCTION("""COMPUTED_VALUE"""),0.023344908279648)</f>
        <v>2.3344908279648E-2</v>
      </c>
      <c r="H75" s="17">
        <f ca="1">IFERROR(__xludf.DUMMYFUNCTION("""COMPUTED_VALUE"""),0.00412037045428423)</f>
        <v>4.12037045428423E-3</v>
      </c>
      <c r="I75" s="17">
        <f ca="1">IFERROR(__xludf.DUMMYFUNCTION("""COMPUTED_VALUE"""),0.0074421296682761)</f>
        <v>7.4421296682760998E-3</v>
      </c>
      <c r="J75" s="17">
        <f ca="1">IFERROR(__xludf.DUMMYFUNCTION("""COMPUTED_VALUE"""),0.0108912036045587)</f>
        <v>1.08912036045587E-2</v>
      </c>
      <c r="K75" s="18">
        <f ca="1">IFERROR(__xludf.DUMMYFUNCTION("""COMPUTED_VALUE"""),0.000891204552528981)</f>
        <v>8.9120455252898105E-4</v>
      </c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20"/>
      <c r="W75" s="20"/>
      <c r="X75" s="20"/>
      <c r="Y75" s="20"/>
      <c r="Z75" s="21"/>
      <c r="AA75" s="22"/>
      <c r="AB75" s="23"/>
    </row>
    <row r="76" spans="1:28" ht="13.5" customHeight="1" x14ac:dyDescent="0.35">
      <c r="A76" s="24">
        <f ca="1">IFERROR(__xludf.DUMMYFUNCTION("""COMPUTED_VALUE"""),75)</f>
        <v>75</v>
      </c>
      <c r="B76" s="25" t="str">
        <f ca="1">IFERROR(__xludf.DUMMYFUNCTION("""COMPUTED_VALUE"""),"17")</f>
        <v>17</v>
      </c>
      <c r="C76" s="26" t="str">
        <f ca="1">IFERROR(__xludf.DUMMYFUNCTION("""COMPUTED_VALUE"""),"HASSAN")</f>
        <v>HASSAN</v>
      </c>
      <c r="D76" s="27" t="str">
        <f ca="1">IFERROR(__xludf.DUMMYFUNCTION("""COMPUTED_VALUE"""),"FABIEN")</f>
        <v>FABIEN</v>
      </c>
      <c r="E76" s="15" t="str">
        <f ca="1">IFERROR(__xludf.DUMMYFUNCTION("""COMPUTED_VALUE"""),"SH4")</f>
        <v>SH4</v>
      </c>
      <c r="F76" s="28">
        <f ca="1">IFERROR(__xludf.DUMMYFUNCTION("""COMPUTED_VALUE"""),22)</f>
        <v>22</v>
      </c>
      <c r="G76" s="16">
        <f ca="1">IFERROR(__xludf.DUMMYFUNCTION("""COMPUTED_VALUE"""),0.0234259264193463)</f>
        <v>2.34259264193463E-2</v>
      </c>
      <c r="H76" s="17">
        <f ca="1">IFERROR(__xludf.DUMMYFUNCTION("""COMPUTED_VALUE"""),0.00563657414727071)</f>
        <v>5.6365741472707096E-3</v>
      </c>
      <c r="I76" s="17">
        <f ca="1">IFERROR(__xludf.DUMMYFUNCTION("""COMPUTED_VALUE"""),0.00765046298153564)</f>
        <v>7.6504629815356403E-3</v>
      </c>
      <c r="J76" s="17">
        <f ca="1">IFERROR(__xludf.DUMMYFUNCTION("""COMPUTED_VALUE"""),0.00849537062396865)</f>
        <v>8.4953706239686497E-3</v>
      </c>
      <c r="K76" s="18">
        <f ca="1">IFERROR(__xludf.DUMMYFUNCTION("""COMPUTED_VALUE"""),0.00164351866657135)</f>
        <v>1.64351866657135E-3</v>
      </c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20"/>
      <c r="W76" s="20"/>
      <c r="X76" s="20"/>
      <c r="Y76" s="20"/>
      <c r="Z76" s="21"/>
      <c r="AA76" s="22"/>
      <c r="AB76" s="23"/>
    </row>
    <row r="77" spans="1:28" ht="13.5" customHeight="1" x14ac:dyDescent="0.35">
      <c r="A77" s="24">
        <f ca="1">IFERROR(__xludf.DUMMYFUNCTION("""COMPUTED_VALUE"""),76)</f>
        <v>76</v>
      </c>
      <c r="B77" s="25" t="str">
        <f ca="1">IFERROR(__xludf.DUMMYFUNCTION("""COMPUTED_VALUE"""),"158")</f>
        <v>158</v>
      </c>
      <c r="C77" s="26" t="str">
        <f ca="1">IFERROR(__xludf.DUMMYFUNCTION("""COMPUTED_VALUE"""),"COMBIER")</f>
        <v>COMBIER</v>
      </c>
      <c r="D77" s="27" t="str">
        <f ca="1">IFERROR(__xludf.DUMMYFUNCTION("""COMPUTED_VALUE"""),"MICHAEL")</f>
        <v>MICHAEL</v>
      </c>
      <c r="E77" s="15" t="str">
        <f ca="1">IFERROR(__xludf.DUMMYFUNCTION("""COMPUTED_VALUE"""),"MH1")</f>
        <v>MH1</v>
      </c>
      <c r="F77" s="28">
        <f ca="1">IFERROR(__xludf.DUMMYFUNCTION("""COMPUTED_VALUE"""),18)</f>
        <v>18</v>
      </c>
      <c r="G77" s="16">
        <f ca="1">IFERROR(__xludf.DUMMYFUNCTION("""COMPUTED_VALUE"""),0.0234837968460067)</f>
        <v>2.34837968460067E-2</v>
      </c>
      <c r="H77" s="17">
        <f ca="1">IFERROR(__xludf.DUMMYFUNCTION("""COMPUTED_VALUE"""),0.00409722231031557)</f>
        <v>4.0972223103155703E-3</v>
      </c>
      <c r="I77" s="17">
        <f ca="1">IFERROR(__xludf.DUMMYFUNCTION("""COMPUTED_VALUE"""),0.00793981492575962)</f>
        <v>7.9398149257596199E-3</v>
      </c>
      <c r="J77" s="17">
        <f ca="1">IFERROR(__xludf.DUMMYFUNCTION("""COMPUTED_VALUE"""),0.00974537004757194)</f>
        <v>9.7453700475719392E-3</v>
      </c>
      <c r="K77" s="18">
        <f ca="1">IFERROR(__xludf.DUMMYFUNCTION("""COMPUTED_VALUE"""),0.00170138956235959)</f>
        <v>1.7013895623595901E-3</v>
      </c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20"/>
      <c r="W77" s="20"/>
      <c r="X77" s="20"/>
      <c r="Y77" s="20"/>
      <c r="Z77" s="21"/>
      <c r="AA77" s="22"/>
      <c r="AB77" s="23"/>
    </row>
    <row r="78" spans="1:28" ht="13.5" customHeight="1" x14ac:dyDescent="0.35">
      <c r="A78" s="24">
        <f ca="1">IFERROR(__xludf.DUMMYFUNCTION("""COMPUTED_VALUE"""),77)</f>
        <v>77</v>
      </c>
      <c r="B78" s="25" t="str">
        <f ca="1">IFERROR(__xludf.DUMMYFUNCTION("""COMPUTED_VALUE"""),"101")</f>
        <v>101</v>
      </c>
      <c r="C78" s="26" t="str">
        <f ca="1">IFERROR(__xludf.DUMMYFUNCTION("""COMPUTED_VALUE"""),"MARTY")</f>
        <v>MARTY</v>
      </c>
      <c r="D78" s="27" t="str">
        <f ca="1">IFERROR(__xludf.DUMMYFUNCTION("""COMPUTED_VALUE"""),"CHRISTOPHE")</f>
        <v>CHRISTOPHE</v>
      </c>
      <c r="E78" s="15" t="str">
        <f ca="1">IFERROR(__xludf.DUMMYFUNCTION("""COMPUTED_VALUE"""),"MH5")</f>
        <v>MH5</v>
      </c>
      <c r="F78" s="28">
        <f ca="1">IFERROR(__xludf.DUMMYFUNCTION("""COMPUTED_VALUE"""),1)</f>
        <v>1</v>
      </c>
      <c r="G78" s="16">
        <f ca="1">IFERROR(__xludf.DUMMYFUNCTION("""COMPUTED_VALUE"""),0.0235763895811148)</f>
        <v>2.3576389581114798E-2</v>
      </c>
      <c r="H78" s="17">
        <f ca="1">IFERROR(__xludf.DUMMYFUNCTION("""COMPUTED_VALUE"""),0.00473379630962135)</f>
        <v>4.7337963096213496E-3</v>
      </c>
      <c r="I78" s="17">
        <f ca="1">IFERROR(__xludf.DUMMYFUNCTION("""COMPUTED_VALUE"""),0.00712962973005187)</f>
        <v>7.1296297300518698E-3</v>
      </c>
      <c r="J78" s="17">
        <f ca="1">IFERROR(__xludf.DUMMYFUNCTION("""COMPUTED_VALUE"""),0.0103472222905731)</f>
        <v>1.03472222905731E-2</v>
      </c>
      <c r="K78" s="18">
        <f ca="1">IFERROR(__xludf.DUMMYFUNCTION("""COMPUTED_VALUE"""),0.00136574125086847)</f>
        <v>1.3657412508684701E-3</v>
      </c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20"/>
      <c r="W78" s="20"/>
      <c r="X78" s="20"/>
      <c r="Y78" s="20"/>
      <c r="Z78" s="21"/>
      <c r="AA78" s="22"/>
      <c r="AB78" s="23"/>
    </row>
    <row r="79" spans="1:28" ht="13.5" customHeight="1" x14ac:dyDescent="0.35">
      <c r="A79" s="24">
        <f ca="1">IFERROR(__xludf.DUMMYFUNCTION("""COMPUTED_VALUE"""),78)</f>
        <v>78</v>
      </c>
      <c r="B79" s="25" t="str">
        <f ca="1">IFERROR(__xludf.DUMMYFUNCTION("""COMPUTED_VALUE"""),"92")</f>
        <v>92</v>
      </c>
      <c r="C79" s="26" t="str">
        <f ca="1">IFERROR(__xludf.DUMMYFUNCTION("""COMPUTED_VALUE"""),"LOMBARD")</f>
        <v>LOMBARD</v>
      </c>
      <c r="D79" s="27" t="str">
        <f ca="1">IFERROR(__xludf.DUMMYFUNCTION("""COMPUTED_VALUE"""),"DILAN")</f>
        <v>DILAN</v>
      </c>
      <c r="E79" s="15" t="str">
        <f ca="1">IFERROR(__xludf.DUMMYFUNCTION("""COMPUTED_VALUE"""),"SH2")</f>
        <v>SH2</v>
      </c>
      <c r="F79" s="28">
        <f ca="1">IFERROR(__xludf.DUMMYFUNCTION("""COMPUTED_VALUE"""),2)</f>
        <v>2</v>
      </c>
      <c r="G79" s="16">
        <f ca="1">IFERROR(__xludf.DUMMYFUNCTION("""COMPUTED_VALUE"""),0.023645834143621)</f>
        <v>2.3645834143621001E-2</v>
      </c>
      <c r="H79" s="17">
        <f ca="1">IFERROR(__xludf.DUMMYFUNCTION("""COMPUTED_VALUE"""),0.00444444451131367)</f>
        <v>4.4444445113136699E-3</v>
      </c>
      <c r="I79" s="17">
        <f ca="1">IFERROR(__xludf.DUMMYFUNCTION("""COMPUTED_VALUE"""),0.00861111120740993)</f>
        <v>8.6111112074099307E-3</v>
      </c>
      <c r="J79" s="17">
        <f ca="1">IFERROR(__xludf.DUMMYFUNCTION("""COMPUTED_VALUE"""),0.00950231489676304)</f>
        <v>9.5023148967630401E-3</v>
      </c>
      <c r="K79" s="18">
        <f ca="1">IFERROR(__xludf.DUMMYFUNCTION("""COMPUTED_VALUE"""),0.00108796352813439)</f>
        <v>1.0879635281343899E-3</v>
      </c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20"/>
      <c r="W79" s="20"/>
      <c r="X79" s="20"/>
      <c r="Y79" s="20"/>
      <c r="Z79" s="21"/>
      <c r="AA79" s="22"/>
      <c r="AB79" s="23"/>
    </row>
    <row r="80" spans="1:28" ht="13.5" customHeight="1" x14ac:dyDescent="0.35">
      <c r="A80" s="24">
        <f ca="1">IFERROR(__xludf.DUMMYFUNCTION("""COMPUTED_VALUE"""),79)</f>
        <v>79</v>
      </c>
      <c r="B80" s="25" t="str">
        <f ca="1">IFERROR(__xludf.DUMMYFUNCTION("""COMPUTED_VALUE"""),"177")</f>
        <v>177</v>
      </c>
      <c r="C80" s="26" t="str">
        <f ca="1">IFERROR(__xludf.DUMMYFUNCTION("""COMPUTED_VALUE"""),"BENISTY")</f>
        <v>BENISTY</v>
      </c>
      <c r="D80" s="27" t="str">
        <f ca="1">IFERROR(__xludf.DUMMYFUNCTION("""COMPUTED_VALUE"""),"YONATHAN")</f>
        <v>YONATHAN</v>
      </c>
      <c r="E80" s="15" t="str">
        <f ca="1">IFERROR(__xludf.DUMMYFUNCTION("""COMPUTED_VALUE"""),"MH1")</f>
        <v>MH1</v>
      </c>
      <c r="F80" s="28">
        <f ca="1">IFERROR(__xludf.DUMMYFUNCTION("""COMPUTED_VALUE"""),19)</f>
        <v>19</v>
      </c>
      <c r="G80" s="16">
        <f ca="1">IFERROR(__xludf.DUMMYFUNCTION("""COMPUTED_VALUE"""),0.0236921298493469)</f>
        <v>2.3692129849346901E-2</v>
      </c>
      <c r="H80" s="17">
        <f ca="1">IFERROR(__xludf.DUMMYFUNCTION("""COMPUTED_VALUE"""),0.00462962970786893)</f>
        <v>4.6296297078689298E-3</v>
      </c>
      <c r="I80" s="17">
        <f ca="1">IFERROR(__xludf.DUMMYFUNCTION("""COMPUTED_VALUE"""),0.0079976852857579)</f>
        <v>7.9976852857578992E-3</v>
      </c>
      <c r="J80" s="17">
        <f ca="1">IFERROR(__xludf.DUMMYFUNCTION("""COMPUTED_VALUE"""),0.00945601841303585)</f>
        <v>9.4560184130358504E-3</v>
      </c>
      <c r="K80" s="18">
        <f ca="1">IFERROR(__xludf.DUMMYFUNCTION("""COMPUTED_VALUE"""),0.00160879644268426)</f>
        <v>1.6087964426842599E-3</v>
      </c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20"/>
      <c r="W80" s="20"/>
      <c r="X80" s="20"/>
      <c r="Y80" s="20"/>
      <c r="Z80" s="21"/>
      <c r="AA80" s="22"/>
      <c r="AB80" s="23"/>
    </row>
    <row r="81" spans="1:28" ht="13.5" customHeight="1" x14ac:dyDescent="0.35">
      <c r="A81" s="24">
        <f ca="1">IFERROR(__xludf.DUMMYFUNCTION("""COMPUTED_VALUE"""),80)</f>
        <v>80</v>
      </c>
      <c r="B81" s="25" t="str">
        <f ca="1">IFERROR(__xludf.DUMMYFUNCTION("""COMPUTED_VALUE"""),"55")</f>
        <v>55</v>
      </c>
      <c r="C81" s="26" t="str">
        <f ca="1">IFERROR(__xludf.DUMMYFUNCTION("""COMPUTED_VALUE"""),"BUREAU")</f>
        <v>BUREAU</v>
      </c>
      <c r="D81" s="27" t="str">
        <f ca="1">IFERROR(__xludf.DUMMYFUNCTION("""COMPUTED_VALUE"""),"ALBAN")</f>
        <v>ALBAN</v>
      </c>
      <c r="E81" s="15" t="str">
        <f ca="1">IFERROR(__xludf.DUMMYFUNCTION("""COMPUTED_VALUE"""),"MH1")</f>
        <v>MH1</v>
      </c>
      <c r="F81" s="28">
        <f ca="1">IFERROR(__xludf.DUMMYFUNCTION("""COMPUTED_VALUE"""),20)</f>
        <v>20</v>
      </c>
      <c r="G81" s="16">
        <f ca="1">IFERROR(__xludf.DUMMYFUNCTION("""COMPUTED_VALUE"""),0.0237384264262181)</f>
        <v>2.3738426426218099E-2</v>
      </c>
      <c r="H81" s="17">
        <f ca="1">IFERROR(__xludf.DUMMYFUNCTION("""COMPUTED_VALUE"""),0.00475694446546014)</f>
        <v>4.75694446546014E-3</v>
      </c>
      <c r="I81" s="17">
        <f ca="1">IFERROR(__xludf.DUMMYFUNCTION("""COMPUTED_VALUE"""),0.00871527785957029)</f>
        <v>8.7152778595702904E-3</v>
      </c>
      <c r="J81" s="17">
        <f ca="1">IFERROR(__xludf.DUMMYFUNCTION("""COMPUTED_VALUE"""),0.00943287085080209)</f>
        <v>9.4328708508020897E-3</v>
      </c>
      <c r="K81" s="18">
        <f ca="1">IFERROR(__xludf.DUMMYFUNCTION("""COMPUTED_VALUE"""),0.000833333250385613)</f>
        <v>8.3333325038561297E-4</v>
      </c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20"/>
      <c r="W81" s="20"/>
      <c r="X81" s="20"/>
      <c r="Y81" s="20"/>
      <c r="Z81" s="21"/>
      <c r="AA81" s="22"/>
      <c r="AB81" s="23"/>
    </row>
    <row r="82" spans="1:28" ht="13.5" customHeight="1" x14ac:dyDescent="0.35">
      <c r="A82" s="24">
        <f ca="1">IFERROR(__xludf.DUMMYFUNCTION("""COMPUTED_VALUE"""),81)</f>
        <v>81</v>
      </c>
      <c r="B82" s="25" t="str">
        <f ca="1">IFERROR(__xludf.DUMMYFUNCTION("""COMPUTED_VALUE"""),"163")</f>
        <v>163</v>
      </c>
      <c r="C82" s="26" t="str">
        <f ca="1">IFERROR(__xludf.DUMMYFUNCTION("""COMPUTED_VALUE"""),"ANDRADE PEREIRA")</f>
        <v>ANDRADE PEREIRA</v>
      </c>
      <c r="D82" s="27" t="str">
        <f ca="1">IFERROR(__xludf.DUMMYFUNCTION("""COMPUTED_VALUE"""),"RENAN")</f>
        <v>RENAN</v>
      </c>
      <c r="E82" s="15" t="str">
        <f ca="1">IFERROR(__xludf.DUMMYFUNCTION("""COMPUTED_VALUE"""),"SH4")</f>
        <v>SH4</v>
      </c>
      <c r="F82" s="28">
        <f ca="1">IFERROR(__xludf.DUMMYFUNCTION("""COMPUTED_VALUE"""),23)</f>
        <v>23</v>
      </c>
      <c r="G82" s="16">
        <f ca="1">IFERROR(__xludf.DUMMYFUNCTION("""COMPUTED_VALUE"""),0.0237500001884076)</f>
        <v>2.3750000188407599E-2</v>
      </c>
      <c r="H82" s="17">
        <f ca="1">IFERROR(__xludf.DUMMYFUNCTION("""COMPUTED_VALUE"""),0.00482638897794369)</f>
        <v>4.8263889779436896E-3</v>
      </c>
      <c r="I82" s="17">
        <f ca="1">IFERROR(__xludf.DUMMYFUNCTION("""COMPUTED_VALUE"""),0.00780092594198036)</f>
        <v>7.8009259419803603E-3</v>
      </c>
      <c r="J82" s="17">
        <f ca="1">IFERROR(__xludf.DUMMYFUNCTION("""COMPUTED_VALUE"""),0.00965277697973957)</f>
        <v>9.6527769797395708E-3</v>
      </c>
      <c r="K82" s="18">
        <f ca="1">IFERROR(__xludf.DUMMYFUNCTION("""COMPUTED_VALUE"""),0.00146990828874405)</f>
        <v>1.46990828874405E-3</v>
      </c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20"/>
      <c r="W82" s="20"/>
      <c r="X82" s="20"/>
      <c r="Y82" s="20"/>
      <c r="Z82" s="21"/>
      <c r="AA82" s="22"/>
      <c r="AB82" s="23"/>
    </row>
    <row r="83" spans="1:28" ht="13.5" customHeight="1" x14ac:dyDescent="0.35">
      <c r="A83" s="24">
        <f ca="1">IFERROR(__xludf.DUMMYFUNCTION("""COMPUTED_VALUE"""),82)</f>
        <v>82</v>
      </c>
      <c r="B83" s="25" t="str">
        <f ca="1">IFERROR(__xludf.DUMMYFUNCTION("""COMPUTED_VALUE"""),"115")</f>
        <v>115</v>
      </c>
      <c r="C83" s="26" t="str">
        <f ca="1">IFERROR(__xludf.DUMMYFUNCTION("""COMPUTED_VALUE"""),"GAVINI")</f>
        <v>GAVINI</v>
      </c>
      <c r="D83" s="27" t="str">
        <f ca="1">IFERROR(__xludf.DUMMYFUNCTION("""COMPUTED_VALUE"""),"JEAN")</f>
        <v>JEAN</v>
      </c>
      <c r="E83" s="15" t="str">
        <f ca="1">IFERROR(__xludf.DUMMYFUNCTION("""COMPUTED_VALUE"""),"MH4")</f>
        <v>MH4</v>
      </c>
      <c r="F83" s="28">
        <f ca="1">IFERROR(__xludf.DUMMYFUNCTION("""COMPUTED_VALUE"""),3)</f>
        <v>3</v>
      </c>
      <c r="G83" s="16">
        <f ca="1">IFERROR(__xludf.DUMMYFUNCTION("""COMPUTED_VALUE"""),0.0238425930159969)</f>
        <v>2.38425930159969E-2</v>
      </c>
      <c r="H83" s="17">
        <f ca="1">IFERROR(__xludf.DUMMYFUNCTION("""COMPUTED_VALUE"""),0.00439814817827467)</f>
        <v>4.3981481782746704E-3</v>
      </c>
      <c r="I83" s="17">
        <f ca="1">IFERROR(__xludf.DUMMYFUNCTION("""COMPUTED_VALUE"""),0.00858796306488923)</f>
        <v>8.5879630648892299E-3</v>
      </c>
      <c r="J83" s="17">
        <f ca="1">IFERROR(__xludf.DUMMYFUNCTION("""COMPUTED_VALUE"""),0.00855324029614786)</f>
        <v>8.5532402961478599E-3</v>
      </c>
      <c r="K83" s="18">
        <f ca="1">IFERROR(__xludf.DUMMYFUNCTION("""COMPUTED_VALUE"""),0.00230324147668515)</f>
        <v>2.3032414766851498E-3</v>
      </c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20"/>
      <c r="W83" s="20"/>
      <c r="X83" s="20"/>
      <c r="Y83" s="20"/>
      <c r="Z83" s="21"/>
      <c r="AA83" s="22"/>
      <c r="AB83" s="23"/>
    </row>
    <row r="84" spans="1:28" ht="13.5" customHeight="1" x14ac:dyDescent="0.35">
      <c r="A84" s="24">
        <f ca="1">IFERROR(__xludf.DUMMYFUNCTION("""COMPUTED_VALUE"""),83)</f>
        <v>83</v>
      </c>
      <c r="B84" s="25" t="str">
        <f ca="1">IFERROR(__xludf.DUMMYFUNCTION("""COMPUTED_VALUE"""),"53")</f>
        <v>53</v>
      </c>
      <c r="C84" s="26" t="str">
        <f ca="1">IFERROR(__xludf.DUMMYFUNCTION("""COMPUTED_VALUE"""),"MALHERBAUD")</f>
        <v>MALHERBAUD</v>
      </c>
      <c r="D84" s="27" t="str">
        <f ca="1">IFERROR(__xludf.DUMMYFUNCTION("""COMPUTED_VALUE"""),"PIERRE")</f>
        <v>PIERRE</v>
      </c>
      <c r="E84" s="15" t="str">
        <f ca="1">IFERROR(__xludf.DUMMYFUNCTION("""COMPUTED_VALUE"""),"MH3")</f>
        <v>MH3</v>
      </c>
      <c r="F84" s="28">
        <f ca="1">IFERROR(__xludf.DUMMYFUNCTION("""COMPUTED_VALUE"""),7)</f>
        <v>7</v>
      </c>
      <c r="G84" s="16">
        <f ca="1">IFERROR(__xludf.DUMMYFUNCTION("""COMPUTED_VALUE"""),0.0239004631152746)</f>
        <v>2.3900463115274599E-2</v>
      </c>
      <c r="H84" s="17">
        <f ca="1">IFERROR(__xludf.DUMMYFUNCTION("""COMPUTED_VALUE"""),0.00387731492380303)</f>
        <v>3.8773149238030299E-3</v>
      </c>
      <c r="I84" s="17">
        <f ca="1">IFERROR(__xludf.DUMMYFUNCTION("""COMPUTED_VALUE"""),0.00818287037467751)</f>
        <v>8.1828703746775096E-3</v>
      </c>
      <c r="J84" s="17">
        <f ca="1">IFERROR(__xludf.DUMMYFUNCTION("""COMPUTED_VALUE"""),0.0106365733485816)</f>
        <v>1.0636573348581599E-2</v>
      </c>
      <c r="K84" s="18">
        <f ca="1">IFERROR(__xludf.DUMMYFUNCTION("""COMPUTED_VALUE"""),0.00120370446821246)</f>
        <v>1.20370446821246E-3</v>
      </c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20"/>
      <c r="W84" s="20"/>
      <c r="X84" s="20"/>
      <c r="Y84" s="20"/>
      <c r="Z84" s="21"/>
      <c r="AA84" s="22"/>
      <c r="AB84" s="23"/>
    </row>
    <row r="85" spans="1:28" ht="13.5" customHeight="1" x14ac:dyDescent="0.35">
      <c r="A85" s="24">
        <f ca="1">IFERROR(__xludf.DUMMYFUNCTION("""COMPUTED_VALUE"""),84)</f>
        <v>84</v>
      </c>
      <c r="B85" s="25" t="str">
        <f ca="1">IFERROR(__xludf.DUMMYFUNCTION("""COMPUTED_VALUE"""),"105")</f>
        <v>105</v>
      </c>
      <c r="C85" s="26" t="str">
        <f ca="1">IFERROR(__xludf.DUMMYFUNCTION("""COMPUTED_VALUE"""),"FUCHS")</f>
        <v>FUCHS</v>
      </c>
      <c r="D85" s="27" t="str">
        <f ca="1">IFERROR(__xludf.DUMMYFUNCTION("""COMPUTED_VALUE"""),"PATRICK")</f>
        <v>PATRICK</v>
      </c>
      <c r="E85" s="15" t="str">
        <f ca="1">IFERROR(__xludf.DUMMYFUNCTION("""COMPUTED_VALUE"""),"MH3")</f>
        <v>MH3</v>
      </c>
      <c r="F85" s="28">
        <f ca="1">IFERROR(__xludf.DUMMYFUNCTION("""COMPUTED_VALUE"""),8)</f>
        <v>8</v>
      </c>
      <c r="G85" s="16">
        <f ca="1">IFERROR(__xludf.DUMMYFUNCTION("""COMPUTED_VALUE"""),0.0239814818861696)</f>
        <v>2.3981481886169598E-2</v>
      </c>
      <c r="H85" s="17">
        <f ca="1">IFERROR(__xludf.DUMMYFUNCTION("""COMPUTED_VALUE"""),0.00484953705064559)</f>
        <v>4.8495370506455903E-3</v>
      </c>
      <c r="I85" s="17">
        <f ca="1">IFERROR(__xludf.DUMMYFUNCTION("""COMPUTED_VALUE"""),0.0076504630754168)</f>
        <v>7.6504630754168001E-3</v>
      </c>
      <c r="J85" s="17">
        <f ca="1">IFERROR(__xludf.DUMMYFUNCTION("""COMPUTED_VALUE"""),0.00997685192640596)</f>
        <v>9.9768519264059607E-3</v>
      </c>
      <c r="K85" s="18">
        <f ca="1">IFERROR(__xludf.DUMMYFUNCTION("""COMPUTED_VALUE"""),0.00150462983370123)</f>
        <v>1.50462983370123E-3</v>
      </c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20"/>
      <c r="W85" s="20"/>
      <c r="X85" s="20"/>
      <c r="Y85" s="20"/>
      <c r="Z85" s="21"/>
      <c r="AA85" s="22"/>
      <c r="AB85" s="23"/>
    </row>
    <row r="86" spans="1:28" ht="13.5" customHeight="1" x14ac:dyDescent="0.35">
      <c r="A86" s="24">
        <f ca="1">IFERROR(__xludf.DUMMYFUNCTION("""COMPUTED_VALUE"""),85)</f>
        <v>85</v>
      </c>
      <c r="B86" s="25" t="str">
        <f ca="1">IFERROR(__xludf.DUMMYFUNCTION("""COMPUTED_VALUE"""),"124")</f>
        <v>124</v>
      </c>
      <c r="C86" s="26" t="str">
        <f ca="1">IFERROR(__xludf.DUMMYFUNCTION("""COMPUTED_VALUE"""),"CHEYLUS")</f>
        <v>CHEYLUS</v>
      </c>
      <c r="D86" s="27" t="str">
        <f ca="1">IFERROR(__xludf.DUMMYFUNCTION("""COMPUTED_VALUE"""),"LIONEL")</f>
        <v>LIONEL</v>
      </c>
      <c r="E86" s="15" t="str">
        <f ca="1">IFERROR(__xludf.DUMMYFUNCTION("""COMPUTED_VALUE"""),"MH2")</f>
        <v>MH2</v>
      </c>
      <c r="F86" s="28">
        <f ca="1">IFERROR(__xludf.DUMMYFUNCTION("""COMPUTED_VALUE"""),16)</f>
        <v>16</v>
      </c>
      <c r="G86" s="16">
        <f ca="1">IFERROR(__xludf.DUMMYFUNCTION("""COMPUTED_VALUE"""),0.0244212970884559)</f>
        <v>2.44212970884559E-2</v>
      </c>
      <c r="H86" s="17">
        <f ca="1">IFERROR(__xludf.DUMMYFUNCTION("""COMPUTED_VALUE"""),0.00603009262709024)</f>
        <v>6.0300926270902399E-3</v>
      </c>
      <c r="I86" s="17">
        <f ca="1">IFERROR(__xludf.DUMMYFUNCTION("""COMPUTED_VALUE"""),0.00875000010662158)</f>
        <v>8.7500001066215805E-3</v>
      </c>
      <c r="J86" s="17">
        <f ca="1">IFERROR(__xludf.DUMMYFUNCTION("""COMPUTED_VALUE"""),0.00844907464390871)</f>
        <v>8.4490746439087102E-3</v>
      </c>
      <c r="K86" s="18">
        <f ca="1">IFERROR(__xludf.DUMMYFUNCTION("""COMPUTED_VALUE"""),0.00119212971083539)</f>
        <v>1.19212971083539E-3</v>
      </c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20"/>
      <c r="W86" s="20"/>
      <c r="X86" s="20"/>
      <c r="Y86" s="20"/>
      <c r="Z86" s="21"/>
      <c r="AA86" s="22"/>
      <c r="AB86" s="23"/>
    </row>
    <row r="87" spans="1:28" ht="13.5" customHeight="1" x14ac:dyDescent="0.35">
      <c r="A87" s="24">
        <f ca="1">IFERROR(__xludf.DUMMYFUNCTION("""COMPUTED_VALUE"""),86)</f>
        <v>86</v>
      </c>
      <c r="B87" s="25" t="str">
        <f ca="1">IFERROR(__xludf.DUMMYFUNCTION("""COMPUTED_VALUE"""),"65")</f>
        <v>65</v>
      </c>
      <c r="C87" s="26" t="str">
        <f ca="1">IFERROR(__xludf.DUMMYFUNCTION("""COMPUTED_VALUE"""),"SATKUNANANTHAN")</f>
        <v>SATKUNANANTHAN</v>
      </c>
      <c r="D87" s="27" t="str">
        <f ca="1">IFERROR(__xludf.DUMMYFUNCTION("""COMPUTED_VALUE"""),"SASIHARAN")</f>
        <v>SASIHARAN</v>
      </c>
      <c r="E87" s="15" t="str">
        <f ca="1">IFERROR(__xludf.DUMMYFUNCTION("""COMPUTED_VALUE"""),"MH1")</f>
        <v>MH1</v>
      </c>
      <c r="F87" s="28">
        <f ca="1">IFERROR(__xludf.DUMMYFUNCTION("""COMPUTED_VALUE"""),21)</f>
        <v>21</v>
      </c>
      <c r="G87" s="16">
        <f ca="1">IFERROR(__xludf.DUMMYFUNCTION("""COMPUTED_VALUE"""),0.0246990748363075)</f>
        <v>2.46990748363075E-2</v>
      </c>
      <c r="H87" s="17">
        <f ca="1">IFERROR(__xludf.DUMMYFUNCTION("""COMPUTED_VALUE"""),0.00545138894307778)</f>
        <v>5.4513889430777797E-3</v>
      </c>
      <c r="I87" s="17">
        <f ca="1">IFERROR(__xludf.DUMMYFUNCTION("""COMPUTED_VALUE"""),0.00841435191849008)</f>
        <v>8.4143519184900796E-3</v>
      </c>
      <c r="J87" s="17">
        <f ca="1">IFERROR(__xludf.DUMMYFUNCTION("""COMPUTED_VALUE"""),0.00930555613690017)</f>
        <v>9.3055561369001696E-3</v>
      </c>
      <c r="K87" s="18">
        <f ca="1">IFERROR(__xludf.DUMMYFUNCTION("""COMPUTED_VALUE"""),0.00152777783783948)</f>
        <v>1.52777783783948E-3</v>
      </c>
      <c r="L87" s="19"/>
      <c r="M87" s="19"/>
      <c r="N87" s="19"/>
      <c r="O87" s="19"/>
      <c r="P87" s="19"/>
      <c r="Q87" s="19"/>
      <c r="R87" s="19"/>
      <c r="S87" s="19"/>
      <c r="T87" s="19"/>
      <c r="U87" s="19"/>
      <c r="V87" s="20"/>
      <c r="W87" s="20"/>
      <c r="X87" s="20"/>
      <c r="Y87" s="20"/>
      <c r="Z87" s="21"/>
      <c r="AA87" s="22"/>
      <c r="AB87" s="23"/>
    </row>
    <row r="88" spans="1:28" ht="13.5" customHeight="1" x14ac:dyDescent="0.35">
      <c r="A88" s="24">
        <f ca="1">IFERROR(__xludf.DUMMYFUNCTION("""COMPUTED_VALUE"""),87)</f>
        <v>87</v>
      </c>
      <c r="B88" s="25" t="str">
        <f ca="1">IFERROR(__xludf.DUMMYFUNCTION("""COMPUTED_VALUE"""),"16")</f>
        <v>16</v>
      </c>
      <c r="C88" s="26" t="str">
        <f ca="1">IFERROR(__xludf.DUMMYFUNCTION("""COMPUTED_VALUE"""),"FEUILLATRE")</f>
        <v>FEUILLATRE</v>
      </c>
      <c r="D88" s="27" t="str">
        <f ca="1">IFERROR(__xludf.DUMMYFUNCTION("""COMPUTED_VALUE"""),"PATRICE")</f>
        <v>PATRICE</v>
      </c>
      <c r="E88" s="15" t="str">
        <f ca="1">IFERROR(__xludf.DUMMYFUNCTION("""COMPUTED_VALUE"""),"MH6")</f>
        <v>MH6</v>
      </c>
      <c r="F88" s="28">
        <f ca="1">IFERROR(__xludf.DUMMYFUNCTION("""COMPUTED_VALUE"""),1)</f>
        <v>1</v>
      </c>
      <c r="G88" s="16">
        <f ca="1">IFERROR(__xludf.DUMMYFUNCTION("""COMPUTED_VALUE"""),0.0247453711966283)</f>
        <v>2.4745371196628299E-2</v>
      </c>
      <c r="H88" s="17">
        <f ca="1">IFERROR(__xludf.DUMMYFUNCTION("""COMPUTED_VALUE"""),0.00575231484628303)</f>
        <v>5.7523148462830303E-3</v>
      </c>
      <c r="I88" s="17">
        <f ca="1">IFERROR(__xludf.DUMMYFUNCTION("""COMPUTED_VALUE"""),0.00756944447636601)</f>
        <v>7.5694444763660098E-3</v>
      </c>
      <c r="J88" s="17">
        <f ca="1">IFERROR(__xludf.DUMMYFUNCTION("""COMPUTED_VALUE"""),0.00999999992249808)</f>
        <v>9.9999999224980804E-3</v>
      </c>
      <c r="K88" s="18">
        <f ca="1">IFERROR(__xludf.DUMMYFUNCTION("""COMPUTED_VALUE"""),0.00142361195148119)</f>
        <v>1.42361195148119E-3</v>
      </c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20"/>
      <c r="W88" s="20"/>
      <c r="X88" s="20"/>
      <c r="Y88" s="20"/>
      <c r="Z88" s="21"/>
      <c r="AA88" s="22"/>
      <c r="AB88" s="23"/>
    </row>
    <row r="89" spans="1:28" ht="13.5" customHeight="1" x14ac:dyDescent="0.35">
      <c r="A89" s="24">
        <f ca="1">IFERROR(__xludf.DUMMYFUNCTION("""COMPUTED_VALUE"""),88)</f>
        <v>88</v>
      </c>
      <c r="B89" s="25" t="str">
        <f ca="1">IFERROR(__xludf.DUMMYFUNCTION("""COMPUTED_VALUE"""),"78")</f>
        <v>78</v>
      </c>
      <c r="C89" s="26" t="str">
        <f ca="1">IFERROR(__xludf.DUMMYFUNCTION("""COMPUTED_VALUE"""),"NEVEU")</f>
        <v>NEVEU</v>
      </c>
      <c r="D89" s="27" t="str">
        <f ca="1">IFERROR(__xludf.DUMMYFUNCTION("""COMPUTED_VALUE"""),"PHILIPPE")</f>
        <v>PHILIPPE</v>
      </c>
      <c r="E89" s="15" t="str">
        <f ca="1">IFERROR(__xludf.DUMMYFUNCTION("""COMPUTED_VALUE"""),"SH4")</f>
        <v>SH4</v>
      </c>
      <c r="F89" s="28">
        <f ca="1">IFERROR(__xludf.DUMMYFUNCTION("""COMPUTED_VALUE"""),24)</f>
        <v>24</v>
      </c>
      <c r="G89" s="16">
        <f ca="1">IFERROR(__xludf.DUMMYFUNCTION("""COMPUTED_VALUE"""),0.0249305556910211)</f>
        <v>2.4930555691021102E-2</v>
      </c>
      <c r="H89" s="17">
        <f ca="1">IFERROR(__xludf.DUMMYFUNCTION("""COMPUTED_VALUE"""),0.00559027787545013)</f>
        <v>5.5902778754501302E-3</v>
      </c>
      <c r="I89" s="17">
        <f ca="1">IFERROR(__xludf.DUMMYFUNCTION("""COMPUTED_VALUE"""),0.00773148154668174)</f>
        <v>7.7314815466817399E-3</v>
      </c>
      <c r="J89" s="17">
        <f ca="1">IFERROR(__xludf.DUMMYFUNCTION("""COMPUTED_VALUE"""),0.00998842523936108)</f>
        <v>9.98842523936108E-3</v>
      </c>
      <c r="K89" s="18">
        <f ca="1">IFERROR(__xludf.DUMMYFUNCTION("""COMPUTED_VALUE"""),0.00162037102952817)</f>
        <v>1.6203710295281701E-3</v>
      </c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20"/>
      <c r="W89" s="20"/>
      <c r="X89" s="20"/>
      <c r="Y89" s="20"/>
      <c r="Z89" s="21"/>
      <c r="AA89" s="22"/>
      <c r="AB89" s="23"/>
    </row>
    <row r="90" spans="1:28" ht="13.5" customHeight="1" x14ac:dyDescent="0.35">
      <c r="A90" s="24">
        <f ca="1">IFERROR(__xludf.DUMMYFUNCTION("""COMPUTED_VALUE"""),89)</f>
        <v>89</v>
      </c>
      <c r="B90" s="25" t="str">
        <f ca="1">IFERROR(__xludf.DUMMYFUNCTION("""COMPUTED_VALUE"""),"145")</f>
        <v>145</v>
      </c>
      <c r="C90" s="26" t="str">
        <f ca="1">IFERROR(__xludf.DUMMYFUNCTION("""COMPUTED_VALUE"""),"BASUEMI")</f>
        <v>BASUEMI</v>
      </c>
      <c r="D90" s="27" t="str">
        <f ca="1">IFERROR(__xludf.DUMMYFUNCTION("""COMPUTED_VALUE"""),"GEOFFREY")</f>
        <v>GEOFFREY</v>
      </c>
      <c r="E90" s="15" t="str">
        <f ca="1">IFERROR(__xludf.DUMMYFUNCTION("""COMPUTED_VALUE"""),"SH4")</f>
        <v>SH4</v>
      </c>
      <c r="F90" s="28">
        <f ca="1">IFERROR(__xludf.DUMMYFUNCTION("""COMPUTED_VALUE"""),25)</f>
        <v>25</v>
      </c>
      <c r="G90" s="16">
        <f ca="1">IFERROR(__xludf.DUMMYFUNCTION("""COMPUTED_VALUE"""),0.0252777789008767)</f>
        <v>2.52777789008767E-2</v>
      </c>
      <c r="H90" s="17">
        <f ca="1">IFERROR(__xludf.DUMMYFUNCTION("""COMPUTED_VALUE"""),0.0050347222447961)</f>
        <v>5.0347222447961002E-3</v>
      </c>
      <c r="I90" s="17">
        <f ca="1">IFERROR(__xludf.DUMMYFUNCTION("""COMPUTED_VALUE"""),0.00756944455067122)</f>
        <v>7.5694445506712203E-3</v>
      </c>
      <c r="J90" s="17">
        <f ca="1">IFERROR(__xludf.DUMMYFUNCTION("""COMPUTED_VALUE"""),0.0115740744147)</f>
        <v>1.15740744147E-2</v>
      </c>
      <c r="K90" s="18">
        <f ca="1">IFERROR(__xludf.DUMMYFUNCTION("""COMPUTED_VALUE"""),0.00109953769070944)</f>
        <v>1.09953769070944E-3</v>
      </c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20"/>
      <c r="W90" s="20"/>
      <c r="X90" s="20"/>
      <c r="Y90" s="20"/>
      <c r="Z90" s="21"/>
      <c r="AA90" s="22"/>
      <c r="AB90" s="23"/>
    </row>
    <row r="91" spans="1:28" ht="13.5" customHeight="1" x14ac:dyDescent="0.35">
      <c r="A91" s="24">
        <f ca="1">IFERROR(__xludf.DUMMYFUNCTION("""COMPUTED_VALUE"""),90)</f>
        <v>90</v>
      </c>
      <c r="B91" s="25" t="str">
        <f ca="1">IFERROR(__xludf.DUMMYFUNCTION("""COMPUTED_VALUE"""),"128")</f>
        <v>128</v>
      </c>
      <c r="C91" s="26" t="str">
        <f ca="1">IFERROR(__xludf.DUMMYFUNCTION("""COMPUTED_VALUE"""),"HAZARD")</f>
        <v>HAZARD</v>
      </c>
      <c r="D91" s="27" t="str">
        <f ca="1">IFERROR(__xludf.DUMMYFUNCTION("""COMPUTED_VALUE"""),"SÉBASTIEN")</f>
        <v>SÉBASTIEN</v>
      </c>
      <c r="E91" s="15" t="str">
        <f ca="1">IFERROR(__xludf.DUMMYFUNCTION("""COMPUTED_VALUE"""),"MH3")</f>
        <v>MH3</v>
      </c>
      <c r="F91" s="28">
        <f ca="1">IFERROR(__xludf.DUMMYFUNCTION("""COMPUTED_VALUE"""),9)</f>
        <v>9</v>
      </c>
      <c r="G91" s="16">
        <f ca="1">IFERROR(__xludf.DUMMYFUNCTION("""COMPUTED_VALUE"""),0.0253125009955614)</f>
        <v>2.5312500995561399E-2</v>
      </c>
      <c r="H91" s="17">
        <f ca="1">IFERROR(__xludf.DUMMYFUNCTION("""COMPUTED_VALUE"""),0.00488425935031947)</f>
        <v>4.8842593503194698E-3</v>
      </c>
      <c r="I91" s="17">
        <f ca="1">IFERROR(__xludf.DUMMYFUNCTION("""COMPUTED_VALUE"""),0.00836805556777346)</f>
        <v>8.3680555677734594E-3</v>
      </c>
      <c r="J91" s="17">
        <f ca="1">IFERROR(__xludf.DUMMYFUNCTION("""COMPUTED_VALUE"""),0.010162037940255)</f>
        <v>1.0162037940254999E-2</v>
      </c>
      <c r="K91" s="18">
        <f ca="1">IFERROR(__xludf.DUMMYFUNCTION("""COMPUTED_VALUE"""),0.00189814813721347)</f>
        <v>1.8981481372134701E-3</v>
      </c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20"/>
      <c r="W91" s="20"/>
      <c r="X91" s="20"/>
      <c r="Y91" s="20"/>
      <c r="Z91" s="21"/>
      <c r="AA91" s="22"/>
      <c r="AB91" s="23"/>
    </row>
    <row r="92" spans="1:28" ht="13.5" customHeight="1" x14ac:dyDescent="0.35">
      <c r="A92" s="24">
        <f ca="1">IFERROR(__xludf.DUMMYFUNCTION("""COMPUTED_VALUE"""),91)</f>
        <v>91</v>
      </c>
      <c r="B92" s="25" t="str">
        <f ca="1">IFERROR(__xludf.DUMMYFUNCTION("""COMPUTED_VALUE"""),"63")</f>
        <v>63</v>
      </c>
      <c r="C92" s="26" t="str">
        <f ca="1">IFERROR(__xludf.DUMMYFUNCTION("""COMPUTED_VALUE"""),"HAURET")</f>
        <v>HAURET</v>
      </c>
      <c r="D92" s="27" t="str">
        <f ca="1">IFERROR(__xludf.DUMMYFUNCTION("""COMPUTED_VALUE"""),"ETIENNE")</f>
        <v>ETIENNE</v>
      </c>
      <c r="E92" s="15" t="str">
        <f ca="1">IFERROR(__xludf.DUMMYFUNCTION("""COMPUTED_VALUE"""),"SH4")</f>
        <v>SH4</v>
      </c>
      <c r="F92" s="28">
        <f ca="1">IFERROR(__xludf.DUMMYFUNCTION("""COMPUTED_VALUE"""),26)</f>
        <v>26</v>
      </c>
      <c r="G92" s="16">
        <f ca="1">IFERROR(__xludf.DUMMYFUNCTION("""COMPUTED_VALUE"""),0.0261921297585778)</f>
        <v>2.6192129758577799E-2</v>
      </c>
      <c r="H92" s="17">
        <f ca="1">IFERROR(__xludf.DUMMYFUNCTION("""COMPUTED_VALUE"""),0.00415509259829285)</f>
        <v>4.1550925982928501E-3</v>
      </c>
      <c r="I92" s="17">
        <f ca="1">IFERROR(__xludf.DUMMYFUNCTION("""COMPUTED_VALUE"""),0.00920138892875551)</f>
        <v>9.2013889287555096E-3</v>
      </c>
      <c r="J92" s="17">
        <f ca="1">IFERROR(__xludf.DUMMYFUNCTION("""COMPUTED_VALUE"""),0.0111689807545914)</f>
        <v>1.11689807545914E-2</v>
      </c>
      <c r="K92" s="18">
        <f ca="1">IFERROR(__xludf.DUMMYFUNCTION("""COMPUTED_VALUE"""),0.00166666747693808)</f>
        <v>1.6666674769380801E-3</v>
      </c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20"/>
      <c r="W92" s="20"/>
      <c r="X92" s="20"/>
      <c r="Y92" s="20"/>
      <c r="Z92" s="21"/>
      <c r="AA92" s="22"/>
      <c r="AB92" s="23"/>
    </row>
    <row r="93" spans="1:28" ht="13.5" customHeight="1" x14ac:dyDescent="0.35">
      <c r="A93" s="24">
        <f ca="1">IFERROR(__xludf.DUMMYFUNCTION("""COMPUTED_VALUE"""),92)</f>
        <v>92</v>
      </c>
      <c r="B93" s="25" t="str">
        <f ca="1">IFERROR(__xludf.DUMMYFUNCTION("""COMPUTED_VALUE"""),"132")</f>
        <v>132</v>
      </c>
      <c r="C93" s="26" t="str">
        <f ca="1">IFERROR(__xludf.DUMMYFUNCTION("""COMPUTED_VALUE"""),"MORELLI")</f>
        <v>MORELLI</v>
      </c>
      <c r="D93" s="27" t="str">
        <f ca="1">IFERROR(__xludf.DUMMYFUNCTION("""COMPUTED_VALUE"""),"THIERRY")</f>
        <v>THIERRY</v>
      </c>
      <c r="E93" s="15" t="str">
        <f ca="1">IFERROR(__xludf.DUMMYFUNCTION("""COMPUTED_VALUE"""),"MH6")</f>
        <v>MH6</v>
      </c>
      <c r="F93" s="28">
        <f ca="1">IFERROR(__xludf.DUMMYFUNCTION("""COMPUTED_VALUE"""),2)</f>
        <v>2</v>
      </c>
      <c r="G93" s="16">
        <f ca="1">IFERROR(__xludf.DUMMYFUNCTION("""COMPUTED_VALUE"""),0.0270254633605403)</f>
        <v>2.7025463360540299E-2</v>
      </c>
      <c r="H93" s="17">
        <f ca="1">IFERROR(__xludf.DUMMYFUNCTION("""COMPUTED_VALUE"""),0.00651620379154491)</f>
        <v>6.5162037915449103E-3</v>
      </c>
      <c r="I93" s="17">
        <f ca="1">IFERROR(__xludf.DUMMYFUNCTION("""COMPUTED_VALUE"""),0.00768518524305408)</f>
        <v>7.6851852430540801E-3</v>
      </c>
      <c r="J93" s="17">
        <f ca="1">IFERROR(__xludf.DUMMYFUNCTION("""COMPUTED_VALUE"""),0.0109953703784834)</f>
        <v>1.09953703784834E-2</v>
      </c>
      <c r="K93" s="18">
        <f ca="1">IFERROR(__xludf.DUMMYFUNCTION("""COMPUTED_VALUE"""),0.00182870394745793)</f>
        <v>1.8287039474579299E-3</v>
      </c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20"/>
      <c r="W93" s="20"/>
      <c r="X93" s="20"/>
      <c r="Y93" s="20"/>
      <c r="Z93" s="21"/>
      <c r="AA93" s="22"/>
      <c r="AB93" s="23"/>
    </row>
    <row r="94" spans="1:28" ht="13.5" customHeight="1" x14ac:dyDescent="0.35">
      <c r="A94" s="24">
        <f ca="1">IFERROR(__xludf.DUMMYFUNCTION("""COMPUTED_VALUE"""),93)</f>
        <v>93</v>
      </c>
      <c r="B94" s="25" t="str">
        <f ca="1">IFERROR(__xludf.DUMMYFUNCTION("""COMPUTED_VALUE"""),"59")</f>
        <v>59</v>
      </c>
      <c r="C94" s="26" t="str">
        <f ca="1">IFERROR(__xludf.DUMMYFUNCTION("""COMPUTED_VALUE"""),"PAQUEREAU")</f>
        <v>PAQUEREAU</v>
      </c>
      <c r="D94" s="27" t="str">
        <f ca="1">IFERROR(__xludf.DUMMYFUNCTION("""COMPUTED_VALUE"""),"SIMON")</f>
        <v>SIMON</v>
      </c>
      <c r="E94" s="15" t="str">
        <f ca="1">IFERROR(__xludf.DUMMYFUNCTION("""COMPUTED_VALUE"""),"MH5")</f>
        <v>MH5</v>
      </c>
      <c r="F94" s="28">
        <f ca="1">IFERROR(__xludf.DUMMYFUNCTION("""COMPUTED_VALUE"""),2)</f>
        <v>2</v>
      </c>
      <c r="G94" s="16">
        <f ca="1">IFERROR(__xludf.DUMMYFUNCTION("""COMPUTED_VALUE"""),0.0272569449887241)</f>
        <v>2.7256944988724101E-2</v>
      </c>
      <c r="H94" s="17">
        <f ca="1">IFERROR(__xludf.DUMMYFUNCTION("""COMPUTED_VALUE"""),0.00515046300901436)</f>
        <v>5.1504630090143597E-3</v>
      </c>
      <c r="I94" s="17">
        <f ca="1">IFERROR(__xludf.DUMMYFUNCTION("""COMPUTED_VALUE"""),0.00855324082243486)</f>
        <v>8.5532408224348599E-3</v>
      </c>
      <c r="J94" s="17">
        <f ca="1">IFERROR(__xludf.DUMMYFUNCTION("""COMPUTED_VALUE"""),0.012071759524196)</f>
        <v>1.2071759524196E-2</v>
      </c>
      <c r="K94" s="18">
        <f ca="1">IFERROR(__xludf.DUMMYFUNCTION("""COMPUTED_VALUE"""),0.00148148163307885)</f>
        <v>1.48148163307885E-3</v>
      </c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20"/>
      <c r="W94" s="20"/>
      <c r="X94" s="20"/>
      <c r="Y94" s="20"/>
      <c r="Z94" s="21"/>
      <c r="AA94" s="22"/>
      <c r="AB94" s="23"/>
    </row>
    <row r="95" spans="1:28" ht="13.5" customHeight="1" x14ac:dyDescent="0.35">
      <c r="A95" s="24">
        <f ca="1">IFERROR(__xludf.DUMMYFUNCTION("""COMPUTED_VALUE"""),94)</f>
        <v>94</v>
      </c>
      <c r="B95" s="25" t="str">
        <f ca="1">IFERROR(__xludf.DUMMYFUNCTION("""COMPUTED_VALUE"""),"19")</f>
        <v>19</v>
      </c>
      <c r="C95" s="26" t="str">
        <f ca="1">IFERROR(__xludf.DUMMYFUNCTION("""COMPUTED_VALUE"""),"KIRSCH")</f>
        <v>KIRSCH</v>
      </c>
      <c r="D95" s="27" t="str">
        <f ca="1">IFERROR(__xludf.DUMMYFUNCTION("""COMPUTED_VALUE"""),"STÉPHANE")</f>
        <v>STÉPHANE</v>
      </c>
      <c r="E95" s="15" t="str">
        <f ca="1">IFERROR(__xludf.DUMMYFUNCTION("""COMPUTED_VALUE"""),"MH3")</f>
        <v>MH3</v>
      </c>
      <c r="F95" s="28">
        <f ca="1">IFERROR(__xludf.DUMMYFUNCTION("""COMPUTED_VALUE"""),10)</f>
        <v>10</v>
      </c>
      <c r="G95" s="16">
        <f ca="1">IFERROR(__xludf.DUMMYFUNCTION("""COMPUTED_VALUE"""),0.0274652788324216)</f>
        <v>2.74652788324216E-2</v>
      </c>
      <c r="H95" s="17">
        <f ca="1">IFERROR(__xludf.DUMMYFUNCTION("""COMPUTED_VALUE"""),0.00578703710100415)</f>
        <v>5.7870371010041496E-3</v>
      </c>
      <c r="I95" s="17">
        <f ca="1">IFERROR(__xludf.DUMMYFUNCTION("""COMPUTED_VALUE"""),0.00790509267096695)</f>
        <v>7.9050926709669494E-3</v>
      </c>
      <c r="J95" s="17">
        <f ca="1">IFERROR(__xludf.DUMMYFUNCTION("""COMPUTED_VALUE"""),0.0114699081312757)</f>
        <v>1.14699081312757E-2</v>
      </c>
      <c r="K95" s="18">
        <f ca="1">IFERROR(__xludf.DUMMYFUNCTION("""COMPUTED_VALUE"""),0.0023032409291747)</f>
        <v>2.3032409291747001E-3</v>
      </c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20"/>
      <c r="W95" s="20"/>
      <c r="X95" s="20"/>
      <c r="Y95" s="20"/>
      <c r="Z95" s="21"/>
      <c r="AA95" s="22"/>
      <c r="AB95" s="23"/>
    </row>
    <row r="96" spans="1:28" ht="13.5" customHeight="1" x14ac:dyDescent="0.35">
      <c r="A96" s="24">
        <f ca="1">IFERROR(__xludf.DUMMYFUNCTION("""COMPUTED_VALUE"""),95)</f>
        <v>95</v>
      </c>
      <c r="B96" s="25" t="str">
        <f ca="1">IFERROR(__xludf.DUMMYFUNCTION("""COMPUTED_VALUE"""),"126")</f>
        <v>126</v>
      </c>
      <c r="C96" s="26" t="str">
        <f ca="1">IFERROR(__xludf.DUMMYFUNCTION("""COMPUTED_VALUE"""),"MONTEIRO CHIAPINOTTO")</f>
        <v>MONTEIRO CHIAPINOTTO</v>
      </c>
      <c r="D96" s="27" t="str">
        <f ca="1">IFERROR(__xludf.DUMMYFUNCTION("""COMPUTED_VALUE"""),"ARTHUR")</f>
        <v>ARTHUR</v>
      </c>
      <c r="E96" s="15" t="str">
        <f ca="1">IFERROR(__xludf.DUMMYFUNCTION("""COMPUTED_VALUE"""),"SH4")</f>
        <v>SH4</v>
      </c>
      <c r="F96" s="28">
        <f ca="1">IFERROR(__xludf.DUMMYFUNCTION("""COMPUTED_VALUE"""),27)</f>
        <v>27</v>
      </c>
      <c r="G96" s="16">
        <f ca="1">IFERROR(__xludf.DUMMYFUNCTION("""COMPUTED_VALUE"""),0.0281018524285982)</f>
        <v>2.8101852428598199E-2</v>
      </c>
      <c r="H96" s="17">
        <f ca="1">IFERROR(__xludf.DUMMYFUNCTION("""COMPUTED_VALUE"""),0.00694444450985031)</f>
        <v>6.9444445098503097E-3</v>
      </c>
      <c r="I96" s="17">
        <f ca="1">IFERROR(__xludf.DUMMYFUNCTION("""COMPUTED_VALUE"""),0.00780092597692036)</f>
        <v>7.8009259769203599E-3</v>
      </c>
      <c r="J96" s="17">
        <f ca="1">IFERROR(__xludf.DUMMYFUNCTION("""COMPUTED_VALUE"""),0.0112384262893931)</f>
        <v>1.1238426289393101E-2</v>
      </c>
      <c r="K96" s="18">
        <f ca="1">IFERROR(__xludf.DUMMYFUNCTION("""COMPUTED_VALUE"""),0.00211805565243438)</f>
        <v>2.1180556524343802E-3</v>
      </c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20"/>
      <c r="W96" s="20"/>
      <c r="X96" s="20"/>
      <c r="Y96" s="20"/>
      <c r="Z96" s="21"/>
      <c r="AA96" s="22"/>
      <c r="AB96" s="23"/>
    </row>
    <row r="97" spans="1:28" ht="13.5" customHeight="1" x14ac:dyDescent="0.35">
      <c r="A97" s="24">
        <f ca="1">IFERROR(__xludf.DUMMYFUNCTION("""COMPUTED_VALUE"""),96)</f>
        <v>96</v>
      </c>
      <c r="B97" s="25" t="str">
        <f ca="1">IFERROR(__xludf.DUMMYFUNCTION("""COMPUTED_VALUE"""),"54")</f>
        <v>54</v>
      </c>
      <c r="C97" s="26" t="str">
        <f ca="1">IFERROR(__xludf.DUMMYFUNCTION("""COMPUTED_VALUE"""),"URSULET")</f>
        <v>URSULET</v>
      </c>
      <c r="D97" s="27" t="str">
        <f ca="1">IFERROR(__xludf.DUMMYFUNCTION("""COMPUTED_VALUE"""),"BRUNO")</f>
        <v>BRUNO</v>
      </c>
      <c r="E97" s="15" t="str">
        <f ca="1">IFERROR(__xludf.DUMMYFUNCTION("""COMPUTED_VALUE"""),"MH5")</f>
        <v>MH5</v>
      </c>
      <c r="F97" s="28">
        <f ca="1">IFERROR(__xludf.DUMMYFUNCTION("""COMPUTED_VALUE"""),3)</f>
        <v>3</v>
      </c>
      <c r="G97" s="16">
        <f ca="1">IFERROR(__xludf.DUMMYFUNCTION("""COMPUTED_VALUE"""),0.0437037039874481)</f>
        <v>4.3703703987448099E-2</v>
      </c>
      <c r="H97" s="17">
        <f ca="1">IFERROR(__xludf.DUMMYFUNCTION("""COMPUTED_VALUE"""),0.0063888889546004)</f>
        <v>6.3888889546004001E-3</v>
      </c>
      <c r="I97" s="17">
        <f ca="1">IFERROR(__xludf.DUMMYFUNCTION("""COMPUTED_VALUE"""),0.0110995370517394)</f>
        <v>1.1099537051739401E-2</v>
      </c>
      <c r="J97" s="17">
        <f ca="1">IFERROR(__xludf.DUMMYFUNCTION("""COMPUTED_VALUE"""),0.0191666668335967)</f>
        <v>1.9166666833596701E-2</v>
      </c>
      <c r="K97" s="18">
        <f ca="1">IFERROR(__xludf.DUMMYFUNCTION("""COMPUTED_VALUE"""),0.0070486111475115)</f>
        <v>7.0486111475115002E-3</v>
      </c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20"/>
      <c r="W97" s="20"/>
      <c r="X97" s="20"/>
      <c r="Y97" s="20"/>
      <c r="Z97" s="21"/>
      <c r="AA97" s="22"/>
      <c r="AB97" s="23"/>
    </row>
    <row r="98" spans="1:28" ht="13.5" customHeight="1" x14ac:dyDescent="0.35">
      <c r="A98" s="24" t="str">
        <f ca="1">IFERROR(__xludf.DUMMYFUNCTION("""COMPUTED_VALUE"""),"")</f>
        <v/>
      </c>
      <c r="B98" s="28" t="str">
        <f ca="1">IFERROR(__xludf.DUMMYFUNCTION("""COMPUTED_VALUE"""),"")</f>
        <v/>
      </c>
      <c r="C98" s="27" t="str">
        <f ca="1">IFERROR(__xludf.DUMMYFUNCTION("""COMPUTED_VALUE"""),"")</f>
        <v/>
      </c>
      <c r="D98" s="27" t="str">
        <f ca="1">IFERROR(__xludf.DUMMYFUNCTION("""COMPUTED_VALUE"""),"")</f>
        <v/>
      </c>
      <c r="E98" s="15" t="str">
        <f ca="1">IFERROR(__xludf.DUMMYFUNCTION("""COMPUTED_VALUE"""),"")</f>
        <v/>
      </c>
      <c r="F98" s="28" t="str">
        <f ca="1">IFERROR(__xludf.DUMMYFUNCTION("""COMPUTED_VALUE"""),"")</f>
        <v/>
      </c>
      <c r="G98" s="16" t="str">
        <f ca="1">IFERROR(__xludf.DUMMYFUNCTION("""COMPUTED_VALUE"""),"")</f>
        <v/>
      </c>
      <c r="H98" s="17" t="str">
        <f ca="1">IFERROR(__xludf.DUMMYFUNCTION("""COMPUTED_VALUE"""),"")</f>
        <v/>
      </c>
      <c r="I98" s="17" t="str">
        <f ca="1">IFERROR(__xludf.DUMMYFUNCTION("""COMPUTED_VALUE"""),"")</f>
        <v/>
      </c>
      <c r="J98" s="17" t="str">
        <f ca="1">IFERROR(__xludf.DUMMYFUNCTION("""COMPUTED_VALUE"""),"")</f>
        <v/>
      </c>
      <c r="K98" s="18" t="str">
        <f ca="1">IFERROR(__xludf.DUMMYFUNCTION("""COMPUTED_VALUE"""),"")</f>
        <v/>
      </c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20"/>
      <c r="W98" s="20"/>
      <c r="X98" s="20"/>
      <c r="Y98" s="20"/>
      <c r="Z98" s="21"/>
      <c r="AA98" s="22"/>
      <c r="AB98" s="23"/>
    </row>
    <row r="99" spans="1:28" ht="13.5" customHeight="1" x14ac:dyDescent="0.35">
      <c r="A99" s="24" t="str">
        <f ca="1">IFERROR(__xludf.DUMMYFUNCTION("""COMPUTED_VALUE"""),"")</f>
        <v/>
      </c>
      <c r="B99" s="28" t="str">
        <f ca="1">IFERROR(__xludf.DUMMYFUNCTION("""COMPUTED_VALUE"""),"")</f>
        <v/>
      </c>
      <c r="C99" s="27" t="str">
        <f ca="1">IFERROR(__xludf.DUMMYFUNCTION("""COMPUTED_VALUE"""),"")</f>
        <v/>
      </c>
      <c r="D99" s="27" t="str">
        <f ca="1">IFERROR(__xludf.DUMMYFUNCTION("""COMPUTED_VALUE"""),"")</f>
        <v/>
      </c>
      <c r="E99" s="15" t="str">
        <f ca="1">IFERROR(__xludf.DUMMYFUNCTION("""COMPUTED_VALUE"""),"")</f>
        <v/>
      </c>
      <c r="F99" s="28" t="str">
        <f ca="1">IFERROR(__xludf.DUMMYFUNCTION("""COMPUTED_VALUE"""),"")</f>
        <v/>
      </c>
      <c r="G99" s="16" t="str">
        <f ca="1">IFERROR(__xludf.DUMMYFUNCTION("""COMPUTED_VALUE"""),"")</f>
        <v/>
      </c>
      <c r="H99" s="17" t="str">
        <f ca="1">IFERROR(__xludf.DUMMYFUNCTION("""COMPUTED_VALUE"""),"")</f>
        <v/>
      </c>
      <c r="I99" s="17" t="str">
        <f ca="1">IFERROR(__xludf.DUMMYFUNCTION("""COMPUTED_VALUE"""),"")</f>
        <v/>
      </c>
      <c r="J99" s="17" t="str">
        <f ca="1">IFERROR(__xludf.DUMMYFUNCTION("""COMPUTED_VALUE"""),"")</f>
        <v/>
      </c>
      <c r="K99" s="18" t="str">
        <f ca="1">IFERROR(__xludf.DUMMYFUNCTION("""COMPUTED_VALUE"""),"")</f>
        <v/>
      </c>
      <c r="L99" s="19"/>
      <c r="M99" s="19"/>
      <c r="N99" s="19"/>
      <c r="O99" s="19"/>
      <c r="P99" s="19"/>
      <c r="Q99" s="19"/>
      <c r="R99" s="19"/>
      <c r="S99" s="19"/>
      <c r="T99" s="19"/>
      <c r="U99" s="19"/>
      <c r="V99" s="20"/>
      <c r="W99" s="20"/>
      <c r="X99" s="20"/>
      <c r="Y99" s="20"/>
      <c r="Z99" s="21"/>
      <c r="AA99" s="22"/>
      <c r="AB99" s="23"/>
    </row>
    <row r="100" spans="1:28" ht="13.5" customHeight="1" x14ac:dyDescent="0.35">
      <c r="A100" s="24" t="str">
        <f ca="1">IFERROR(__xludf.DUMMYFUNCTION("""COMPUTED_VALUE"""),"")</f>
        <v/>
      </c>
      <c r="B100" s="28" t="str">
        <f ca="1">IFERROR(__xludf.DUMMYFUNCTION("""COMPUTED_VALUE"""),"")</f>
        <v/>
      </c>
      <c r="C100" s="27" t="str">
        <f ca="1">IFERROR(__xludf.DUMMYFUNCTION("""COMPUTED_VALUE"""),"")</f>
        <v/>
      </c>
      <c r="D100" s="27" t="str">
        <f ca="1">IFERROR(__xludf.DUMMYFUNCTION("""COMPUTED_VALUE"""),"")</f>
        <v/>
      </c>
      <c r="E100" s="15" t="str">
        <f ca="1">IFERROR(__xludf.DUMMYFUNCTION("""COMPUTED_VALUE"""),"")</f>
        <v/>
      </c>
      <c r="F100" s="28" t="str">
        <f ca="1">IFERROR(__xludf.DUMMYFUNCTION("""COMPUTED_VALUE"""),"")</f>
        <v/>
      </c>
      <c r="G100" s="16" t="str">
        <f ca="1">IFERROR(__xludf.DUMMYFUNCTION("""COMPUTED_VALUE"""),"")</f>
        <v/>
      </c>
      <c r="H100" s="17" t="str">
        <f ca="1">IFERROR(__xludf.DUMMYFUNCTION("""COMPUTED_VALUE"""),"")</f>
        <v/>
      </c>
      <c r="I100" s="17" t="str">
        <f ca="1">IFERROR(__xludf.DUMMYFUNCTION("""COMPUTED_VALUE"""),"")</f>
        <v/>
      </c>
      <c r="J100" s="17" t="str">
        <f ca="1">IFERROR(__xludf.DUMMYFUNCTION("""COMPUTED_VALUE"""),"")</f>
        <v/>
      </c>
      <c r="K100" s="18" t="str">
        <f ca="1">IFERROR(__xludf.DUMMYFUNCTION("""COMPUTED_VALUE"""),"")</f>
        <v/>
      </c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20"/>
      <c r="W100" s="20"/>
      <c r="X100" s="20"/>
      <c r="Y100" s="20"/>
      <c r="Z100" s="21"/>
      <c r="AA100" s="22"/>
      <c r="AB100" s="23"/>
    </row>
    <row r="101" spans="1:28" ht="13.5" customHeight="1" x14ac:dyDescent="0.35">
      <c r="A101" s="24" t="str">
        <f ca="1">IFERROR(__xludf.DUMMYFUNCTION("""COMPUTED_VALUE"""),"")</f>
        <v/>
      </c>
      <c r="B101" s="28" t="str">
        <f ca="1">IFERROR(__xludf.DUMMYFUNCTION("""COMPUTED_VALUE"""),"")</f>
        <v/>
      </c>
      <c r="C101" s="27" t="str">
        <f ca="1">IFERROR(__xludf.DUMMYFUNCTION("""COMPUTED_VALUE"""),"")</f>
        <v/>
      </c>
      <c r="D101" s="27" t="str">
        <f ca="1">IFERROR(__xludf.DUMMYFUNCTION("""COMPUTED_VALUE"""),"")</f>
        <v/>
      </c>
      <c r="E101" s="15" t="str">
        <f ca="1">IFERROR(__xludf.DUMMYFUNCTION("""COMPUTED_VALUE"""),"")</f>
        <v/>
      </c>
      <c r="F101" s="28" t="str">
        <f ca="1">IFERROR(__xludf.DUMMYFUNCTION("""COMPUTED_VALUE"""),"")</f>
        <v/>
      </c>
      <c r="G101" s="16" t="str">
        <f ca="1">IFERROR(__xludf.DUMMYFUNCTION("""COMPUTED_VALUE"""),"")</f>
        <v/>
      </c>
      <c r="H101" s="17" t="str">
        <f ca="1">IFERROR(__xludf.DUMMYFUNCTION("""COMPUTED_VALUE"""),"")</f>
        <v/>
      </c>
      <c r="I101" s="17" t="str">
        <f ca="1">IFERROR(__xludf.DUMMYFUNCTION("""COMPUTED_VALUE"""),"")</f>
        <v/>
      </c>
      <c r="J101" s="17" t="str">
        <f ca="1">IFERROR(__xludf.DUMMYFUNCTION("""COMPUTED_VALUE"""),"")</f>
        <v/>
      </c>
      <c r="K101" s="18" t="str">
        <f ca="1">IFERROR(__xludf.DUMMYFUNCTION("""COMPUTED_VALUE"""),"")</f>
        <v/>
      </c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20"/>
      <c r="W101" s="20"/>
      <c r="X101" s="20"/>
      <c r="Y101" s="20"/>
      <c r="Z101" s="21"/>
      <c r="AA101" s="22"/>
      <c r="AB101" s="23"/>
    </row>
    <row r="102" spans="1:28" ht="13.5" customHeight="1" x14ac:dyDescent="0.35">
      <c r="A102" s="24" t="str">
        <f ca="1">IFERROR(__xludf.DUMMYFUNCTION("""COMPUTED_VALUE"""),"")</f>
        <v/>
      </c>
      <c r="B102" s="28" t="str">
        <f ca="1">IFERROR(__xludf.DUMMYFUNCTION("""COMPUTED_VALUE"""),"")</f>
        <v/>
      </c>
      <c r="C102" s="27" t="str">
        <f ca="1">IFERROR(__xludf.DUMMYFUNCTION("""COMPUTED_VALUE"""),"")</f>
        <v/>
      </c>
      <c r="D102" s="27" t="str">
        <f ca="1">IFERROR(__xludf.DUMMYFUNCTION("""COMPUTED_VALUE"""),"")</f>
        <v/>
      </c>
      <c r="E102" s="15" t="str">
        <f ca="1">IFERROR(__xludf.DUMMYFUNCTION("""COMPUTED_VALUE"""),"")</f>
        <v/>
      </c>
      <c r="F102" s="28" t="str">
        <f ca="1">IFERROR(__xludf.DUMMYFUNCTION("""COMPUTED_VALUE"""),"")</f>
        <v/>
      </c>
      <c r="G102" s="16" t="str">
        <f ca="1">IFERROR(__xludf.DUMMYFUNCTION("""COMPUTED_VALUE"""),"")</f>
        <v/>
      </c>
      <c r="H102" s="17" t="str">
        <f ca="1">IFERROR(__xludf.DUMMYFUNCTION("""COMPUTED_VALUE"""),"")</f>
        <v/>
      </c>
      <c r="I102" s="17" t="str">
        <f ca="1">IFERROR(__xludf.DUMMYFUNCTION("""COMPUTED_VALUE"""),"")</f>
        <v/>
      </c>
      <c r="J102" s="17" t="str">
        <f ca="1">IFERROR(__xludf.DUMMYFUNCTION("""COMPUTED_VALUE"""),"")</f>
        <v/>
      </c>
      <c r="K102" s="18" t="str">
        <f ca="1">IFERROR(__xludf.DUMMYFUNCTION("""COMPUTED_VALUE"""),"")</f>
        <v/>
      </c>
      <c r="L102" s="19"/>
      <c r="M102" s="19"/>
      <c r="N102" s="19"/>
      <c r="O102" s="19"/>
      <c r="P102" s="19"/>
      <c r="Q102" s="19"/>
      <c r="R102" s="19"/>
      <c r="S102" s="19"/>
      <c r="T102" s="19"/>
      <c r="U102" s="19"/>
      <c r="V102" s="20"/>
      <c r="W102" s="20"/>
      <c r="X102" s="20"/>
      <c r="Y102" s="20"/>
      <c r="Z102" s="21"/>
      <c r="AA102" s="22"/>
      <c r="AB102" s="23"/>
    </row>
    <row r="103" spans="1:28" ht="13.5" customHeight="1" x14ac:dyDescent="0.35">
      <c r="A103" s="24" t="str">
        <f ca="1">IFERROR(__xludf.DUMMYFUNCTION("""COMPUTED_VALUE"""),"")</f>
        <v/>
      </c>
      <c r="B103" s="28" t="str">
        <f ca="1">IFERROR(__xludf.DUMMYFUNCTION("""COMPUTED_VALUE"""),"")</f>
        <v/>
      </c>
      <c r="C103" s="27" t="str">
        <f ca="1">IFERROR(__xludf.DUMMYFUNCTION("""COMPUTED_VALUE"""),"")</f>
        <v/>
      </c>
      <c r="D103" s="27" t="str">
        <f ca="1">IFERROR(__xludf.DUMMYFUNCTION("""COMPUTED_VALUE"""),"")</f>
        <v/>
      </c>
      <c r="E103" s="15" t="str">
        <f ca="1">IFERROR(__xludf.DUMMYFUNCTION("""COMPUTED_VALUE"""),"")</f>
        <v/>
      </c>
      <c r="F103" s="28" t="str">
        <f ca="1">IFERROR(__xludf.DUMMYFUNCTION("""COMPUTED_VALUE"""),"")</f>
        <v/>
      </c>
      <c r="G103" s="16" t="str">
        <f ca="1">IFERROR(__xludf.DUMMYFUNCTION("""COMPUTED_VALUE"""),"")</f>
        <v/>
      </c>
      <c r="H103" s="17" t="str">
        <f ca="1">IFERROR(__xludf.DUMMYFUNCTION("""COMPUTED_VALUE"""),"")</f>
        <v/>
      </c>
      <c r="I103" s="17" t="str">
        <f ca="1">IFERROR(__xludf.DUMMYFUNCTION("""COMPUTED_VALUE"""),"")</f>
        <v/>
      </c>
      <c r="J103" s="17" t="str">
        <f ca="1">IFERROR(__xludf.DUMMYFUNCTION("""COMPUTED_VALUE"""),"")</f>
        <v/>
      </c>
      <c r="K103" s="18" t="str">
        <f ca="1">IFERROR(__xludf.DUMMYFUNCTION("""COMPUTED_VALUE"""),"")</f>
        <v/>
      </c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20"/>
      <c r="W103" s="20"/>
      <c r="X103" s="20"/>
      <c r="Y103" s="20"/>
      <c r="Z103" s="21"/>
      <c r="AA103" s="22"/>
      <c r="AB103" s="23"/>
    </row>
    <row r="104" spans="1:28" ht="13.5" customHeight="1" x14ac:dyDescent="0.35">
      <c r="A104" s="24" t="str">
        <f ca="1">IFERROR(__xludf.DUMMYFUNCTION("""COMPUTED_VALUE"""),"")</f>
        <v/>
      </c>
      <c r="B104" s="28" t="str">
        <f ca="1">IFERROR(__xludf.DUMMYFUNCTION("""COMPUTED_VALUE"""),"")</f>
        <v/>
      </c>
      <c r="C104" s="27" t="str">
        <f ca="1">IFERROR(__xludf.DUMMYFUNCTION("""COMPUTED_VALUE"""),"")</f>
        <v/>
      </c>
      <c r="D104" s="27" t="str">
        <f ca="1">IFERROR(__xludf.DUMMYFUNCTION("""COMPUTED_VALUE"""),"")</f>
        <v/>
      </c>
      <c r="E104" s="15" t="str">
        <f ca="1">IFERROR(__xludf.DUMMYFUNCTION("""COMPUTED_VALUE"""),"")</f>
        <v/>
      </c>
      <c r="F104" s="28" t="str">
        <f ca="1">IFERROR(__xludf.DUMMYFUNCTION("""COMPUTED_VALUE"""),"")</f>
        <v/>
      </c>
      <c r="G104" s="16" t="str">
        <f ca="1">IFERROR(__xludf.DUMMYFUNCTION("""COMPUTED_VALUE"""),"")</f>
        <v/>
      </c>
      <c r="H104" s="17" t="str">
        <f ca="1">IFERROR(__xludf.DUMMYFUNCTION("""COMPUTED_VALUE"""),"")</f>
        <v/>
      </c>
      <c r="I104" s="17" t="str">
        <f ca="1">IFERROR(__xludf.DUMMYFUNCTION("""COMPUTED_VALUE"""),"")</f>
        <v/>
      </c>
      <c r="J104" s="17" t="str">
        <f ca="1">IFERROR(__xludf.DUMMYFUNCTION("""COMPUTED_VALUE"""),"")</f>
        <v/>
      </c>
      <c r="K104" s="18" t="str">
        <f ca="1">IFERROR(__xludf.DUMMYFUNCTION("""COMPUTED_VALUE"""),"")</f>
        <v/>
      </c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20"/>
      <c r="W104" s="20"/>
      <c r="X104" s="20"/>
      <c r="Y104" s="20"/>
      <c r="Z104" s="21"/>
      <c r="AA104" s="22"/>
      <c r="AB104" s="23"/>
    </row>
    <row r="105" spans="1:28" ht="13.5" customHeight="1" x14ac:dyDescent="0.35">
      <c r="A105" s="24" t="str">
        <f ca="1">IFERROR(__xludf.DUMMYFUNCTION("""COMPUTED_VALUE"""),"")</f>
        <v/>
      </c>
      <c r="B105" s="28" t="str">
        <f ca="1">IFERROR(__xludf.DUMMYFUNCTION("""COMPUTED_VALUE"""),"")</f>
        <v/>
      </c>
      <c r="C105" s="27" t="str">
        <f ca="1">IFERROR(__xludf.DUMMYFUNCTION("""COMPUTED_VALUE"""),"")</f>
        <v/>
      </c>
      <c r="D105" s="27" t="str">
        <f ca="1">IFERROR(__xludf.DUMMYFUNCTION("""COMPUTED_VALUE"""),"")</f>
        <v/>
      </c>
      <c r="E105" s="15" t="str">
        <f ca="1">IFERROR(__xludf.DUMMYFUNCTION("""COMPUTED_VALUE"""),"")</f>
        <v/>
      </c>
      <c r="F105" s="28" t="str">
        <f ca="1">IFERROR(__xludf.DUMMYFUNCTION("""COMPUTED_VALUE"""),"")</f>
        <v/>
      </c>
      <c r="G105" s="16" t="str">
        <f ca="1">IFERROR(__xludf.DUMMYFUNCTION("""COMPUTED_VALUE"""),"")</f>
        <v/>
      </c>
      <c r="H105" s="17" t="str">
        <f ca="1">IFERROR(__xludf.DUMMYFUNCTION("""COMPUTED_VALUE"""),"")</f>
        <v/>
      </c>
      <c r="I105" s="17" t="str">
        <f ca="1">IFERROR(__xludf.DUMMYFUNCTION("""COMPUTED_VALUE"""),"")</f>
        <v/>
      </c>
      <c r="J105" s="17" t="str">
        <f ca="1">IFERROR(__xludf.DUMMYFUNCTION("""COMPUTED_VALUE"""),"")</f>
        <v/>
      </c>
      <c r="K105" s="18" t="str">
        <f ca="1">IFERROR(__xludf.DUMMYFUNCTION("""COMPUTED_VALUE"""),"")</f>
        <v/>
      </c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V105" s="20"/>
      <c r="W105" s="20"/>
      <c r="X105" s="20"/>
      <c r="Y105" s="20"/>
      <c r="Z105" s="21"/>
      <c r="AA105" s="22"/>
      <c r="AB105" s="23"/>
    </row>
    <row r="106" spans="1:28" ht="13.5" customHeight="1" x14ac:dyDescent="0.35">
      <c r="A106" s="24" t="str">
        <f ca="1">IFERROR(__xludf.DUMMYFUNCTION("""COMPUTED_VALUE"""),"")</f>
        <v/>
      </c>
      <c r="B106" s="28" t="str">
        <f ca="1">IFERROR(__xludf.DUMMYFUNCTION("""COMPUTED_VALUE"""),"")</f>
        <v/>
      </c>
      <c r="C106" s="27" t="str">
        <f ca="1">IFERROR(__xludf.DUMMYFUNCTION("""COMPUTED_VALUE"""),"")</f>
        <v/>
      </c>
      <c r="D106" s="27" t="str">
        <f ca="1">IFERROR(__xludf.DUMMYFUNCTION("""COMPUTED_VALUE"""),"")</f>
        <v/>
      </c>
      <c r="E106" s="15" t="str">
        <f ca="1">IFERROR(__xludf.DUMMYFUNCTION("""COMPUTED_VALUE"""),"")</f>
        <v/>
      </c>
      <c r="F106" s="28" t="str">
        <f ca="1">IFERROR(__xludf.DUMMYFUNCTION("""COMPUTED_VALUE"""),"")</f>
        <v/>
      </c>
      <c r="G106" s="16" t="str">
        <f ca="1">IFERROR(__xludf.DUMMYFUNCTION("""COMPUTED_VALUE"""),"")</f>
        <v/>
      </c>
      <c r="H106" s="17" t="str">
        <f ca="1">IFERROR(__xludf.DUMMYFUNCTION("""COMPUTED_VALUE"""),"")</f>
        <v/>
      </c>
      <c r="I106" s="17" t="str">
        <f ca="1">IFERROR(__xludf.DUMMYFUNCTION("""COMPUTED_VALUE"""),"")</f>
        <v/>
      </c>
      <c r="J106" s="17" t="str">
        <f ca="1">IFERROR(__xludf.DUMMYFUNCTION("""COMPUTED_VALUE"""),"")</f>
        <v/>
      </c>
      <c r="K106" s="18" t="str">
        <f ca="1">IFERROR(__xludf.DUMMYFUNCTION("""COMPUTED_VALUE"""),"")</f>
        <v/>
      </c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20"/>
      <c r="W106" s="20"/>
      <c r="X106" s="20"/>
      <c r="Y106" s="20"/>
      <c r="Z106" s="21"/>
      <c r="AA106" s="22"/>
      <c r="AB106" s="23"/>
    </row>
    <row r="107" spans="1:28" ht="13.5" customHeight="1" x14ac:dyDescent="0.35">
      <c r="A107" s="24" t="str">
        <f ca="1">IFERROR(__xludf.DUMMYFUNCTION("""COMPUTED_VALUE"""),"")</f>
        <v/>
      </c>
      <c r="B107" s="28" t="str">
        <f ca="1">IFERROR(__xludf.DUMMYFUNCTION("""COMPUTED_VALUE"""),"")</f>
        <v/>
      </c>
      <c r="C107" s="27" t="str">
        <f ca="1">IFERROR(__xludf.DUMMYFUNCTION("""COMPUTED_VALUE"""),"")</f>
        <v/>
      </c>
      <c r="D107" s="27" t="str">
        <f ca="1">IFERROR(__xludf.DUMMYFUNCTION("""COMPUTED_VALUE"""),"")</f>
        <v/>
      </c>
      <c r="E107" s="15" t="str">
        <f ca="1">IFERROR(__xludf.DUMMYFUNCTION("""COMPUTED_VALUE"""),"")</f>
        <v/>
      </c>
      <c r="F107" s="28" t="str">
        <f ca="1">IFERROR(__xludf.DUMMYFUNCTION("""COMPUTED_VALUE"""),"")</f>
        <v/>
      </c>
      <c r="G107" s="16" t="str">
        <f ca="1">IFERROR(__xludf.DUMMYFUNCTION("""COMPUTED_VALUE"""),"")</f>
        <v/>
      </c>
      <c r="H107" s="17" t="str">
        <f ca="1">IFERROR(__xludf.DUMMYFUNCTION("""COMPUTED_VALUE"""),"")</f>
        <v/>
      </c>
      <c r="I107" s="17" t="str">
        <f ca="1">IFERROR(__xludf.DUMMYFUNCTION("""COMPUTED_VALUE"""),"")</f>
        <v/>
      </c>
      <c r="J107" s="17" t="str">
        <f ca="1">IFERROR(__xludf.DUMMYFUNCTION("""COMPUTED_VALUE"""),"")</f>
        <v/>
      </c>
      <c r="K107" s="18" t="str">
        <f ca="1">IFERROR(__xludf.DUMMYFUNCTION("""COMPUTED_VALUE"""),"")</f>
        <v/>
      </c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20"/>
      <c r="W107" s="20"/>
      <c r="X107" s="20"/>
      <c r="Y107" s="20"/>
      <c r="Z107" s="21"/>
      <c r="AA107" s="22"/>
      <c r="AB107" s="23"/>
    </row>
    <row r="108" spans="1:28" ht="13.5" customHeight="1" x14ac:dyDescent="0.35">
      <c r="A108" s="24" t="str">
        <f ca="1">IFERROR(__xludf.DUMMYFUNCTION("""COMPUTED_VALUE"""),"")</f>
        <v/>
      </c>
      <c r="B108" s="28" t="str">
        <f ca="1">IFERROR(__xludf.DUMMYFUNCTION("""COMPUTED_VALUE"""),"")</f>
        <v/>
      </c>
      <c r="C108" s="27" t="str">
        <f ca="1">IFERROR(__xludf.DUMMYFUNCTION("""COMPUTED_VALUE"""),"")</f>
        <v/>
      </c>
      <c r="D108" s="27" t="str">
        <f ca="1">IFERROR(__xludf.DUMMYFUNCTION("""COMPUTED_VALUE"""),"")</f>
        <v/>
      </c>
      <c r="E108" s="15" t="str">
        <f ca="1">IFERROR(__xludf.DUMMYFUNCTION("""COMPUTED_VALUE"""),"")</f>
        <v/>
      </c>
      <c r="F108" s="28" t="str">
        <f ca="1">IFERROR(__xludf.DUMMYFUNCTION("""COMPUTED_VALUE"""),"")</f>
        <v/>
      </c>
      <c r="G108" s="16" t="str">
        <f ca="1">IFERROR(__xludf.DUMMYFUNCTION("""COMPUTED_VALUE"""),"")</f>
        <v/>
      </c>
      <c r="H108" s="17" t="str">
        <f ca="1">IFERROR(__xludf.DUMMYFUNCTION("""COMPUTED_VALUE"""),"")</f>
        <v/>
      </c>
      <c r="I108" s="17" t="str">
        <f ca="1">IFERROR(__xludf.DUMMYFUNCTION("""COMPUTED_VALUE"""),"")</f>
        <v/>
      </c>
      <c r="J108" s="17" t="str">
        <f ca="1">IFERROR(__xludf.DUMMYFUNCTION("""COMPUTED_VALUE"""),"")</f>
        <v/>
      </c>
      <c r="K108" s="18" t="str">
        <f ca="1">IFERROR(__xludf.DUMMYFUNCTION("""COMPUTED_VALUE"""),"")</f>
        <v/>
      </c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20"/>
      <c r="W108" s="20"/>
      <c r="X108" s="20"/>
      <c r="Y108" s="20"/>
      <c r="Z108" s="21"/>
      <c r="AA108" s="22"/>
      <c r="AB108" s="23"/>
    </row>
    <row r="109" spans="1:28" ht="13.5" customHeight="1" x14ac:dyDescent="0.35">
      <c r="A109" s="24" t="str">
        <f ca="1">IFERROR(__xludf.DUMMYFUNCTION("""COMPUTED_VALUE"""),"")</f>
        <v/>
      </c>
      <c r="B109" s="28" t="str">
        <f ca="1">IFERROR(__xludf.DUMMYFUNCTION("""COMPUTED_VALUE"""),"")</f>
        <v/>
      </c>
      <c r="C109" s="27" t="str">
        <f ca="1">IFERROR(__xludf.DUMMYFUNCTION("""COMPUTED_VALUE"""),"")</f>
        <v/>
      </c>
      <c r="D109" s="27" t="str">
        <f ca="1">IFERROR(__xludf.DUMMYFUNCTION("""COMPUTED_VALUE"""),"")</f>
        <v/>
      </c>
      <c r="E109" s="15" t="str">
        <f ca="1">IFERROR(__xludf.DUMMYFUNCTION("""COMPUTED_VALUE"""),"")</f>
        <v/>
      </c>
      <c r="F109" s="28" t="str">
        <f ca="1">IFERROR(__xludf.DUMMYFUNCTION("""COMPUTED_VALUE"""),"")</f>
        <v/>
      </c>
      <c r="G109" s="16" t="str">
        <f ca="1">IFERROR(__xludf.DUMMYFUNCTION("""COMPUTED_VALUE"""),"")</f>
        <v/>
      </c>
      <c r="H109" s="17" t="str">
        <f ca="1">IFERROR(__xludf.DUMMYFUNCTION("""COMPUTED_VALUE"""),"")</f>
        <v/>
      </c>
      <c r="I109" s="17" t="str">
        <f ca="1">IFERROR(__xludf.DUMMYFUNCTION("""COMPUTED_VALUE"""),"")</f>
        <v/>
      </c>
      <c r="J109" s="17" t="str">
        <f ca="1">IFERROR(__xludf.DUMMYFUNCTION("""COMPUTED_VALUE"""),"")</f>
        <v/>
      </c>
      <c r="K109" s="18" t="str">
        <f ca="1">IFERROR(__xludf.DUMMYFUNCTION("""COMPUTED_VALUE"""),"")</f>
        <v/>
      </c>
      <c r="L109" s="19"/>
      <c r="M109" s="19"/>
      <c r="N109" s="19"/>
      <c r="O109" s="19"/>
      <c r="P109" s="19"/>
      <c r="Q109" s="19"/>
      <c r="R109" s="19"/>
      <c r="S109" s="19"/>
      <c r="T109" s="19"/>
      <c r="U109" s="19"/>
      <c r="V109" s="20"/>
      <c r="W109" s="20"/>
      <c r="X109" s="20"/>
      <c r="Y109" s="20"/>
      <c r="Z109" s="21"/>
      <c r="AA109" s="22"/>
      <c r="AB109" s="23"/>
    </row>
    <row r="110" spans="1:28" ht="13.5" customHeight="1" x14ac:dyDescent="0.35">
      <c r="A110" s="24" t="str">
        <f ca="1">IFERROR(__xludf.DUMMYFUNCTION("""COMPUTED_VALUE"""),"")</f>
        <v/>
      </c>
      <c r="B110" s="28" t="str">
        <f ca="1">IFERROR(__xludf.DUMMYFUNCTION("""COMPUTED_VALUE"""),"")</f>
        <v/>
      </c>
      <c r="C110" s="27" t="str">
        <f ca="1">IFERROR(__xludf.DUMMYFUNCTION("""COMPUTED_VALUE"""),"")</f>
        <v/>
      </c>
      <c r="D110" s="27" t="str">
        <f ca="1">IFERROR(__xludf.DUMMYFUNCTION("""COMPUTED_VALUE"""),"")</f>
        <v/>
      </c>
      <c r="E110" s="15" t="str">
        <f ca="1">IFERROR(__xludf.DUMMYFUNCTION("""COMPUTED_VALUE"""),"")</f>
        <v/>
      </c>
      <c r="F110" s="28" t="str">
        <f ca="1">IFERROR(__xludf.DUMMYFUNCTION("""COMPUTED_VALUE"""),"")</f>
        <v/>
      </c>
      <c r="G110" s="16" t="str">
        <f ca="1">IFERROR(__xludf.DUMMYFUNCTION("""COMPUTED_VALUE"""),"")</f>
        <v/>
      </c>
      <c r="H110" s="17" t="str">
        <f ca="1">IFERROR(__xludf.DUMMYFUNCTION("""COMPUTED_VALUE"""),"")</f>
        <v/>
      </c>
      <c r="I110" s="17" t="str">
        <f ca="1">IFERROR(__xludf.DUMMYFUNCTION("""COMPUTED_VALUE"""),"")</f>
        <v/>
      </c>
      <c r="J110" s="17" t="str">
        <f ca="1">IFERROR(__xludf.DUMMYFUNCTION("""COMPUTED_VALUE"""),"")</f>
        <v/>
      </c>
      <c r="K110" s="18" t="str">
        <f ca="1">IFERROR(__xludf.DUMMYFUNCTION("""COMPUTED_VALUE"""),"")</f>
        <v/>
      </c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20"/>
      <c r="W110" s="20"/>
      <c r="X110" s="20"/>
      <c r="Y110" s="20"/>
      <c r="Z110" s="21"/>
      <c r="AA110" s="22"/>
      <c r="AB110" s="23"/>
    </row>
    <row r="111" spans="1:28" ht="13.5" customHeight="1" x14ac:dyDescent="0.35">
      <c r="A111" s="24" t="str">
        <f ca="1">IFERROR(__xludf.DUMMYFUNCTION("""COMPUTED_VALUE"""),"")</f>
        <v/>
      </c>
      <c r="B111" s="28" t="str">
        <f ca="1">IFERROR(__xludf.DUMMYFUNCTION("""COMPUTED_VALUE"""),"")</f>
        <v/>
      </c>
      <c r="C111" s="27" t="str">
        <f ca="1">IFERROR(__xludf.DUMMYFUNCTION("""COMPUTED_VALUE"""),"")</f>
        <v/>
      </c>
      <c r="D111" s="27" t="str">
        <f ca="1">IFERROR(__xludf.DUMMYFUNCTION("""COMPUTED_VALUE"""),"")</f>
        <v/>
      </c>
      <c r="E111" s="15" t="str">
        <f ca="1">IFERROR(__xludf.DUMMYFUNCTION("""COMPUTED_VALUE"""),"")</f>
        <v/>
      </c>
      <c r="F111" s="28" t="str">
        <f ca="1">IFERROR(__xludf.DUMMYFUNCTION("""COMPUTED_VALUE"""),"")</f>
        <v/>
      </c>
      <c r="G111" s="16" t="str">
        <f ca="1">IFERROR(__xludf.DUMMYFUNCTION("""COMPUTED_VALUE"""),"")</f>
        <v/>
      </c>
      <c r="H111" s="17" t="str">
        <f ca="1">IFERROR(__xludf.DUMMYFUNCTION("""COMPUTED_VALUE"""),"")</f>
        <v/>
      </c>
      <c r="I111" s="17" t="str">
        <f ca="1">IFERROR(__xludf.DUMMYFUNCTION("""COMPUTED_VALUE"""),"")</f>
        <v/>
      </c>
      <c r="J111" s="17" t="str">
        <f ca="1">IFERROR(__xludf.DUMMYFUNCTION("""COMPUTED_VALUE"""),"")</f>
        <v/>
      </c>
      <c r="K111" s="18" t="str">
        <f ca="1">IFERROR(__xludf.DUMMYFUNCTION("""COMPUTED_VALUE"""),"")</f>
        <v/>
      </c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V111" s="20"/>
      <c r="W111" s="20"/>
      <c r="X111" s="20"/>
      <c r="Y111" s="20"/>
      <c r="Z111" s="21"/>
      <c r="AA111" s="22"/>
      <c r="AB111" s="23"/>
    </row>
    <row r="112" spans="1:28" ht="13.5" customHeight="1" x14ac:dyDescent="0.35">
      <c r="A112" s="24" t="str">
        <f ca="1">IFERROR(__xludf.DUMMYFUNCTION("""COMPUTED_VALUE"""),"")</f>
        <v/>
      </c>
      <c r="B112" s="28" t="str">
        <f ca="1">IFERROR(__xludf.DUMMYFUNCTION("""COMPUTED_VALUE"""),"")</f>
        <v/>
      </c>
      <c r="C112" s="27" t="str">
        <f ca="1">IFERROR(__xludf.DUMMYFUNCTION("""COMPUTED_VALUE"""),"")</f>
        <v/>
      </c>
      <c r="D112" s="27" t="str">
        <f ca="1">IFERROR(__xludf.DUMMYFUNCTION("""COMPUTED_VALUE"""),"")</f>
        <v/>
      </c>
      <c r="E112" s="15" t="str">
        <f ca="1">IFERROR(__xludf.DUMMYFUNCTION("""COMPUTED_VALUE"""),"")</f>
        <v/>
      </c>
      <c r="F112" s="28" t="str">
        <f ca="1">IFERROR(__xludf.DUMMYFUNCTION("""COMPUTED_VALUE"""),"")</f>
        <v/>
      </c>
      <c r="G112" s="16" t="str">
        <f ca="1">IFERROR(__xludf.DUMMYFUNCTION("""COMPUTED_VALUE"""),"")</f>
        <v/>
      </c>
      <c r="H112" s="17" t="str">
        <f ca="1">IFERROR(__xludf.DUMMYFUNCTION("""COMPUTED_VALUE"""),"")</f>
        <v/>
      </c>
      <c r="I112" s="17" t="str">
        <f ca="1">IFERROR(__xludf.DUMMYFUNCTION("""COMPUTED_VALUE"""),"")</f>
        <v/>
      </c>
      <c r="J112" s="17" t="str">
        <f ca="1">IFERROR(__xludf.DUMMYFUNCTION("""COMPUTED_VALUE"""),"")</f>
        <v/>
      </c>
      <c r="K112" s="18" t="str">
        <f ca="1">IFERROR(__xludf.DUMMYFUNCTION("""COMPUTED_VALUE"""),"")</f>
        <v/>
      </c>
      <c r="L112" s="19"/>
      <c r="M112" s="19"/>
      <c r="N112" s="19"/>
      <c r="O112" s="19"/>
      <c r="P112" s="19"/>
      <c r="Q112" s="19"/>
      <c r="R112" s="19"/>
      <c r="S112" s="19"/>
      <c r="T112" s="19"/>
      <c r="U112" s="19"/>
      <c r="V112" s="20"/>
      <c r="W112" s="20"/>
      <c r="X112" s="20"/>
      <c r="Y112" s="20"/>
      <c r="Z112" s="21"/>
      <c r="AA112" s="22"/>
      <c r="AB112" s="23"/>
    </row>
    <row r="113" spans="1:28" ht="13.5" customHeight="1" x14ac:dyDescent="0.35">
      <c r="A113" s="24" t="str">
        <f ca="1">IFERROR(__xludf.DUMMYFUNCTION("""COMPUTED_VALUE"""),"")</f>
        <v/>
      </c>
      <c r="B113" s="28" t="str">
        <f ca="1">IFERROR(__xludf.DUMMYFUNCTION("""COMPUTED_VALUE"""),"")</f>
        <v/>
      </c>
      <c r="C113" s="27" t="str">
        <f ca="1">IFERROR(__xludf.DUMMYFUNCTION("""COMPUTED_VALUE"""),"")</f>
        <v/>
      </c>
      <c r="D113" s="27" t="str">
        <f ca="1">IFERROR(__xludf.DUMMYFUNCTION("""COMPUTED_VALUE"""),"")</f>
        <v/>
      </c>
      <c r="E113" s="15" t="str">
        <f ca="1">IFERROR(__xludf.DUMMYFUNCTION("""COMPUTED_VALUE"""),"")</f>
        <v/>
      </c>
      <c r="F113" s="28" t="str">
        <f ca="1">IFERROR(__xludf.DUMMYFUNCTION("""COMPUTED_VALUE"""),"")</f>
        <v/>
      </c>
      <c r="G113" s="16" t="str">
        <f ca="1">IFERROR(__xludf.DUMMYFUNCTION("""COMPUTED_VALUE"""),"")</f>
        <v/>
      </c>
      <c r="H113" s="17" t="str">
        <f ca="1">IFERROR(__xludf.DUMMYFUNCTION("""COMPUTED_VALUE"""),"")</f>
        <v/>
      </c>
      <c r="I113" s="17" t="str">
        <f ca="1">IFERROR(__xludf.DUMMYFUNCTION("""COMPUTED_VALUE"""),"")</f>
        <v/>
      </c>
      <c r="J113" s="17" t="str">
        <f ca="1">IFERROR(__xludf.DUMMYFUNCTION("""COMPUTED_VALUE"""),"")</f>
        <v/>
      </c>
      <c r="K113" s="18" t="str">
        <f ca="1">IFERROR(__xludf.DUMMYFUNCTION("""COMPUTED_VALUE"""),"")</f>
        <v/>
      </c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20"/>
      <c r="W113" s="20"/>
      <c r="X113" s="20"/>
      <c r="Y113" s="20"/>
      <c r="Z113" s="21"/>
      <c r="AA113" s="22"/>
      <c r="AB113" s="23"/>
    </row>
    <row r="114" spans="1:28" ht="13.5" customHeight="1" x14ac:dyDescent="0.35">
      <c r="A114" s="24" t="str">
        <f ca="1">IFERROR(__xludf.DUMMYFUNCTION("""COMPUTED_VALUE"""),"")</f>
        <v/>
      </c>
      <c r="B114" s="28" t="str">
        <f ca="1">IFERROR(__xludf.DUMMYFUNCTION("""COMPUTED_VALUE"""),"")</f>
        <v/>
      </c>
      <c r="C114" s="27" t="str">
        <f ca="1">IFERROR(__xludf.DUMMYFUNCTION("""COMPUTED_VALUE"""),"")</f>
        <v/>
      </c>
      <c r="D114" s="27" t="str">
        <f ca="1">IFERROR(__xludf.DUMMYFUNCTION("""COMPUTED_VALUE"""),"")</f>
        <v/>
      </c>
      <c r="E114" s="15" t="str">
        <f ca="1">IFERROR(__xludf.DUMMYFUNCTION("""COMPUTED_VALUE"""),"")</f>
        <v/>
      </c>
      <c r="F114" s="28" t="str">
        <f ca="1">IFERROR(__xludf.DUMMYFUNCTION("""COMPUTED_VALUE"""),"")</f>
        <v/>
      </c>
      <c r="G114" s="16" t="str">
        <f ca="1">IFERROR(__xludf.DUMMYFUNCTION("""COMPUTED_VALUE"""),"")</f>
        <v/>
      </c>
      <c r="H114" s="17" t="str">
        <f ca="1">IFERROR(__xludf.DUMMYFUNCTION("""COMPUTED_VALUE"""),"")</f>
        <v/>
      </c>
      <c r="I114" s="17" t="str">
        <f ca="1">IFERROR(__xludf.DUMMYFUNCTION("""COMPUTED_VALUE"""),"")</f>
        <v/>
      </c>
      <c r="J114" s="17" t="str">
        <f ca="1">IFERROR(__xludf.DUMMYFUNCTION("""COMPUTED_VALUE"""),"")</f>
        <v/>
      </c>
      <c r="K114" s="18" t="str">
        <f ca="1">IFERROR(__xludf.DUMMYFUNCTION("""COMPUTED_VALUE"""),"")</f>
        <v/>
      </c>
      <c r="L114" s="19"/>
      <c r="M114" s="19"/>
      <c r="N114" s="19"/>
      <c r="O114" s="19"/>
      <c r="P114" s="19"/>
      <c r="Q114" s="19"/>
      <c r="R114" s="19"/>
      <c r="S114" s="19"/>
      <c r="T114" s="19"/>
      <c r="U114" s="19"/>
      <c r="V114" s="20"/>
      <c r="W114" s="20"/>
      <c r="X114" s="20"/>
      <c r="Y114" s="20"/>
      <c r="Z114" s="21"/>
      <c r="AA114" s="22"/>
      <c r="AB114" s="23"/>
    </row>
    <row r="115" spans="1:28" ht="13.5" customHeight="1" x14ac:dyDescent="0.35">
      <c r="A115" s="24" t="str">
        <f ca="1">IFERROR(__xludf.DUMMYFUNCTION("""COMPUTED_VALUE"""),"")</f>
        <v/>
      </c>
      <c r="B115" s="28" t="str">
        <f ca="1">IFERROR(__xludf.DUMMYFUNCTION("""COMPUTED_VALUE"""),"")</f>
        <v/>
      </c>
      <c r="C115" s="27" t="str">
        <f ca="1">IFERROR(__xludf.DUMMYFUNCTION("""COMPUTED_VALUE"""),"")</f>
        <v/>
      </c>
      <c r="D115" s="27" t="str">
        <f ca="1">IFERROR(__xludf.DUMMYFUNCTION("""COMPUTED_VALUE"""),"")</f>
        <v/>
      </c>
      <c r="E115" s="15" t="str">
        <f ca="1">IFERROR(__xludf.DUMMYFUNCTION("""COMPUTED_VALUE"""),"")</f>
        <v/>
      </c>
      <c r="F115" s="28" t="str">
        <f ca="1">IFERROR(__xludf.DUMMYFUNCTION("""COMPUTED_VALUE"""),"")</f>
        <v/>
      </c>
      <c r="G115" s="16" t="str">
        <f ca="1">IFERROR(__xludf.DUMMYFUNCTION("""COMPUTED_VALUE"""),"")</f>
        <v/>
      </c>
      <c r="H115" s="17" t="str">
        <f ca="1">IFERROR(__xludf.DUMMYFUNCTION("""COMPUTED_VALUE"""),"")</f>
        <v/>
      </c>
      <c r="I115" s="17" t="str">
        <f ca="1">IFERROR(__xludf.DUMMYFUNCTION("""COMPUTED_VALUE"""),"")</f>
        <v/>
      </c>
      <c r="J115" s="17" t="str">
        <f ca="1">IFERROR(__xludf.DUMMYFUNCTION("""COMPUTED_VALUE"""),"")</f>
        <v/>
      </c>
      <c r="K115" s="18" t="str">
        <f ca="1">IFERROR(__xludf.DUMMYFUNCTION("""COMPUTED_VALUE"""),"")</f>
        <v/>
      </c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20"/>
      <c r="W115" s="20"/>
      <c r="X115" s="20"/>
      <c r="Y115" s="20"/>
      <c r="Z115" s="21"/>
      <c r="AA115" s="22"/>
      <c r="AB115" s="23"/>
    </row>
    <row r="116" spans="1:28" ht="13.5" customHeight="1" x14ac:dyDescent="0.35">
      <c r="A116" s="24" t="str">
        <f ca="1">IFERROR(__xludf.DUMMYFUNCTION("""COMPUTED_VALUE"""),"")</f>
        <v/>
      </c>
      <c r="B116" s="28" t="str">
        <f ca="1">IFERROR(__xludf.DUMMYFUNCTION("""COMPUTED_VALUE"""),"")</f>
        <v/>
      </c>
      <c r="C116" s="27" t="str">
        <f ca="1">IFERROR(__xludf.DUMMYFUNCTION("""COMPUTED_VALUE"""),"")</f>
        <v/>
      </c>
      <c r="D116" s="27" t="str">
        <f ca="1">IFERROR(__xludf.DUMMYFUNCTION("""COMPUTED_VALUE"""),"")</f>
        <v/>
      </c>
      <c r="E116" s="15" t="str">
        <f ca="1">IFERROR(__xludf.DUMMYFUNCTION("""COMPUTED_VALUE"""),"")</f>
        <v/>
      </c>
      <c r="F116" s="28" t="str">
        <f ca="1">IFERROR(__xludf.DUMMYFUNCTION("""COMPUTED_VALUE"""),"")</f>
        <v/>
      </c>
      <c r="G116" s="16" t="str">
        <f ca="1">IFERROR(__xludf.DUMMYFUNCTION("""COMPUTED_VALUE"""),"")</f>
        <v/>
      </c>
      <c r="H116" s="17" t="str">
        <f ca="1">IFERROR(__xludf.DUMMYFUNCTION("""COMPUTED_VALUE"""),"")</f>
        <v/>
      </c>
      <c r="I116" s="17" t="str">
        <f ca="1">IFERROR(__xludf.DUMMYFUNCTION("""COMPUTED_VALUE"""),"")</f>
        <v/>
      </c>
      <c r="J116" s="17" t="str">
        <f ca="1">IFERROR(__xludf.DUMMYFUNCTION("""COMPUTED_VALUE"""),"")</f>
        <v/>
      </c>
      <c r="K116" s="18" t="str">
        <f ca="1">IFERROR(__xludf.DUMMYFUNCTION("""COMPUTED_VALUE"""),"")</f>
        <v/>
      </c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20"/>
      <c r="W116" s="20"/>
      <c r="X116" s="20"/>
      <c r="Y116" s="20"/>
      <c r="Z116" s="21"/>
      <c r="AA116" s="22"/>
      <c r="AB116" s="23"/>
    </row>
    <row r="117" spans="1:28" ht="13.5" customHeight="1" x14ac:dyDescent="0.35">
      <c r="A117" s="24" t="str">
        <f ca="1">IFERROR(__xludf.DUMMYFUNCTION("""COMPUTED_VALUE"""),"")</f>
        <v/>
      </c>
      <c r="B117" s="28" t="str">
        <f ca="1">IFERROR(__xludf.DUMMYFUNCTION("""COMPUTED_VALUE"""),"")</f>
        <v/>
      </c>
      <c r="C117" s="27" t="str">
        <f ca="1">IFERROR(__xludf.DUMMYFUNCTION("""COMPUTED_VALUE"""),"")</f>
        <v/>
      </c>
      <c r="D117" s="27" t="str">
        <f ca="1">IFERROR(__xludf.DUMMYFUNCTION("""COMPUTED_VALUE"""),"")</f>
        <v/>
      </c>
      <c r="E117" s="15" t="str">
        <f ca="1">IFERROR(__xludf.DUMMYFUNCTION("""COMPUTED_VALUE"""),"")</f>
        <v/>
      </c>
      <c r="F117" s="28" t="str">
        <f ca="1">IFERROR(__xludf.DUMMYFUNCTION("""COMPUTED_VALUE"""),"")</f>
        <v/>
      </c>
      <c r="G117" s="16" t="str">
        <f ca="1">IFERROR(__xludf.DUMMYFUNCTION("""COMPUTED_VALUE"""),"")</f>
        <v/>
      </c>
      <c r="H117" s="17" t="str">
        <f ca="1">IFERROR(__xludf.DUMMYFUNCTION("""COMPUTED_VALUE"""),"")</f>
        <v/>
      </c>
      <c r="I117" s="17" t="str">
        <f ca="1">IFERROR(__xludf.DUMMYFUNCTION("""COMPUTED_VALUE"""),"")</f>
        <v/>
      </c>
      <c r="J117" s="17" t="str">
        <f ca="1">IFERROR(__xludf.DUMMYFUNCTION("""COMPUTED_VALUE"""),"")</f>
        <v/>
      </c>
      <c r="K117" s="18" t="str">
        <f ca="1">IFERROR(__xludf.DUMMYFUNCTION("""COMPUTED_VALUE"""),"")</f>
        <v/>
      </c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20"/>
      <c r="W117" s="20"/>
      <c r="X117" s="20"/>
      <c r="Y117" s="20"/>
      <c r="Z117" s="21"/>
      <c r="AA117" s="22"/>
      <c r="AB117" s="23"/>
    </row>
    <row r="118" spans="1:28" ht="13.5" customHeight="1" x14ac:dyDescent="0.35">
      <c r="A118" s="24" t="str">
        <f ca="1">IFERROR(__xludf.DUMMYFUNCTION("""COMPUTED_VALUE"""),"")</f>
        <v/>
      </c>
      <c r="B118" s="28" t="str">
        <f ca="1">IFERROR(__xludf.DUMMYFUNCTION("""COMPUTED_VALUE"""),"")</f>
        <v/>
      </c>
      <c r="C118" s="27" t="str">
        <f ca="1">IFERROR(__xludf.DUMMYFUNCTION("""COMPUTED_VALUE"""),"")</f>
        <v/>
      </c>
      <c r="D118" s="27" t="str">
        <f ca="1">IFERROR(__xludf.DUMMYFUNCTION("""COMPUTED_VALUE"""),"")</f>
        <v/>
      </c>
      <c r="E118" s="15" t="str">
        <f ca="1">IFERROR(__xludf.DUMMYFUNCTION("""COMPUTED_VALUE"""),"")</f>
        <v/>
      </c>
      <c r="F118" s="28" t="str">
        <f ca="1">IFERROR(__xludf.DUMMYFUNCTION("""COMPUTED_VALUE"""),"")</f>
        <v/>
      </c>
      <c r="G118" s="16" t="str">
        <f ca="1">IFERROR(__xludf.DUMMYFUNCTION("""COMPUTED_VALUE"""),"")</f>
        <v/>
      </c>
      <c r="H118" s="17" t="str">
        <f ca="1">IFERROR(__xludf.DUMMYFUNCTION("""COMPUTED_VALUE"""),"")</f>
        <v/>
      </c>
      <c r="I118" s="17" t="str">
        <f ca="1">IFERROR(__xludf.DUMMYFUNCTION("""COMPUTED_VALUE"""),"")</f>
        <v/>
      </c>
      <c r="J118" s="17" t="str">
        <f ca="1">IFERROR(__xludf.DUMMYFUNCTION("""COMPUTED_VALUE"""),"")</f>
        <v/>
      </c>
      <c r="K118" s="18" t="str">
        <f ca="1">IFERROR(__xludf.DUMMYFUNCTION("""COMPUTED_VALUE"""),"")</f>
        <v/>
      </c>
      <c r="L118" s="19"/>
      <c r="M118" s="19"/>
      <c r="N118" s="19"/>
      <c r="O118" s="19"/>
      <c r="P118" s="19"/>
      <c r="Q118" s="19"/>
      <c r="R118" s="19"/>
      <c r="S118" s="19"/>
      <c r="T118" s="19"/>
      <c r="U118" s="19"/>
      <c r="V118" s="20"/>
      <c r="W118" s="20"/>
      <c r="X118" s="20"/>
      <c r="Y118" s="20"/>
      <c r="Z118" s="21"/>
      <c r="AA118" s="22"/>
      <c r="AB118" s="23"/>
    </row>
    <row r="119" spans="1:28" ht="13.5" customHeight="1" x14ac:dyDescent="0.35">
      <c r="A119" s="24" t="str">
        <f ca="1">IFERROR(__xludf.DUMMYFUNCTION("""COMPUTED_VALUE"""),"")</f>
        <v/>
      </c>
      <c r="B119" s="28" t="str">
        <f ca="1">IFERROR(__xludf.DUMMYFUNCTION("""COMPUTED_VALUE"""),"")</f>
        <v/>
      </c>
      <c r="C119" s="27" t="str">
        <f ca="1">IFERROR(__xludf.DUMMYFUNCTION("""COMPUTED_VALUE"""),"")</f>
        <v/>
      </c>
      <c r="D119" s="27" t="str">
        <f ca="1">IFERROR(__xludf.DUMMYFUNCTION("""COMPUTED_VALUE"""),"")</f>
        <v/>
      </c>
      <c r="E119" s="15" t="str">
        <f ca="1">IFERROR(__xludf.DUMMYFUNCTION("""COMPUTED_VALUE"""),"")</f>
        <v/>
      </c>
      <c r="F119" s="28" t="str">
        <f ca="1">IFERROR(__xludf.DUMMYFUNCTION("""COMPUTED_VALUE"""),"")</f>
        <v/>
      </c>
      <c r="G119" s="16" t="str">
        <f ca="1">IFERROR(__xludf.DUMMYFUNCTION("""COMPUTED_VALUE"""),"")</f>
        <v/>
      </c>
      <c r="H119" s="17" t="str">
        <f ca="1">IFERROR(__xludf.DUMMYFUNCTION("""COMPUTED_VALUE"""),"")</f>
        <v/>
      </c>
      <c r="I119" s="17" t="str">
        <f ca="1">IFERROR(__xludf.DUMMYFUNCTION("""COMPUTED_VALUE"""),"")</f>
        <v/>
      </c>
      <c r="J119" s="17" t="str">
        <f ca="1">IFERROR(__xludf.DUMMYFUNCTION("""COMPUTED_VALUE"""),"")</f>
        <v/>
      </c>
      <c r="K119" s="18" t="str">
        <f ca="1">IFERROR(__xludf.DUMMYFUNCTION("""COMPUTED_VALUE"""),"")</f>
        <v/>
      </c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20"/>
      <c r="W119" s="20"/>
      <c r="X119" s="20"/>
      <c r="Y119" s="20"/>
      <c r="Z119" s="21"/>
      <c r="AA119" s="22"/>
      <c r="AB119" s="23"/>
    </row>
    <row r="120" spans="1:28" ht="13.5" customHeight="1" x14ac:dyDescent="0.35">
      <c r="A120" s="24" t="str">
        <f ca="1">IFERROR(__xludf.DUMMYFUNCTION("""COMPUTED_VALUE"""),"")</f>
        <v/>
      </c>
      <c r="B120" s="28" t="str">
        <f ca="1">IFERROR(__xludf.DUMMYFUNCTION("""COMPUTED_VALUE"""),"")</f>
        <v/>
      </c>
      <c r="C120" s="27" t="str">
        <f ca="1">IFERROR(__xludf.DUMMYFUNCTION("""COMPUTED_VALUE"""),"")</f>
        <v/>
      </c>
      <c r="D120" s="27" t="str">
        <f ca="1">IFERROR(__xludf.DUMMYFUNCTION("""COMPUTED_VALUE"""),"")</f>
        <v/>
      </c>
      <c r="E120" s="15" t="str">
        <f ca="1">IFERROR(__xludf.DUMMYFUNCTION("""COMPUTED_VALUE"""),"")</f>
        <v/>
      </c>
      <c r="F120" s="28" t="str">
        <f ca="1">IFERROR(__xludf.DUMMYFUNCTION("""COMPUTED_VALUE"""),"")</f>
        <v/>
      </c>
      <c r="G120" s="16" t="str">
        <f ca="1">IFERROR(__xludf.DUMMYFUNCTION("""COMPUTED_VALUE"""),"")</f>
        <v/>
      </c>
      <c r="H120" s="17" t="str">
        <f ca="1">IFERROR(__xludf.DUMMYFUNCTION("""COMPUTED_VALUE"""),"")</f>
        <v/>
      </c>
      <c r="I120" s="17" t="str">
        <f ca="1">IFERROR(__xludf.DUMMYFUNCTION("""COMPUTED_VALUE"""),"")</f>
        <v/>
      </c>
      <c r="J120" s="17" t="str">
        <f ca="1">IFERROR(__xludf.DUMMYFUNCTION("""COMPUTED_VALUE"""),"")</f>
        <v/>
      </c>
      <c r="K120" s="18" t="str">
        <f ca="1">IFERROR(__xludf.DUMMYFUNCTION("""COMPUTED_VALUE"""),"")</f>
        <v/>
      </c>
      <c r="L120" s="19"/>
      <c r="M120" s="19"/>
      <c r="N120" s="19"/>
      <c r="O120" s="19"/>
      <c r="P120" s="19"/>
      <c r="Q120" s="19"/>
      <c r="R120" s="19"/>
      <c r="S120" s="19"/>
      <c r="T120" s="19"/>
      <c r="U120" s="19"/>
      <c r="V120" s="20"/>
      <c r="W120" s="20"/>
      <c r="X120" s="20"/>
      <c r="Y120" s="20"/>
      <c r="Z120" s="21"/>
      <c r="AA120" s="22"/>
      <c r="AB120" s="23"/>
    </row>
    <row r="121" spans="1:28" ht="13.5" customHeight="1" x14ac:dyDescent="0.35">
      <c r="A121" s="24" t="str">
        <f ca="1">IFERROR(__xludf.DUMMYFUNCTION("""COMPUTED_VALUE"""),"")</f>
        <v/>
      </c>
      <c r="B121" s="28" t="str">
        <f ca="1">IFERROR(__xludf.DUMMYFUNCTION("""COMPUTED_VALUE"""),"")</f>
        <v/>
      </c>
      <c r="C121" s="27" t="str">
        <f ca="1">IFERROR(__xludf.DUMMYFUNCTION("""COMPUTED_VALUE"""),"")</f>
        <v/>
      </c>
      <c r="D121" s="27" t="str">
        <f ca="1">IFERROR(__xludf.DUMMYFUNCTION("""COMPUTED_VALUE"""),"")</f>
        <v/>
      </c>
      <c r="E121" s="15" t="str">
        <f ca="1">IFERROR(__xludf.DUMMYFUNCTION("""COMPUTED_VALUE"""),"")</f>
        <v/>
      </c>
      <c r="F121" s="28" t="str">
        <f ca="1">IFERROR(__xludf.DUMMYFUNCTION("""COMPUTED_VALUE"""),"")</f>
        <v/>
      </c>
      <c r="G121" s="16" t="str">
        <f ca="1">IFERROR(__xludf.DUMMYFUNCTION("""COMPUTED_VALUE"""),"")</f>
        <v/>
      </c>
      <c r="H121" s="17" t="str">
        <f ca="1">IFERROR(__xludf.DUMMYFUNCTION("""COMPUTED_VALUE"""),"")</f>
        <v/>
      </c>
      <c r="I121" s="17" t="str">
        <f ca="1">IFERROR(__xludf.DUMMYFUNCTION("""COMPUTED_VALUE"""),"")</f>
        <v/>
      </c>
      <c r="J121" s="17" t="str">
        <f ca="1">IFERROR(__xludf.DUMMYFUNCTION("""COMPUTED_VALUE"""),"")</f>
        <v/>
      </c>
      <c r="K121" s="18" t="str">
        <f ca="1">IFERROR(__xludf.DUMMYFUNCTION("""COMPUTED_VALUE"""),"")</f>
        <v/>
      </c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20"/>
      <c r="W121" s="20"/>
      <c r="X121" s="20"/>
      <c r="Y121" s="20"/>
      <c r="Z121" s="21"/>
      <c r="AA121" s="22"/>
      <c r="AB121" s="23"/>
    </row>
    <row r="122" spans="1:28" ht="13.5" customHeight="1" x14ac:dyDescent="0.35">
      <c r="A122" s="24" t="str">
        <f ca="1">IFERROR(__xludf.DUMMYFUNCTION("""COMPUTED_VALUE"""),"")</f>
        <v/>
      </c>
      <c r="B122" s="28" t="str">
        <f ca="1">IFERROR(__xludf.DUMMYFUNCTION("""COMPUTED_VALUE"""),"")</f>
        <v/>
      </c>
      <c r="C122" s="27" t="str">
        <f ca="1">IFERROR(__xludf.DUMMYFUNCTION("""COMPUTED_VALUE"""),"")</f>
        <v/>
      </c>
      <c r="D122" s="27" t="str">
        <f ca="1">IFERROR(__xludf.DUMMYFUNCTION("""COMPUTED_VALUE"""),"")</f>
        <v/>
      </c>
      <c r="E122" s="15" t="str">
        <f ca="1">IFERROR(__xludf.DUMMYFUNCTION("""COMPUTED_VALUE"""),"")</f>
        <v/>
      </c>
      <c r="F122" s="28" t="str">
        <f ca="1">IFERROR(__xludf.DUMMYFUNCTION("""COMPUTED_VALUE"""),"")</f>
        <v/>
      </c>
      <c r="G122" s="16" t="str">
        <f ca="1">IFERROR(__xludf.DUMMYFUNCTION("""COMPUTED_VALUE"""),"")</f>
        <v/>
      </c>
      <c r="H122" s="17" t="str">
        <f ca="1">IFERROR(__xludf.DUMMYFUNCTION("""COMPUTED_VALUE"""),"")</f>
        <v/>
      </c>
      <c r="I122" s="17" t="str">
        <f ca="1">IFERROR(__xludf.DUMMYFUNCTION("""COMPUTED_VALUE"""),"")</f>
        <v/>
      </c>
      <c r="J122" s="17" t="str">
        <f ca="1">IFERROR(__xludf.DUMMYFUNCTION("""COMPUTED_VALUE"""),"")</f>
        <v/>
      </c>
      <c r="K122" s="18" t="str">
        <f ca="1">IFERROR(__xludf.DUMMYFUNCTION("""COMPUTED_VALUE"""),"")</f>
        <v/>
      </c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20"/>
      <c r="W122" s="20"/>
      <c r="X122" s="20"/>
      <c r="Y122" s="20"/>
      <c r="Z122" s="21"/>
      <c r="AA122" s="22"/>
      <c r="AB122" s="23"/>
    </row>
    <row r="123" spans="1:28" ht="13.5" customHeight="1" x14ac:dyDescent="0.35">
      <c r="A123" s="24" t="str">
        <f ca="1">IFERROR(__xludf.DUMMYFUNCTION("""COMPUTED_VALUE"""),"")</f>
        <v/>
      </c>
      <c r="B123" s="28" t="str">
        <f ca="1">IFERROR(__xludf.DUMMYFUNCTION("""COMPUTED_VALUE"""),"")</f>
        <v/>
      </c>
      <c r="C123" s="27" t="str">
        <f ca="1">IFERROR(__xludf.DUMMYFUNCTION("""COMPUTED_VALUE"""),"")</f>
        <v/>
      </c>
      <c r="D123" s="27" t="str">
        <f ca="1">IFERROR(__xludf.DUMMYFUNCTION("""COMPUTED_VALUE"""),"")</f>
        <v/>
      </c>
      <c r="E123" s="15" t="str">
        <f ca="1">IFERROR(__xludf.DUMMYFUNCTION("""COMPUTED_VALUE"""),"")</f>
        <v/>
      </c>
      <c r="F123" s="28" t="str">
        <f ca="1">IFERROR(__xludf.DUMMYFUNCTION("""COMPUTED_VALUE"""),"")</f>
        <v/>
      </c>
      <c r="G123" s="16" t="str">
        <f ca="1">IFERROR(__xludf.DUMMYFUNCTION("""COMPUTED_VALUE"""),"")</f>
        <v/>
      </c>
      <c r="H123" s="17" t="str">
        <f ca="1">IFERROR(__xludf.DUMMYFUNCTION("""COMPUTED_VALUE"""),"")</f>
        <v/>
      </c>
      <c r="I123" s="17" t="str">
        <f ca="1">IFERROR(__xludf.DUMMYFUNCTION("""COMPUTED_VALUE"""),"")</f>
        <v/>
      </c>
      <c r="J123" s="17" t="str">
        <f ca="1">IFERROR(__xludf.DUMMYFUNCTION("""COMPUTED_VALUE"""),"")</f>
        <v/>
      </c>
      <c r="K123" s="18" t="str">
        <f ca="1">IFERROR(__xludf.DUMMYFUNCTION("""COMPUTED_VALUE"""),"")</f>
        <v/>
      </c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V123" s="20"/>
      <c r="W123" s="20"/>
      <c r="X123" s="20"/>
      <c r="Y123" s="20"/>
      <c r="Z123" s="21"/>
      <c r="AA123" s="22"/>
      <c r="AB123" s="23"/>
    </row>
    <row r="124" spans="1:28" ht="13.5" customHeight="1" x14ac:dyDescent="0.35">
      <c r="A124" s="24" t="str">
        <f ca="1">IFERROR(__xludf.DUMMYFUNCTION("""COMPUTED_VALUE"""),"")</f>
        <v/>
      </c>
      <c r="B124" s="28" t="str">
        <f ca="1">IFERROR(__xludf.DUMMYFUNCTION("""COMPUTED_VALUE"""),"")</f>
        <v/>
      </c>
      <c r="C124" s="27" t="str">
        <f ca="1">IFERROR(__xludf.DUMMYFUNCTION("""COMPUTED_VALUE"""),"")</f>
        <v/>
      </c>
      <c r="D124" s="27" t="str">
        <f ca="1">IFERROR(__xludf.DUMMYFUNCTION("""COMPUTED_VALUE"""),"")</f>
        <v/>
      </c>
      <c r="E124" s="15" t="str">
        <f ca="1">IFERROR(__xludf.DUMMYFUNCTION("""COMPUTED_VALUE"""),"")</f>
        <v/>
      </c>
      <c r="F124" s="28" t="str">
        <f ca="1">IFERROR(__xludf.DUMMYFUNCTION("""COMPUTED_VALUE"""),"")</f>
        <v/>
      </c>
      <c r="G124" s="16" t="str">
        <f ca="1">IFERROR(__xludf.DUMMYFUNCTION("""COMPUTED_VALUE"""),"")</f>
        <v/>
      </c>
      <c r="H124" s="17" t="str">
        <f ca="1">IFERROR(__xludf.DUMMYFUNCTION("""COMPUTED_VALUE"""),"")</f>
        <v/>
      </c>
      <c r="I124" s="17" t="str">
        <f ca="1">IFERROR(__xludf.DUMMYFUNCTION("""COMPUTED_VALUE"""),"")</f>
        <v/>
      </c>
      <c r="J124" s="17" t="str">
        <f ca="1">IFERROR(__xludf.DUMMYFUNCTION("""COMPUTED_VALUE"""),"")</f>
        <v/>
      </c>
      <c r="K124" s="18" t="str">
        <f ca="1">IFERROR(__xludf.DUMMYFUNCTION("""COMPUTED_VALUE"""),"")</f>
        <v/>
      </c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20"/>
      <c r="W124" s="20"/>
      <c r="X124" s="20"/>
      <c r="Y124" s="20"/>
      <c r="Z124" s="21"/>
      <c r="AA124" s="22"/>
      <c r="AB124" s="23"/>
    </row>
    <row r="125" spans="1:28" ht="13.5" customHeight="1" x14ac:dyDescent="0.35">
      <c r="A125" s="24" t="str">
        <f ca="1">IFERROR(__xludf.DUMMYFUNCTION("""COMPUTED_VALUE"""),"")</f>
        <v/>
      </c>
      <c r="B125" s="28" t="str">
        <f ca="1">IFERROR(__xludf.DUMMYFUNCTION("""COMPUTED_VALUE"""),"")</f>
        <v/>
      </c>
      <c r="C125" s="27" t="str">
        <f ca="1">IFERROR(__xludf.DUMMYFUNCTION("""COMPUTED_VALUE"""),"")</f>
        <v/>
      </c>
      <c r="D125" s="27" t="str">
        <f ca="1">IFERROR(__xludf.DUMMYFUNCTION("""COMPUTED_VALUE"""),"")</f>
        <v/>
      </c>
      <c r="E125" s="15" t="str">
        <f ca="1">IFERROR(__xludf.DUMMYFUNCTION("""COMPUTED_VALUE"""),"")</f>
        <v/>
      </c>
      <c r="F125" s="28" t="str">
        <f ca="1">IFERROR(__xludf.DUMMYFUNCTION("""COMPUTED_VALUE"""),"")</f>
        <v/>
      </c>
      <c r="G125" s="16" t="str">
        <f ca="1">IFERROR(__xludf.DUMMYFUNCTION("""COMPUTED_VALUE"""),"")</f>
        <v/>
      </c>
      <c r="H125" s="17" t="str">
        <f ca="1">IFERROR(__xludf.DUMMYFUNCTION("""COMPUTED_VALUE"""),"")</f>
        <v/>
      </c>
      <c r="I125" s="17" t="str">
        <f ca="1">IFERROR(__xludf.DUMMYFUNCTION("""COMPUTED_VALUE"""),"")</f>
        <v/>
      </c>
      <c r="J125" s="17" t="str">
        <f ca="1">IFERROR(__xludf.DUMMYFUNCTION("""COMPUTED_VALUE"""),"")</f>
        <v/>
      </c>
      <c r="K125" s="18" t="str">
        <f ca="1">IFERROR(__xludf.DUMMYFUNCTION("""COMPUTED_VALUE"""),"")</f>
        <v/>
      </c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20"/>
      <c r="W125" s="20"/>
      <c r="X125" s="20"/>
      <c r="Y125" s="20"/>
      <c r="Z125" s="21"/>
      <c r="AA125" s="22"/>
      <c r="AB125" s="23"/>
    </row>
    <row r="126" spans="1:28" ht="13.5" customHeight="1" x14ac:dyDescent="0.35">
      <c r="A126" s="24" t="str">
        <f ca="1">IFERROR(__xludf.DUMMYFUNCTION("""COMPUTED_VALUE"""),"")</f>
        <v/>
      </c>
      <c r="B126" s="28" t="str">
        <f ca="1">IFERROR(__xludf.DUMMYFUNCTION("""COMPUTED_VALUE"""),"")</f>
        <v/>
      </c>
      <c r="C126" s="27" t="str">
        <f ca="1">IFERROR(__xludf.DUMMYFUNCTION("""COMPUTED_VALUE"""),"")</f>
        <v/>
      </c>
      <c r="D126" s="27" t="str">
        <f ca="1">IFERROR(__xludf.DUMMYFUNCTION("""COMPUTED_VALUE"""),"")</f>
        <v/>
      </c>
      <c r="E126" s="15" t="str">
        <f ca="1">IFERROR(__xludf.DUMMYFUNCTION("""COMPUTED_VALUE"""),"")</f>
        <v/>
      </c>
      <c r="F126" s="28" t="str">
        <f ca="1">IFERROR(__xludf.DUMMYFUNCTION("""COMPUTED_VALUE"""),"")</f>
        <v/>
      </c>
      <c r="G126" s="16" t="str">
        <f ca="1">IFERROR(__xludf.DUMMYFUNCTION("""COMPUTED_VALUE"""),"")</f>
        <v/>
      </c>
      <c r="H126" s="17" t="str">
        <f ca="1">IFERROR(__xludf.DUMMYFUNCTION("""COMPUTED_VALUE"""),"")</f>
        <v/>
      </c>
      <c r="I126" s="17" t="str">
        <f ca="1">IFERROR(__xludf.DUMMYFUNCTION("""COMPUTED_VALUE"""),"")</f>
        <v/>
      </c>
      <c r="J126" s="17" t="str">
        <f ca="1">IFERROR(__xludf.DUMMYFUNCTION("""COMPUTED_VALUE"""),"")</f>
        <v/>
      </c>
      <c r="K126" s="18" t="str">
        <f ca="1">IFERROR(__xludf.DUMMYFUNCTION("""COMPUTED_VALUE"""),"")</f>
        <v/>
      </c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20"/>
      <c r="W126" s="20"/>
      <c r="X126" s="20"/>
      <c r="Y126" s="20"/>
      <c r="Z126" s="21"/>
      <c r="AA126" s="22"/>
      <c r="AB126" s="23"/>
    </row>
    <row r="127" spans="1:28" ht="13.5" customHeight="1" x14ac:dyDescent="0.35">
      <c r="A127" s="24" t="str">
        <f ca="1">IFERROR(__xludf.DUMMYFUNCTION("""COMPUTED_VALUE"""),"")</f>
        <v/>
      </c>
      <c r="B127" s="28" t="str">
        <f ca="1">IFERROR(__xludf.DUMMYFUNCTION("""COMPUTED_VALUE"""),"")</f>
        <v/>
      </c>
      <c r="C127" s="27" t="str">
        <f ca="1">IFERROR(__xludf.DUMMYFUNCTION("""COMPUTED_VALUE"""),"")</f>
        <v/>
      </c>
      <c r="D127" s="27" t="str">
        <f ca="1">IFERROR(__xludf.DUMMYFUNCTION("""COMPUTED_VALUE"""),"")</f>
        <v/>
      </c>
      <c r="E127" s="15" t="str">
        <f ca="1">IFERROR(__xludf.DUMMYFUNCTION("""COMPUTED_VALUE"""),"")</f>
        <v/>
      </c>
      <c r="F127" s="28" t="str">
        <f ca="1">IFERROR(__xludf.DUMMYFUNCTION("""COMPUTED_VALUE"""),"")</f>
        <v/>
      </c>
      <c r="G127" s="16" t="str">
        <f ca="1">IFERROR(__xludf.DUMMYFUNCTION("""COMPUTED_VALUE"""),"")</f>
        <v/>
      </c>
      <c r="H127" s="17" t="str">
        <f ca="1">IFERROR(__xludf.DUMMYFUNCTION("""COMPUTED_VALUE"""),"")</f>
        <v/>
      </c>
      <c r="I127" s="17" t="str">
        <f ca="1">IFERROR(__xludf.DUMMYFUNCTION("""COMPUTED_VALUE"""),"")</f>
        <v/>
      </c>
      <c r="J127" s="17" t="str">
        <f ca="1">IFERROR(__xludf.DUMMYFUNCTION("""COMPUTED_VALUE"""),"")</f>
        <v/>
      </c>
      <c r="K127" s="18" t="str">
        <f ca="1">IFERROR(__xludf.DUMMYFUNCTION("""COMPUTED_VALUE"""),"")</f>
        <v/>
      </c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20"/>
      <c r="W127" s="20"/>
      <c r="X127" s="20"/>
      <c r="Y127" s="20"/>
      <c r="Z127" s="21"/>
      <c r="AA127" s="22"/>
      <c r="AB127" s="23"/>
    </row>
    <row r="128" spans="1:28" ht="13.5" customHeight="1" x14ac:dyDescent="0.35">
      <c r="A128" s="24" t="str">
        <f ca="1">IFERROR(__xludf.DUMMYFUNCTION("""COMPUTED_VALUE"""),"")</f>
        <v/>
      </c>
      <c r="B128" s="28" t="str">
        <f ca="1">IFERROR(__xludf.DUMMYFUNCTION("""COMPUTED_VALUE"""),"")</f>
        <v/>
      </c>
      <c r="C128" s="27" t="str">
        <f ca="1">IFERROR(__xludf.DUMMYFUNCTION("""COMPUTED_VALUE"""),"")</f>
        <v/>
      </c>
      <c r="D128" s="27" t="str">
        <f ca="1">IFERROR(__xludf.DUMMYFUNCTION("""COMPUTED_VALUE"""),"")</f>
        <v/>
      </c>
      <c r="E128" s="15" t="str">
        <f ca="1">IFERROR(__xludf.DUMMYFUNCTION("""COMPUTED_VALUE"""),"")</f>
        <v/>
      </c>
      <c r="F128" s="28" t="str">
        <f ca="1">IFERROR(__xludf.DUMMYFUNCTION("""COMPUTED_VALUE"""),"")</f>
        <v/>
      </c>
      <c r="G128" s="16" t="str">
        <f ca="1">IFERROR(__xludf.DUMMYFUNCTION("""COMPUTED_VALUE"""),"")</f>
        <v/>
      </c>
      <c r="H128" s="17" t="str">
        <f ca="1">IFERROR(__xludf.DUMMYFUNCTION("""COMPUTED_VALUE"""),"")</f>
        <v/>
      </c>
      <c r="I128" s="17" t="str">
        <f ca="1">IFERROR(__xludf.DUMMYFUNCTION("""COMPUTED_VALUE"""),"")</f>
        <v/>
      </c>
      <c r="J128" s="17" t="str">
        <f ca="1">IFERROR(__xludf.DUMMYFUNCTION("""COMPUTED_VALUE"""),"")</f>
        <v/>
      </c>
      <c r="K128" s="18" t="str">
        <f ca="1">IFERROR(__xludf.DUMMYFUNCTION("""COMPUTED_VALUE"""),"")</f>
        <v/>
      </c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20"/>
      <c r="W128" s="20"/>
      <c r="X128" s="20"/>
      <c r="Y128" s="20"/>
      <c r="Z128" s="21"/>
      <c r="AA128" s="22"/>
      <c r="AB128" s="23"/>
    </row>
    <row r="129" spans="1:28" ht="13.5" customHeight="1" x14ac:dyDescent="0.35">
      <c r="A129" s="24" t="str">
        <f ca="1">IFERROR(__xludf.DUMMYFUNCTION("""COMPUTED_VALUE"""),"")</f>
        <v/>
      </c>
      <c r="B129" s="28" t="str">
        <f ca="1">IFERROR(__xludf.DUMMYFUNCTION("""COMPUTED_VALUE"""),"")</f>
        <v/>
      </c>
      <c r="C129" s="27" t="str">
        <f ca="1">IFERROR(__xludf.DUMMYFUNCTION("""COMPUTED_VALUE"""),"")</f>
        <v/>
      </c>
      <c r="D129" s="27" t="str">
        <f ca="1">IFERROR(__xludf.DUMMYFUNCTION("""COMPUTED_VALUE"""),"")</f>
        <v/>
      </c>
      <c r="E129" s="15" t="str">
        <f ca="1">IFERROR(__xludf.DUMMYFUNCTION("""COMPUTED_VALUE"""),"")</f>
        <v/>
      </c>
      <c r="F129" s="28" t="str">
        <f ca="1">IFERROR(__xludf.DUMMYFUNCTION("""COMPUTED_VALUE"""),"")</f>
        <v/>
      </c>
      <c r="G129" s="16" t="str">
        <f ca="1">IFERROR(__xludf.DUMMYFUNCTION("""COMPUTED_VALUE"""),"")</f>
        <v/>
      </c>
      <c r="H129" s="17" t="str">
        <f ca="1">IFERROR(__xludf.DUMMYFUNCTION("""COMPUTED_VALUE"""),"")</f>
        <v/>
      </c>
      <c r="I129" s="17" t="str">
        <f ca="1">IFERROR(__xludf.DUMMYFUNCTION("""COMPUTED_VALUE"""),"")</f>
        <v/>
      </c>
      <c r="J129" s="17" t="str">
        <f ca="1">IFERROR(__xludf.DUMMYFUNCTION("""COMPUTED_VALUE"""),"")</f>
        <v/>
      </c>
      <c r="K129" s="18" t="str">
        <f ca="1">IFERROR(__xludf.DUMMYFUNCTION("""COMPUTED_VALUE"""),"")</f>
        <v/>
      </c>
      <c r="L129" s="19"/>
      <c r="M129" s="19"/>
      <c r="N129" s="19"/>
      <c r="O129" s="19"/>
      <c r="P129" s="19"/>
      <c r="Q129" s="19"/>
      <c r="R129" s="19"/>
      <c r="S129" s="19"/>
      <c r="T129" s="19"/>
      <c r="U129" s="19"/>
      <c r="V129" s="20"/>
      <c r="W129" s="20"/>
      <c r="X129" s="20"/>
      <c r="Y129" s="20"/>
      <c r="Z129" s="21"/>
      <c r="AA129" s="22"/>
      <c r="AB129" s="23"/>
    </row>
    <row r="130" spans="1:28" ht="13.5" customHeight="1" x14ac:dyDescent="0.35">
      <c r="A130" s="24" t="str">
        <f ca="1">IFERROR(__xludf.DUMMYFUNCTION("""COMPUTED_VALUE"""),"")</f>
        <v/>
      </c>
      <c r="B130" s="28" t="str">
        <f ca="1">IFERROR(__xludf.DUMMYFUNCTION("""COMPUTED_VALUE"""),"")</f>
        <v/>
      </c>
      <c r="C130" s="27" t="str">
        <f ca="1">IFERROR(__xludf.DUMMYFUNCTION("""COMPUTED_VALUE"""),"")</f>
        <v/>
      </c>
      <c r="D130" s="27" t="str">
        <f ca="1">IFERROR(__xludf.DUMMYFUNCTION("""COMPUTED_VALUE"""),"")</f>
        <v/>
      </c>
      <c r="E130" s="15" t="str">
        <f ca="1">IFERROR(__xludf.DUMMYFUNCTION("""COMPUTED_VALUE"""),"")</f>
        <v/>
      </c>
      <c r="F130" s="28" t="str">
        <f ca="1">IFERROR(__xludf.DUMMYFUNCTION("""COMPUTED_VALUE"""),"")</f>
        <v/>
      </c>
      <c r="G130" s="16" t="str">
        <f ca="1">IFERROR(__xludf.DUMMYFUNCTION("""COMPUTED_VALUE"""),"")</f>
        <v/>
      </c>
      <c r="H130" s="17" t="str">
        <f ca="1">IFERROR(__xludf.DUMMYFUNCTION("""COMPUTED_VALUE"""),"")</f>
        <v/>
      </c>
      <c r="I130" s="17" t="str">
        <f ca="1">IFERROR(__xludf.DUMMYFUNCTION("""COMPUTED_VALUE"""),"")</f>
        <v/>
      </c>
      <c r="J130" s="17" t="str">
        <f ca="1">IFERROR(__xludf.DUMMYFUNCTION("""COMPUTED_VALUE"""),"")</f>
        <v/>
      </c>
      <c r="K130" s="18" t="str">
        <f ca="1">IFERROR(__xludf.DUMMYFUNCTION("""COMPUTED_VALUE"""),"")</f>
        <v/>
      </c>
      <c r="L130" s="19"/>
      <c r="M130" s="19"/>
      <c r="N130" s="19"/>
      <c r="O130" s="19"/>
      <c r="P130" s="19"/>
      <c r="Q130" s="19"/>
      <c r="R130" s="19"/>
      <c r="S130" s="19"/>
      <c r="T130" s="19"/>
      <c r="U130" s="19"/>
      <c r="V130" s="20"/>
      <c r="W130" s="20"/>
      <c r="X130" s="20"/>
      <c r="Y130" s="20"/>
      <c r="Z130" s="21"/>
      <c r="AA130" s="22"/>
      <c r="AB130" s="23"/>
    </row>
    <row r="131" spans="1:28" ht="13.5" customHeight="1" x14ac:dyDescent="0.35">
      <c r="A131" s="24" t="str">
        <f ca="1">IFERROR(__xludf.DUMMYFUNCTION("""COMPUTED_VALUE"""),"")</f>
        <v/>
      </c>
      <c r="B131" s="28" t="str">
        <f ca="1">IFERROR(__xludf.DUMMYFUNCTION("""COMPUTED_VALUE"""),"")</f>
        <v/>
      </c>
      <c r="C131" s="27" t="str">
        <f ca="1">IFERROR(__xludf.DUMMYFUNCTION("""COMPUTED_VALUE"""),"")</f>
        <v/>
      </c>
      <c r="D131" s="27" t="str">
        <f ca="1">IFERROR(__xludf.DUMMYFUNCTION("""COMPUTED_VALUE"""),"")</f>
        <v/>
      </c>
      <c r="E131" s="15" t="str">
        <f ca="1">IFERROR(__xludf.DUMMYFUNCTION("""COMPUTED_VALUE"""),"")</f>
        <v/>
      </c>
      <c r="F131" s="28" t="str">
        <f ca="1">IFERROR(__xludf.DUMMYFUNCTION("""COMPUTED_VALUE"""),"")</f>
        <v/>
      </c>
      <c r="G131" s="16" t="str">
        <f ca="1">IFERROR(__xludf.DUMMYFUNCTION("""COMPUTED_VALUE"""),"")</f>
        <v/>
      </c>
      <c r="H131" s="17" t="str">
        <f ca="1">IFERROR(__xludf.DUMMYFUNCTION("""COMPUTED_VALUE"""),"")</f>
        <v/>
      </c>
      <c r="I131" s="17" t="str">
        <f ca="1">IFERROR(__xludf.DUMMYFUNCTION("""COMPUTED_VALUE"""),"")</f>
        <v/>
      </c>
      <c r="J131" s="17" t="str">
        <f ca="1">IFERROR(__xludf.DUMMYFUNCTION("""COMPUTED_VALUE"""),"")</f>
        <v/>
      </c>
      <c r="K131" s="18" t="str">
        <f ca="1">IFERROR(__xludf.DUMMYFUNCTION("""COMPUTED_VALUE"""),"")</f>
        <v/>
      </c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20"/>
      <c r="W131" s="20"/>
      <c r="X131" s="20"/>
      <c r="Y131" s="20"/>
      <c r="Z131" s="21"/>
      <c r="AA131" s="22"/>
      <c r="AB131" s="23"/>
    </row>
    <row r="132" spans="1:28" ht="13.5" customHeight="1" x14ac:dyDescent="0.35">
      <c r="A132" s="24" t="str">
        <f ca="1">IFERROR(__xludf.DUMMYFUNCTION("""COMPUTED_VALUE"""),"")</f>
        <v/>
      </c>
      <c r="B132" s="28" t="str">
        <f ca="1">IFERROR(__xludf.DUMMYFUNCTION("""COMPUTED_VALUE"""),"")</f>
        <v/>
      </c>
      <c r="C132" s="27" t="str">
        <f ca="1">IFERROR(__xludf.DUMMYFUNCTION("""COMPUTED_VALUE"""),"")</f>
        <v/>
      </c>
      <c r="D132" s="27" t="str">
        <f ca="1">IFERROR(__xludf.DUMMYFUNCTION("""COMPUTED_VALUE"""),"")</f>
        <v/>
      </c>
      <c r="E132" s="15" t="str">
        <f ca="1">IFERROR(__xludf.DUMMYFUNCTION("""COMPUTED_VALUE"""),"")</f>
        <v/>
      </c>
      <c r="F132" s="28" t="str">
        <f ca="1">IFERROR(__xludf.DUMMYFUNCTION("""COMPUTED_VALUE"""),"")</f>
        <v/>
      </c>
      <c r="G132" s="16" t="str">
        <f ca="1">IFERROR(__xludf.DUMMYFUNCTION("""COMPUTED_VALUE"""),"")</f>
        <v/>
      </c>
      <c r="H132" s="17" t="str">
        <f ca="1">IFERROR(__xludf.DUMMYFUNCTION("""COMPUTED_VALUE"""),"")</f>
        <v/>
      </c>
      <c r="I132" s="17" t="str">
        <f ca="1">IFERROR(__xludf.DUMMYFUNCTION("""COMPUTED_VALUE"""),"")</f>
        <v/>
      </c>
      <c r="J132" s="17" t="str">
        <f ca="1">IFERROR(__xludf.DUMMYFUNCTION("""COMPUTED_VALUE"""),"")</f>
        <v/>
      </c>
      <c r="K132" s="18" t="str">
        <f ca="1">IFERROR(__xludf.DUMMYFUNCTION("""COMPUTED_VALUE"""),"")</f>
        <v/>
      </c>
      <c r="L132" s="19"/>
      <c r="M132" s="19"/>
      <c r="N132" s="19"/>
      <c r="O132" s="19"/>
      <c r="P132" s="19"/>
      <c r="Q132" s="19"/>
      <c r="R132" s="19"/>
      <c r="S132" s="19"/>
      <c r="T132" s="19"/>
      <c r="U132" s="19"/>
      <c r="V132" s="20"/>
      <c r="W132" s="20"/>
      <c r="X132" s="20"/>
      <c r="Y132" s="20"/>
      <c r="Z132" s="21"/>
      <c r="AA132" s="22"/>
      <c r="AB132" s="23"/>
    </row>
    <row r="133" spans="1:28" ht="13.5" customHeight="1" x14ac:dyDescent="0.35">
      <c r="A133" s="24" t="str">
        <f ca="1">IFERROR(__xludf.DUMMYFUNCTION("""COMPUTED_VALUE"""),"")</f>
        <v/>
      </c>
      <c r="B133" s="28" t="str">
        <f ca="1">IFERROR(__xludf.DUMMYFUNCTION("""COMPUTED_VALUE"""),"")</f>
        <v/>
      </c>
      <c r="C133" s="27" t="str">
        <f ca="1">IFERROR(__xludf.DUMMYFUNCTION("""COMPUTED_VALUE"""),"")</f>
        <v/>
      </c>
      <c r="D133" s="27" t="str">
        <f ca="1">IFERROR(__xludf.DUMMYFUNCTION("""COMPUTED_VALUE"""),"")</f>
        <v/>
      </c>
      <c r="E133" s="15" t="str">
        <f ca="1">IFERROR(__xludf.DUMMYFUNCTION("""COMPUTED_VALUE"""),"")</f>
        <v/>
      </c>
      <c r="F133" s="28" t="str">
        <f ca="1">IFERROR(__xludf.DUMMYFUNCTION("""COMPUTED_VALUE"""),"")</f>
        <v/>
      </c>
      <c r="G133" s="16" t="str">
        <f ca="1">IFERROR(__xludf.DUMMYFUNCTION("""COMPUTED_VALUE"""),"")</f>
        <v/>
      </c>
      <c r="H133" s="17" t="str">
        <f ca="1">IFERROR(__xludf.DUMMYFUNCTION("""COMPUTED_VALUE"""),"")</f>
        <v/>
      </c>
      <c r="I133" s="17" t="str">
        <f ca="1">IFERROR(__xludf.DUMMYFUNCTION("""COMPUTED_VALUE"""),"")</f>
        <v/>
      </c>
      <c r="J133" s="17" t="str">
        <f ca="1">IFERROR(__xludf.DUMMYFUNCTION("""COMPUTED_VALUE"""),"")</f>
        <v/>
      </c>
      <c r="K133" s="18" t="str">
        <f ca="1">IFERROR(__xludf.DUMMYFUNCTION("""COMPUTED_VALUE"""),"")</f>
        <v/>
      </c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20"/>
      <c r="W133" s="20"/>
      <c r="X133" s="20"/>
      <c r="Y133" s="20"/>
      <c r="Z133" s="21"/>
      <c r="AA133" s="22"/>
      <c r="AB133" s="23"/>
    </row>
    <row r="134" spans="1:28" ht="13.5" customHeight="1" x14ac:dyDescent="0.35">
      <c r="A134" s="24" t="str">
        <f ca="1">IFERROR(__xludf.DUMMYFUNCTION("""COMPUTED_VALUE"""),"")</f>
        <v/>
      </c>
      <c r="B134" s="28" t="str">
        <f ca="1">IFERROR(__xludf.DUMMYFUNCTION("""COMPUTED_VALUE"""),"")</f>
        <v/>
      </c>
      <c r="C134" s="27" t="str">
        <f ca="1">IFERROR(__xludf.DUMMYFUNCTION("""COMPUTED_VALUE"""),"")</f>
        <v/>
      </c>
      <c r="D134" s="27" t="str">
        <f ca="1">IFERROR(__xludf.DUMMYFUNCTION("""COMPUTED_VALUE"""),"")</f>
        <v/>
      </c>
      <c r="E134" s="15" t="str">
        <f ca="1">IFERROR(__xludf.DUMMYFUNCTION("""COMPUTED_VALUE"""),"")</f>
        <v/>
      </c>
      <c r="F134" s="28" t="str">
        <f ca="1">IFERROR(__xludf.DUMMYFUNCTION("""COMPUTED_VALUE"""),"")</f>
        <v/>
      </c>
      <c r="G134" s="16" t="str">
        <f ca="1">IFERROR(__xludf.DUMMYFUNCTION("""COMPUTED_VALUE"""),"")</f>
        <v/>
      </c>
      <c r="H134" s="17" t="str">
        <f ca="1">IFERROR(__xludf.DUMMYFUNCTION("""COMPUTED_VALUE"""),"")</f>
        <v/>
      </c>
      <c r="I134" s="17" t="str">
        <f ca="1">IFERROR(__xludf.DUMMYFUNCTION("""COMPUTED_VALUE"""),"")</f>
        <v/>
      </c>
      <c r="J134" s="17" t="str">
        <f ca="1">IFERROR(__xludf.DUMMYFUNCTION("""COMPUTED_VALUE"""),"")</f>
        <v/>
      </c>
      <c r="K134" s="18" t="str">
        <f ca="1">IFERROR(__xludf.DUMMYFUNCTION("""COMPUTED_VALUE"""),"")</f>
        <v/>
      </c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20"/>
      <c r="W134" s="20"/>
      <c r="X134" s="20"/>
      <c r="Y134" s="20"/>
      <c r="Z134" s="21"/>
      <c r="AA134" s="22"/>
      <c r="AB134" s="23"/>
    </row>
    <row r="135" spans="1:28" ht="13.5" customHeight="1" x14ac:dyDescent="0.35">
      <c r="A135" s="24" t="str">
        <f ca="1">IFERROR(__xludf.DUMMYFUNCTION("""COMPUTED_VALUE"""),"")</f>
        <v/>
      </c>
      <c r="B135" s="28" t="str">
        <f ca="1">IFERROR(__xludf.DUMMYFUNCTION("""COMPUTED_VALUE"""),"")</f>
        <v/>
      </c>
      <c r="C135" s="27" t="str">
        <f ca="1">IFERROR(__xludf.DUMMYFUNCTION("""COMPUTED_VALUE"""),"")</f>
        <v/>
      </c>
      <c r="D135" s="27" t="str">
        <f ca="1">IFERROR(__xludf.DUMMYFUNCTION("""COMPUTED_VALUE"""),"")</f>
        <v/>
      </c>
      <c r="E135" s="15" t="str">
        <f ca="1">IFERROR(__xludf.DUMMYFUNCTION("""COMPUTED_VALUE"""),"")</f>
        <v/>
      </c>
      <c r="F135" s="28" t="str">
        <f ca="1">IFERROR(__xludf.DUMMYFUNCTION("""COMPUTED_VALUE"""),"")</f>
        <v/>
      </c>
      <c r="G135" s="16" t="str">
        <f ca="1">IFERROR(__xludf.DUMMYFUNCTION("""COMPUTED_VALUE"""),"")</f>
        <v/>
      </c>
      <c r="H135" s="17" t="str">
        <f ca="1">IFERROR(__xludf.DUMMYFUNCTION("""COMPUTED_VALUE"""),"")</f>
        <v/>
      </c>
      <c r="I135" s="17" t="str">
        <f ca="1">IFERROR(__xludf.DUMMYFUNCTION("""COMPUTED_VALUE"""),"")</f>
        <v/>
      </c>
      <c r="J135" s="17" t="str">
        <f ca="1">IFERROR(__xludf.DUMMYFUNCTION("""COMPUTED_VALUE"""),"")</f>
        <v/>
      </c>
      <c r="K135" s="18" t="str">
        <f ca="1">IFERROR(__xludf.DUMMYFUNCTION("""COMPUTED_VALUE"""),"")</f>
        <v/>
      </c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20"/>
      <c r="W135" s="20"/>
      <c r="X135" s="20"/>
      <c r="Y135" s="20"/>
      <c r="Z135" s="21"/>
      <c r="AA135" s="22"/>
      <c r="AB135" s="23"/>
    </row>
    <row r="136" spans="1:28" ht="13.5" customHeight="1" x14ac:dyDescent="0.35">
      <c r="A136" s="24" t="str">
        <f ca="1">IFERROR(__xludf.DUMMYFUNCTION("""COMPUTED_VALUE"""),"")</f>
        <v/>
      </c>
      <c r="B136" s="28" t="str">
        <f ca="1">IFERROR(__xludf.DUMMYFUNCTION("""COMPUTED_VALUE"""),"")</f>
        <v/>
      </c>
      <c r="C136" s="27" t="str">
        <f ca="1">IFERROR(__xludf.DUMMYFUNCTION("""COMPUTED_VALUE"""),"")</f>
        <v/>
      </c>
      <c r="D136" s="27" t="str">
        <f ca="1">IFERROR(__xludf.DUMMYFUNCTION("""COMPUTED_VALUE"""),"")</f>
        <v/>
      </c>
      <c r="E136" s="15" t="str">
        <f ca="1">IFERROR(__xludf.DUMMYFUNCTION("""COMPUTED_VALUE"""),"")</f>
        <v/>
      </c>
      <c r="F136" s="28" t="str">
        <f ca="1">IFERROR(__xludf.DUMMYFUNCTION("""COMPUTED_VALUE"""),"")</f>
        <v/>
      </c>
      <c r="G136" s="16" t="str">
        <f ca="1">IFERROR(__xludf.DUMMYFUNCTION("""COMPUTED_VALUE"""),"")</f>
        <v/>
      </c>
      <c r="H136" s="17" t="str">
        <f ca="1">IFERROR(__xludf.DUMMYFUNCTION("""COMPUTED_VALUE"""),"")</f>
        <v/>
      </c>
      <c r="I136" s="17" t="str">
        <f ca="1">IFERROR(__xludf.DUMMYFUNCTION("""COMPUTED_VALUE"""),"")</f>
        <v/>
      </c>
      <c r="J136" s="17" t="str">
        <f ca="1">IFERROR(__xludf.DUMMYFUNCTION("""COMPUTED_VALUE"""),"")</f>
        <v/>
      </c>
      <c r="K136" s="18" t="str">
        <f ca="1">IFERROR(__xludf.DUMMYFUNCTION("""COMPUTED_VALUE"""),"")</f>
        <v/>
      </c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20"/>
      <c r="W136" s="20"/>
      <c r="X136" s="20"/>
      <c r="Y136" s="20"/>
      <c r="Z136" s="21"/>
      <c r="AA136" s="22"/>
      <c r="AB136" s="23"/>
    </row>
    <row r="137" spans="1:28" ht="13.5" customHeight="1" x14ac:dyDescent="0.35">
      <c r="A137" s="24" t="str">
        <f ca="1">IFERROR(__xludf.DUMMYFUNCTION("""COMPUTED_VALUE"""),"")</f>
        <v/>
      </c>
      <c r="B137" s="28" t="str">
        <f ca="1">IFERROR(__xludf.DUMMYFUNCTION("""COMPUTED_VALUE"""),"")</f>
        <v/>
      </c>
      <c r="C137" s="27" t="str">
        <f ca="1">IFERROR(__xludf.DUMMYFUNCTION("""COMPUTED_VALUE"""),"")</f>
        <v/>
      </c>
      <c r="D137" s="27" t="str">
        <f ca="1">IFERROR(__xludf.DUMMYFUNCTION("""COMPUTED_VALUE"""),"")</f>
        <v/>
      </c>
      <c r="E137" s="15" t="str">
        <f ca="1">IFERROR(__xludf.DUMMYFUNCTION("""COMPUTED_VALUE"""),"")</f>
        <v/>
      </c>
      <c r="F137" s="28" t="str">
        <f ca="1">IFERROR(__xludf.DUMMYFUNCTION("""COMPUTED_VALUE"""),"")</f>
        <v/>
      </c>
      <c r="G137" s="16" t="str">
        <f ca="1">IFERROR(__xludf.DUMMYFUNCTION("""COMPUTED_VALUE"""),"")</f>
        <v/>
      </c>
      <c r="H137" s="17" t="str">
        <f ca="1">IFERROR(__xludf.DUMMYFUNCTION("""COMPUTED_VALUE"""),"")</f>
        <v/>
      </c>
      <c r="I137" s="17" t="str">
        <f ca="1">IFERROR(__xludf.DUMMYFUNCTION("""COMPUTED_VALUE"""),"")</f>
        <v/>
      </c>
      <c r="J137" s="17" t="str">
        <f ca="1">IFERROR(__xludf.DUMMYFUNCTION("""COMPUTED_VALUE"""),"")</f>
        <v/>
      </c>
      <c r="K137" s="18" t="str">
        <f ca="1">IFERROR(__xludf.DUMMYFUNCTION("""COMPUTED_VALUE"""),"")</f>
        <v/>
      </c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20"/>
      <c r="W137" s="20"/>
      <c r="X137" s="20"/>
      <c r="Y137" s="20"/>
      <c r="Z137" s="21"/>
      <c r="AA137" s="22"/>
      <c r="AB137" s="23"/>
    </row>
    <row r="138" spans="1:28" ht="13.5" customHeight="1" x14ac:dyDescent="0.35">
      <c r="A138" s="24" t="str">
        <f ca="1">IFERROR(__xludf.DUMMYFUNCTION("""COMPUTED_VALUE"""),"")</f>
        <v/>
      </c>
      <c r="B138" s="28" t="str">
        <f ca="1">IFERROR(__xludf.DUMMYFUNCTION("""COMPUTED_VALUE"""),"")</f>
        <v/>
      </c>
      <c r="C138" s="27" t="str">
        <f ca="1">IFERROR(__xludf.DUMMYFUNCTION("""COMPUTED_VALUE"""),"")</f>
        <v/>
      </c>
      <c r="D138" s="27" t="str">
        <f ca="1">IFERROR(__xludf.DUMMYFUNCTION("""COMPUTED_VALUE"""),"")</f>
        <v/>
      </c>
      <c r="E138" s="15" t="str">
        <f ca="1">IFERROR(__xludf.DUMMYFUNCTION("""COMPUTED_VALUE"""),"")</f>
        <v/>
      </c>
      <c r="F138" s="28" t="str">
        <f ca="1">IFERROR(__xludf.DUMMYFUNCTION("""COMPUTED_VALUE"""),"")</f>
        <v/>
      </c>
      <c r="G138" s="16" t="str">
        <f ca="1">IFERROR(__xludf.DUMMYFUNCTION("""COMPUTED_VALUE"""),"")</f>
        <v/>
      </c>
      <c r="H138" s="17" t="str">
        <f ca="1">IFERROR(__xludf.DUMMYFUNCTION("""COMPUTED_VALUE"""),"")</f>
        <v/>
      </c>
      <c r="I138" s="17" t="str">
        <f ca="1">IFERROR(__xludf.DUMMYFUNCTION("""COMPUTED_VALUE"""),"")</f>
        <v/>
      </c>
      <c r="J138" s="17" t="str">
        <f ca="1">IFERROR(__xludf.DUMMYFUNCTION("""COMPUTED_VALUE"""),"")</f>
        <v/>
      </c>
      <c r="K138" s="18" t="str">
        <f ca="1">IFERROR(__xludf.DUMMYFUNCTION("""COMPUTED_VALUE"""),"")</f>
        <v/>
      </c>
      <c r="L138" s="19"/>
      <c r="M138" s="19"/>
      <c r="N138" s="19"/>
      <c r="O138" s="19"/>
      <c r="P138" s="19"/>
      <c r="Q138" s="19"/>
      <c r="R138" s="19"/>
      <c r="S138" s="19"/>
      <c r="T138" s="19"/>
      <c r="U138" s="19"/>
      <c r="V138" s="20"/>
      <c r="W138" s="20"/>
      <c r="X138" s="20"/>
      <c r="Y138" s="20"/>
      <c r="Z138" s="21"/>
      <c r="AA138" s="22"/>
      <c r="AB138" s="23"/>
    </row>
    <row r="139" spans="1:28" ht="13.5" customHeight="1" x14ac:dyDescent="0.35">
      <c r="A139" s="24" t="str">
        <f ca="1">IFERROR(__xludf.DUMMYFUNCTION("""COMPUTED_VALUE"""),"")</f>
        <v/>
      </c>
      <c r="B139" s="28" t="str">
        <f ca="1">IFERROR(__xludf.DUMMYFUNCTION("""COMPUTED_VALUE"""),"")</f>
        <v/>
      </c>
      <c r="C139" s="27" t="str">
        <f ca="1">IFERROR(__xludf.DUMMYFUNCTION("""COMPUTED_VALUE"""),"")</f>
        <v/>
      </c>
      <c r="D139" s="27" t="str">
        <f ca="1">IFERROR(__xludf.DUMMYFUNCTION("""COMPUTED_VALUE"""),"")</f>
        <v/>
      </c>
      <c r="E139" s="15" t="str">
        <f ca="1">IFERROR(__xludf.DUMMYFUNCTION("""COMPUTED_VALUE"""),"")</f>
        <v/>
      </c>
      <c r="F139" s="28" t="str">
        <f ca="1">IFERROR(__xludf.DUMMYFUNCTION("""COMPUTED_VALUE"""),"")</f>
        <v/>
      </c>
      <c r="G139" s="16" t="str">
        <f ca="1">IFERROR(__xludf.DUMMYFUNCTION("""COMPUTED_VALUE"""),"")</f>
        <v/>
      </c>
      <c r="H139" s="17" t="str">
        <f ca="1">IFERROR(__xludf.DUMMYFUNCTION("""COMPUTED_VALUE"""),"")</f>
        <v/>
      </c>
      <c r="I139" s="17" t="str">
        <f ca="1">IFERROR(__xludf.DUMMYFUNCTION("""COMPUTED_VALUE"""),"")</f>
        <v/>
      </c>
      <c r="J139" s="17" t="str">
        <f ca="1">IFERROR(__xludf.DUMMYFUNCTION("""COMPUTED_VALUE"""),"")</f>
        <v/>
      </c>
      <c r="K139" s="18" t="str">
        <f ca="1">IFERROR(__xludf.DUMMYFUNCTION("""COMPUTED_VALUE"""),"")</f>
        <v/>
      </c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20"/>
      <c r="W139" s="20"/>
      <c r="X139" s="20"/>
      <c r="Y139" s="20"/>
      <c r="Z139" s="21"/>
      <c r="AA139" s="22"/>
      <c r="AB139" s="23"/>
    </row>
    <row r="140" spans="1:28" ht="13.5" customHeight="1" x14ac:dyDescent="0.35">
      <c r="A140" s="24" t="str">
        <f ca="1">IFERROR(__xludf.DUMMYFUNCTION("""COMPUTED_VALUE"""),"")</f>
        <v/>
      </c>
      <c r="B140" s="28" t="str">
        <f ca="1">IFERROR(__xludf.DUMMYFUNCTION("""COMPUTED_VALUE"""),"")</f>
        <v/>
      </c>
      <c r="C140" s="27" t="str">
        <f ca="1">IFERROR(__xludf.DUMMYFUNCTION("""COMPUTED_VALUE"""),"")</f>
        <v/>
      </c>
      <c r="D140" s="27" t="str">
        <f ca="1">IFERROR(__xludf.DUMMYFUNCTION("""COMPUTED_VALUE"""),"")</f>
        <v/>
      </c>
      <c r="E140" s="15" t="str">
        <f ca="1">IFERROR(__xludf.DUMMYFUNCTION("""COMPUTED_VALUE"""),"")</f>
        <v/>
      </c>
      <c r="F140" s="28" t="str">
        <f ca="1">IFERROR(__xludf.DUMMYFUNCTION("""COMPUTED_VALUE"""),"")</f>
        <v/>
      </c>
      <c r="G140" s="16" t="str">
        <f ca="1">IFERROR(__xludf.DUMMYFUNCTION("""COMPUTED_VALUE"""),"")</f>
        <v/>
      </c>
      <c r="H140" s="17" t="str">
        <f ca="1">IFERROR(__xludf.DUMMYFUNCTION("""COMPUTED_VALUE"""),"")</f>
        <v/>
      </c>
      <c r="I140" s="17" t="str">
        <f ca="1">IFERROR(__xludf.DUMMYFUNCTION("""COMPUTED_VALUE"""),"")</f>
        <v/>
      </c>
      <c r="J140" s="17" t="str">
        <f ca="1">IFERROR(__xludf.DUMMYFUNCTION("""COMPUTED_VALUE"""),"")</f>
        <v/>
      </c>
      <c r="K140" s="18" t="str">
        <f ca="1">IFERROR(__xludf.DUMMYFUNCTION("""COMPUTED_VALUE"""),"")</f>
        <v/>
      </c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20"/>
      <c r="W140" s="20"/>
      <c r="X140" s="20"/>
      <c r="Y140" s="20"/>
      <c r="Z140" s="21"/>
      <c r="AA140" s="22"/>
      <c r="AB140" s="23"/>
    </row>
    <row r="141" spans="1:28" ht="13.5" customHeight="1" x14ac:dyDescent="0.35">
      <c r="A141" s="24" t="str">
        <f ca="1">IFERROR(__xludf.DUMMYFUNCTION("""COMPUTED_VALUE"""),"")</f>
        <v/>
      </c>
      <c r="B141" s="28" t="str">
        <f ca="1">IFERROR(__xludf.DUMMYFUNCTION("""COMPUTED_VALUE"""),"")</f>
        <v/>
      </c>
      <c r="C141" s="27" t="str">
        <f ca="1">IFERROR(__xludf.DUMMYFUNCTION("""COMPUTED_VALUE"""),"")</f>
        <v/>
      </c>
      <c r="D141" s="27" t="str">
        <f ca="1">IFERROR(__xludf.DUMMYFUNCTION("""COMPUTED_VALUE"""),"")</f>
        <v/>
      </c>
      <c r="E141" s="15" t="str">
        <f ca="1">IFERROR(__xludf.DUMMYFUNCTION("""COMPUTED_VALUE"""),"")</f>
        <v/>
      </c>
      <c r="F141" s="28" t="str">
        <f ca="1">IFERROR(__xludf.DUMMYFUNCTION("""COMPUTED_VALUE"""),"")</f>
        <v/>
      </c>
      <c r="G141" s="16" t="str">
        <f ca="1">IFERROR(__xludf.DUMMYFUNCTION("""COMPUTED_VALUE"""),"")</f>
        <v/>
      </c>
      <c r="H141" s="17" t="str">
        <f ca="1">IFERROR(__xludf.DUMMYFUNCTION("""COMPUTED_VALUE"""),"")</f>
        <v/>
      </c>
      <c r="I141" s="17" t="str">
        <f ca="1">IFERROR(__xludf.DUMMYFUNCTION("""COMPUTED_VALUE"""),"")</f>
        <v/>
      </c>
      <c r="J141" s="17" t="str">
        <f ca="1">IFERROR(__xludf.DUMMYFUNCTION("""COMPUTED_VALUE"""),"")</f>
        <v/>
      </c>
      <c r="K141" s="18" t="str">
        <f ca="1">IFERROR(__xludf.DUMMYFUNCTION("""COMPUTED_VALUE"""),"")</f>
        <v/>
      </c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20"/>
      <c r="W141" s="20"/>
      <c r="X141" s="20"/>
      <c r="Y141" s="20"/>
      <c r="Z141" s="21"/>
      <c r="AA141" s="22"/>
      <c r="AB141" s="23"/>
    </row>
    <row r="142" spans="1:28" ht="13.5" customHeight="1" x14ac:dyDescent="0.35">
      <c r="A142" s="24" t="str">
        <f ca="1">IFERROR(__xludf.DUMMYFUNCTION("""COMPUTED_VALUE"""),"")</f>
        <v/>
      </c>
      <c r="B142" s="28" t="str">
        <f ca="1">IFERROR(__xludf.DUMMYFUNCTION("""COMPUTED_VALUE"""),"")</f>
        <v/>
      </c>
      <c r="C142" s="27" t="str">
        <f ca="1">IFERROR(__xludf.DUMMYFUNCTION("""COMPUTED_VALUE"""),"")</f>
        <v/>
      </c>
      <c r="D142" s="27" t="str">
        <f ca="1">IFERROR(__xludf.DUMMYFUNCTION("""COMPUTED_VALUE"""),"")</f>
        <v/>
      </c>
      <c r="E142" s="15" t="str">
        <f ca="1">IFERROR(__xludf.DUMMYFUNCTION("""COMPUTED_VALUE"""),"")</f>
        <v/>
      </c>
      <c r="F142" s="28" t="str">
        <f ca="1">IFERROR(__xludf.DUMMYFUNCTION("""COMPUTED_VALUE"""),"")</f>
        <v/>
      </c>
      <c r="G142" s="16" t="str">
        <f ca="1">IFERROR(__xludf.DUMMYFUNCTION("""COMPUTED_VALUE"""),"")</f>
        <v/>
      </c>
      <c r="H142" s="17" t="str">
        <f ca="1">IFERROR(__xludf.DUMMYFUNCTION("""COMPUTED_VALUE"""),"")</f>
        <v/>
      </c>
      <c r="I142" s="17" t="str">
        <f ca="1">IFERROR(__xludf.DUMMYFUNCTION("""COMPUTED_VALUE"""),"")</f>
        <v/>
      </c>
      <c r="J142" s="17" t="str">
        <f ca="1">IFERROR(__xludf.DUMMYFUNCTION("""COMPUTED_VALUE"""),"")</f>
        <v/>
      </c>
      <c r="K142" s="18" t="str">
        <f ca="1">IFERROR(__xludf.DUMMYFUNCTION("""COMPUTED_VALUE"""),"")</f>
        <v/>
      </c>
      <c r="L142" s="19"/>
      <c r="M142" s="19"/>
      <c r="N142" s="19"/>
      <c r="O142" s="19"/>
      <c r="P142" s="19"/>
      <c r="Q142" s="19"/>
      <c r="R142" s="19"/>
      <c r="S142" s="19"/>
      <c r="T142" s="19"/>
      <c r="U142" s="19"/>
      <c r="V142" s="20"/>
      <c r="W142" s="20"/>
      <c r="X142" s="20"/>
      <c r="Y142" s="20"/>
      <c r="Z142" s="21"/>
      <c r="AA142" s="22"/>
      <c r="AB142" s="23"/>
    </row>
    <row r="143" spans="1:28" ht="13.5" customHeight="1" x14ac:dyDescent="0.35">
      <c r="A143" s="24" t="str">
        <f ca="1">IFERROR(__xludf.DUMMYFUNCTION("""COMPUTED_VALUE"""),"")</f>
        <v/>
      </c>
      <c r="B143" s="28" t="str">
        <f ca="1">IFERROR(__xludf.DUMMYFUNCTION("""COMPUTED_VALUE"""),"")</f>
        <v/>
      </c>
      <c r="C143" s="27" t="str">
        <f ca="1">IFERROR(__xludf.DUMMYFUNCTION("""COMPUTED_VALUE"""),"")</f>
        <v/>
      </c>
      <c r="D143" s="27" t="str">
        <f ca="1">IFERROR(__xludf.DUMMYFUNCTION("""COMPUTED_VALUE"""),"")</f>
        <v/>
      </c>
      <c r="E143" s="15" t="str">
        <f ca="1">IFERROR(__xludf.DUMMYFUNCTION("""COMPUTED_VALUE"""),"")</f>
        <v/>
      </c>
      <c r="F143" s="28" t="str">
        <f ca="1">IFERROR(__xludf.DUMMYFUNCTION("""COMPUTED_VALUE"""),"")</f>
        <v/>
      </c>
      <c r="G143" s="16" t="str">
        <f ca="1">IFERROR(__xludf.DUMMYFUNCTION("""COMPUTED_VALUE"""),"")</f>
        <v/>
      </c>
      <c r="H143" s="17" t="str">
        <f ca="1">IFERROR(__xludf.DUMMYFUNCTION("""COMPUTED_VALUE"""),"")</f>
        <v/>
      </c>
      <c r="I143" s="17" t="str">
        <f ca="1">IFERROR(__xludf.DUMMYFUNCTION("""COMPUTED_VALUE"""),"")</f>
        <v/>
      </c>
      <c r="J143" s="17" t="str">
        <f ca="1">IFERROR(__xludf.DUMMYFUNCTION("""COMPUTED_VALUE"""),"")</f>
        <v/>
      </c>
      <c r="K143" s="18" t="str">
        <f ca="1">IFERROR(__xludf.DUMMYFUNCTION("""COMPUTED_VALUE"""),"")</f>
        <v/>
      </c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20"/>
      <c r="W143" s="20"/>
      <c r="X143" s="20"/>
      <c r="Y143" s="20"/>
      <c r="Z143" s="21"/>
      <c r="AA143" s="22"/>
      <c r="AB143" s="23"/>
    </row>
    <row r="144" spans="1:28" ht="13.5" customHeight="1" x14ac:dyDescent="0.35">
      <c r="A144" s="24" t="str">
        <f ca="1">IFERROR(__xludf.DUMMYFUNCTION("""COMPUTED_VALUE"""),"")</f>
        <v/>
      </c>
      <c r="B144" s="28" t="str">
        <f ca="1">IFERROR(__xludf.DUMMYFUNCTION("""COMPUTED_VALUE"""),"")</f>
        <v/>
      </c>
      <c r="C144" s="27" t="str">
        <f ca="1">IFERROR(__xludf.DUMMYFUNCTION("""COMPUTED_VALUE"""),"")</f>
        <v/>
      </c>
      <c r="D144" s="27" t="str">
        <f ca="1">IFERROR(__xludf.DUMMYFUNCTION("""COMPUTED_VALUE"""),"")</f>
        <v/>
      </c>
      <c r="E144" s="15" t="str">
        <f ca="1">IFERROR(__xludf.DUMMYFUNCTION("""COMPUTED_VALUE"""),"")</f>
        <v/>
      </c>
      <c r="F144" s="28" t="str">
        <f ca="1">IFERROR(__xludf.DUMMYFUNCTION("""COMPUTED_VALUE"""),"")</f>
        <v/>
      </c>
      <c r="G144" s="16" t="str">
        <f ca="1">IFERROR(__xludf.DUMMYFUNCTION("""COMPUTED_VALUE"""),"")</f>
        <v/>
      </c>
      <c r="H144" s="17" t="str">
        <f ca="1">IFERROR(__xludf.DUMMYFUNCTION("""COMPUTED_VALUE"""),"")</f>
        <v/>
      </c>
      <c r="I144" s="17" t="str">
        <f ca="1">IFERROR(__xludf.DUMMYFUNCTION("""COMPUTED_VALUE"""),"")</f>
        <v/>
      </c>
      <c r="J144" s="17" t="str">
        <f ca="1">IFERROR(__xludf.DUMMYFUNCTION("""COMPUTED_VALUE"""),"")</f>
        <v/>
      </c>
      <c r="K144" s="18" t="str">
        <f ca="1">IFERROR(__xludf.DUMMYFUNCTION("""COMPUTED_VALUE"""),"")</f>
        <v/>
      </c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20"/>
      <c r="W144" s="20"/>
      <c r="X144" s="20"/>
      <c r="Y144" s="20"/>
      <c r="Z144" s="21"/>
      <c r="AA144" s="22"/>
      <c r="AB144" s="23"/>
    </row>
    <row r="145" spans="1:28" ht="13.5" customHeight="1" x14ac:dyDescent="0.35">
      <c r="A145" s="24" t="str">
        <f ca="1">IFERROR(__xludf.DUMMYFUNCTION("""COMPUTED_VALUE"""),"")</f>
        <v/>
      </c>
      <c r="B145" s="28" t="str">
        <f ca="1">IFERROR(__xludf.DUMMYFUNCTION("""COMPUTED_VALUE"""),"")</f>
        <v/>
      </c>
      <c r="C145" s="27" t="str">
        <f ca="1">IFERROR(__xludf.DUMMYFUNCTION("""COMPUTED_VALUE"""),"")</f>
        <v/>
      </c>
      <c r="D145" s="27" t="str">
        <f ca="1">IFERROR(__xludf.DUMMYFUNCTION("""COMPUTED_VALUE"""),"")</f>
        <v/>
      </c>
      <c r="E145" s="15" t="str">
        <f ca="1">IFERROR(__xludf.DUMMYFUNCTION("""COMPUTED_VALUE"""),"")</f>
        <v/>
      </c>
      <c r="F145" s="28" t="str">
        <f ca="1">IFERROR(__xludf.DUMMYFUNCTION("""COMPUTED_VALUE"""),"")</f>
        <v/>
      </c>
      <c r="G145" s="16" t="str">
        <f ca="1">IFERROR(__xludf.DUMMYFUNCTION("""COMPUTED_VALUE"""),"")</f>
        <v/>
      </c>
      <c r="H145" s="17" t="str">
        <f ca="1">IFERROR(__xludf.DUMMYFUNCTION("""COMPUTED_VALUE"""),"")</f>
        <v/>
      </c>
      <c r="I145" s="17" t="str">
        <f ca="1">IFERROR(__xludf.DUMMYFUNCTION("""COMPUTED_VALUE"""),"")</f>
        <v/>
      </c>
      <c r="J145" s="17" t="str">
        <f ca="1">IFERROR(__xludf.DUMMYFUNCTION("""COMPUTED_VALUE"""),"")</f>
        <v/>
      </c>
      <c r="K145" s="18" t="str">
        <f ca="1">IFERROR(__xludf.DUMMYFUNCTION("""COMPUTED_VALUE"""),"")</f>
        <v/>
      </c>
      <c r="L145" s="19"/>
      <c r="M145" s="19"/>
      <c r="N145" s="19"/>
      <c r="O145" s="19"/>
      <c r="P145" s="19"/>
      <c r="Q145" s="19"/>
      <c r="R145" s="19"/>
      <c r="S145" s="19"/>
      <c r="T145" s="19"/>
      <c r="U145" s="19"/>
      <c r="V145" s="20"/>
      <c r="W145" s="20"/>
      <c r="X145" s="20"/>
      <c r="Y145" s="20"/>
      <c r="Z145" s="21"/>
      <c r="AA145" s="22"/>
      <c r="AB145" s="23"/>
    </row>
    <row r="146" spans="1:28" ht="13.5" customHeight="1" x14ac:dyDescent="0.35">
      <c r="A146" s="24" t="str">
        <f ca="1">IFERROR(__xludf.DUMMYFUNCTION("""COMPUTED_VALUE"""),"")</f>
        <v/>
      </c>
      <c r="B146" s="28" t="str">
        <f ca="1">IFERROR(__xludf.DUMMYFUNCTION("""COMPUTED_VALUE"""),"")</f>
        <v/>
      </c>
      <c r="C146" s="27" t="str">
        <f ca="1">IFERROR(__xludf.DUMMYFUNCTION("""COMPUTED_VALUE"""),"")</f>
        <v/>
      </c>
      <c r="D146" s="27" t="str">
        <f ca="1">IFERROR(__xludf.DUMMYFUNCTION("""COMPUTED_VALUE"""),"")</f>
        <v/>
      </c>
      <c r="E146" s="15" t="str">
        <f ca="1">IFERROR(__xludf.DUMMYFUNCTION("""COMPUTED_VALUE"""),"")</f>
        <v/>
      </c>
      <c r="F146" s="28" t="str">
        <f ca="1">IFERROR(__xludf.DUMMYFUNCTION("""COMPUTED_VALUE"""),"")</f>
        <v/>
      </c>
      <c r="G146" s="16" t="str">
        <f ca="1">IFERROR(__xludf.DUMMYFUNCTION("""COMPUTED_VALUE"""),"")</f>
        <v/>
      </c>
      <c r="H146" s="17" t="str">
        <f ca="1">IFERROR(__xludf.DUMMYFUNCTION("""COMPUTED_VALUE"""),"")</f>
        <v/>
      </c>
      <c r="I146" s="17" t="str">
        <f ca="1">IFERROR(__xludf.DUMMYFUNCTION("""COMPUTED_VALUE"""),"")</f>
        <v/>
      </c>
      <c r="J146" s="17" t="str">
        <f ca="1">IFERROR(__xludf.DUMMYFUNCTION("""COMPUTED_VALUE"""),"")</f>
        <v/>
      </c>
      <c r="K146" s="18" t="str">
        <f ca="1">IFERROR(__xludf.DUMMYFUNCTION("""COMPUTED_VALUE"""),"")</f>
        <v/>
      </c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20"/>
      <c r="W146" s="20"/>
      <c r="X146" s="20"/>
      <c r="Y146" s="20"/>
      <c r="Z146" s="21"/>
      <c r="AA146" s="22"/>
      <c r="AB146" s="23"/>
    </row>
    <row r="147" spans="1:28" ht="13.5" customHeight="1" x14ac:dyDescent="0.35">
      <c r="A147" s="24" t="str">
        <f ca="1">IFERROR(__xludf.DUMMYFUNCTION("""COMPUTED_VALUE"""),"")</f>
        <v/>
      </c>
      <c r="B147" s="28" t="str">
        <f ca="1">IFERROR(__xludf.DUMMYFUNCTION("""COMPUTED_VALUE"""),"")</f>
        <v/>
      </c>
      <c r="C147" s="27" t="str">
        <f ca="1">IFERROR(__xludf.DUMMYFUNCTION("""COMPUTED_VALUE"""),"")</f>
        <v/>
      </c>
      <c r="D147" s="27" t="str">
        <f ca="1">IFERROR(__xludf.DUMMYFUNCTION("""COMPUTED_VALUE"""),"")</f>
        <v/>
      </c>
      <c r="E147" s="15" t="str">
        <f ca="1">IFERROR(__xludf.DUMMYFUNCTION("""COMPUTED_VALUE"""),"")</f>
        <v/>
      </c>
      <c r="F147" s="28" t="str">
        <f ca="1">IFERROR(__xludf.DUMMYFUNCTION("""COMPUTED_VALUE"""),"")</f>
        <v/>
      </c>
      <c r="G147" s="16" t="str">
        <f ca="1">IFERROR(__xludf.DUMMYFUNCTION("""COMPUTED_VALUE"""),"")</f>
        <v/>
      </c>
      <c r="H147" s="17" t="str">
        <f ca="1">IFERROR(__xludf.DUMMYFUNCTION("""COMPUTED_VALUE"""),"")</f>
        <v/>
      </c>
      <c r="I147" s="17" t="str">
        <f ca="1">IFERROR(__xludf.DUMMYFUNCTION("""COMPUTED_VALUE"""),"")</f>
        <v/>
      </c>
      <c r="J147" s="17" t="str">
        <f ca="1">IFERROR(__xludf.DUMMYFUNCTION("""COMPUTED_VALUE"""),"")</f>
        <v/>
      </c>
      <c r="K147" s="18" t="str">
        <f ca="1">IFERROR(__xludf.DUMMYFUNCTION("""COMPUTED_VALUE"""),"")</f>
        <v/>
      </c>
      <c r="L147" s="19"/>
      <c r="M147" s="19"/>
      <c r="N147" s="19"/>
      <c r="O147" s="19"/>
      <c r="P147" s="19"/>
      <c r="Q147" s="19"/>
      <c r="R147" s="19"/>
      <c r="S147" s="19"/>
      <c r="T147" s="19"/>
      <c r="U147" s="19"/>
      <c r="V147" s="20"/>
      <c r="W147" s="20"/>
      <c r="X147" s="20"/>
      <c r="Y147" s="20"/>
      <c r="Z147" s="21"/>
      <c r="AA147" s="22"/>
      <c r="AB147" s="23"/>
    </row>
    <row r="148" spans="1:28" ht="13.5" customHeight="1" x14ac:dyDescent="0.35">
      <c r="A148" s="24" t="str">
        <f ca="1">IFERROR(__xludf.DUMMYFUNCTION("""COMPUTED_VALUE"""),"")</f>
        <v/>
      </c>
      <c r="B148" s="28" t="str">
        <f ca="1">IFERROR(__xludf.DUMMYFUNCTION("""COMPUTED_VALUE"""),"")</f>
        <v/>
      </c>
      <c r="C148" s="27" t="str">
        <f ca="1">IFERROR(__xludf.DUMMYFUNCTION("""COMPUTED_VALUE"""),"")</f>
        <v/>
      </c>
      <c r="D148" s="27" t="str">
        <f ca="1">IFERROR(__xludf.DUMMYFUNCTION("""COMPUTED_VALUE"""),"")</f>
        <v/>
      </c>
      <c r="E148" s="15" t="str">
        <f ca="1">IFERROR(__xludf.DUMMYFUNCTION("""COMPUTED_VALUE"""),"")</f>
        <v/>
      </c>
      <c r="F148" s="28" t="str">
        <f ca="1">IFERROR(__xludf.DUMMYFUNCTION("""COMPUTED_VALUE"""),"")</f>
        <v/>
      </c>
      <c r="G148" s="16" t="str">
        <f ca="1">IFERROR(__xludf.DUMMYFUNCTION("""COMPUTED_VALUE"""),"")</f>
        <v/>
      </c>
      <c r="H148" s="17" t="str">
        <f ca="1">IFERROR(__xludf.DUMMYFUNCTION("""COMPUTED_VALUE"""),"")</f>
        <v/>
      </c>
      <c r="I148" s="17" t="str">
        <f ca="1">IFERROR(__xludf.DUMMYFUNCTION("""COMPUTED_VALUE"""),"")</f>
        <v/>
      </c>
      <c r="J148" s="17" t="str">
        <f ca="1">IFERROR(__xludf.DUMMYFUNCTION("""COMPUTED_VALUE"""),"")</f>
        <v/>
      </c>
      <c r="K148" s="18" t="str">
        <f ca="1">IFERROR(__xludf.DUMMYFUNCTION("""COMPUTED_VALUE"""),"")</f>
        <v/>
      </c>
      <c r="L148" s="19"/>
      <c r="M148" s="19"/>
      <c r="N148" s="19"/>
      <c r="O148" s="19"/>
      <c r="P148" s="19"/>
      <c r="Q148" s="19"/>
      <c r="R148" s="19"/>
      <c r="S148" s="19"/>
      <c r="T148" s="19"/>
      <c r="U148" s="19"/>
      <c r="V148" s="20"/>
      <c r="W148" s="20"/>
      <c r="X148" s="20"/>
      <c r="Y148" s="20"/>
      <c r="Z148" s="21"/>
      <c r="AA148" s="22"/>
      <c r="AB148" s="23"/>
    </row>
    <row r="149" spans="1:28" ht="13.5" customHeight="1" x14ac:dyDescent="0.35">
      <c r="A149" s="24" t="str">
        <f ca="1">IFERROR(__xludf.DUMMYFUNCTION("""COMPUTED_VALUE"""),"")</f>
        <v/>
      </c>
      <c r="B149" s="28" t="str">
        <f ca="1">IFERROR(__xludf.DUMMYFUNCTION("""COMPUTED_VALUE"""),"")</f>
        <v/>
      </c>
      <c r="C149" s="27" t="str">
        <f ca="1">IFERROR(__xludf.DUMMYFUNCTION("""COMPUTED_VALUE"""),"")</f>
        <v/>
      </c>
      <c r="D149" s="27" t="str">
        <f ca="1">IFERROR(__xludf.DUMMYFUNCTION("""COMPUTED_VALUE"""),"")</f>
        <v/>
      </c>
      <c r="E149" s="15" t="str">
        <f ca="1">IFERROR(__xludf.DUMMYFUNCTION("""COMPUTED_VALUE"""),"")</f>
        <v/>
      </c>
      <c r="F149" s="28" t="str">
        <f ca="1">IFERROR(__xludf.DUMMYFUNCTION("""COMPUTED_VALUE"""),"")</f>
        <v/>
      </c>
      <c r="G149" s="16" t="str">
        <f ca="1">IFERROR(__xludf.DUMMYFUNCTION("""COMPUTED_VALUE"""),"")</f>
        <v/>
      </c>
      <c r="H149" s="17" t="str">
        <f ca="1">IFERROR(__xludf.DUMMYFUNCTION("""COMPUTED_VALUE"""),"")</f>
        <v/>
      </c>
      <c r="I149" s="17" t="str">
        <f ca="1">IFERROR(__xludf.DUMMYFUNCTION("""COMPUTED_VALUE"""),"")</f>
        <v/>
      </c>
      <c r="J149" s="17" t="str">
        <f ca="1">IFERROR(__xludf.DUMMYFUNCTION("""COMPUTED_VALUE"""),"")</f>
        <v/>
      </c>
      <c r="K149" s="18" t="str">
        <f ca="1">IFERROR(__xludf.DUMMYFUNCTION("""COMPUTED_VALUE"""),"")</f>
        <v/>
      </c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20"/>
      <c r="W149" s="20"/>
      <c r="X149" s="20"/>
      <c r="Y149" s="20"/>
      <c r="Z149" s="21"/>
      <c r="AA149" s="22"/>
      <c r="AB149" s="23"/>
    </row>
    <row r="150" spans="1:28" ht="13.5" customHeight="1" x14ac:dyDescent="0.35">
      <c r="A150" s="24" t="str">
        <f ca="1">IFERROR(__xludf.DUMMYFUNCTION("""COMPUTED_VALUE"""),"")</f>
        <v/>
      </c>
      <c r="B150" s="28" t="str">
        <f ca="1">IFERROR(__xludf.DUMMYFUNCTION("""COMPUTED_VALUE"""),"")</f>
        <v/>
      </c>
      <c r="C150" s="27" t="str">
        <f ca="1">IFERROR(__xludf.DUMMYFUNCTION("""COMPUTED_VALUE"""),"")</f>
        <v/>
      </c>
      <c r="D150" s="27" t="str">
        <f ca="1">IFERROR(__xludf.DUMMYFUNCTION("""COMPUTED_VALUE"""),"")</f>
        <v/>
      </c>
      <c r="E150" s="15" t="str">
        <f ca="1">IFERROR(__xludf.DUMMYFUNCTION("""COMPUTED_VALUE"""),"")</f>
        <v/>
      </c>
      <c r="F150" s="28" t="str">
        <f ca="1">IFERROR(__xludf.DUMMYFUNCTION("""COMPUTED_VALUE"""),"")</f>
        <v/>
      </c>
      <c r="G150" s="16" t="str">
        <f ca="1">IFERROR(__xludf.DUMMYFUNCTION("""COMPUTED_VALUE"""),"")</f>
        <v/>
      </c>
      <c r="H150" s="17" t="str">
        <f ca="1">IFERROR(__xludf.DUMMYFUNCTION("""COMPUTED_VALUE"""),"")</f>
        <v/>
      </c>
      <c r="I150" s="17" t="str">
        <f ca="1">IFERROR(__xludf.DUMMYFUNCTION("""COMPUTED_VALUE"""),"")</f>
        <v/>
      </c>
      <c r="J150" s="17" t="str">
        <f ca="1">IFERROR(__xludf.DUMMYFUNCTION("""COMPUTED_VALUE"""),"")</f>
        <v/>
      </c>
      <c r="K150" s="18" t="str">
        <f ca="1">IFERROR(__xludf.DUMMYFUNCTION("""COMPUTED_VALUE"""),"")</f>
        <v/>
      </c>
      <c r="L150" s="19"/>
      <c r="M150" s="19"/>
      <c r="N150" s="19"/>
      <c r="O150" s="19"/>
      <c r="P150" s="19"/>
      <c r="Q150" s="19"/>
      <c r="R150" s="19"/>
      <c r="S150" s="19"/>
      <c r="T150" s="19"/>
      <c r="U150" s="19"/>
      <c r="V150" s="20"/>
      <c r="W150" s="20"/>
      <c r="X150" s="20"/>
      <c r="Y150" s="20"/>
      <c r="Z150" s="21"/>
      <c r="AA150" s="22"/>
      <c r="AB150" s="23"/>
    </row>
    <row r="151" spans="1:28" ht="13.5" customHeight="1" x14ac:dyDescent="0.35">
      <c r="A151" s="24" t="str">
        <f ca="1">IFERROR(__xludf.DUMMYFUNCTION("""COMPUTED_VALUE"""),"")</f>
        <v/>
      </c>
      <c r="B151" s="28" t="str">
        <f ca="1">IFERROR(__xludf.DUMMYFUNCTION("""COMPUTED_VALUE"""),"")</f>
        <v/>
      </c>
      <c r="C151" s="27" t="str">
        <f ca="1">IFERROR(__xludf.DUMMYFUNCTION("""COMPUTED_VALUE"""),"")</f>
        <v/>
      </c>
      <c r="D151" s="27" t="str">
        <f ca="1">IFERROR(__xludf.DUMMYFUNCTION("""COMPUTED_VALUE"""),"")</f>
        <v/>
      </c>
      <c r="E151" s="15" t="str">
        <f ca="1">IFERROR(__xludf.DUMMYFUNCTION("""COMPUTED_VALUE"""),"")</f>
        <v/>
      </c>
      <c r="F151" s="28" t="str">
        <f ca="1">IFERROR(__xludf.DUMMYFUNCTION("""COMPUTED_VALUE"""),"")</f>
        <v/>
      </c>
      <c r="G151" s="16" t="str">
        <f ca="1">IFERROR(__xludf.DUMMYFUNCTION("""COMPUTED_VALUE"""),"")</f>
        <v/>
      </c>
      <c r="H151" s="17" t="str">
        <f ca="1">IFERROR(__xludf.DUMMYFUNCTION("""COMPUTED_VALUE"""),"")</f>
        <v/>
      </c>
      <c r="I151" s="17" t="str">
        <f ca="1">IFERROR(__xludf.DUMMYFUNCTION("""COMPUTED_VALUE"""),"")</f>
        <v/>
      </c>
      <c r="J151" s="17" t="str">
        <f ca="1">IFERROR(__xludf.DUMMYFUNCTION("""COMPUTED_VALUE"""),"")</f>
        <v/>
      </c>
      <c r="K151" s="18" t="str">
        <f ca="1">IFERROR(__xludf.DUMMYFUNCTION("""COMPUTED_VALUE"""),"")</f>
        <v/>
      </c>
      <c r="L151" s="19"/>
      <c r="M151" s="19"/>
      <c r="N151" s="19"/>
      <c r="O151" s="19"/>
      <c r="P151" s="19"/>
      <c r="Q151" s="19"/>
      <c r="R151" s="19"/>
      <c r="S151" s="19"/>
      <c r="T151" s="19"/>
      <c r="U151" s="19"/>
      <c r="V151" s="20"/>
      <c r="W151" s="20"/>
      <c r="X151" s="20"/>
      <c r="Y151" s="20"/>
      <c r="Z151" s="21"/>
      <c r="AA151" s="22"/>
      <c r="AB151" s="23"/>
    </row>
    <row r="152" spans="1:28" ht="13.5" customHeight="1" x14ac:dyDescent="0.35">
      <c r="A152" s="24" t="str">
        <f ca="1">IFERROR(__xludf.DUMMYFUNCTION("""COMPUTED_VALUE"""),"")</f>
        <v/>
      </c>
      <c r="B152" s="28" t="str">
        <f ca="1">IFERROR(__xludf.DUMMYFUNCTION("""COMPUTED_VALUE"""),"")</f>
        <v/>
      </c>
      <c r="C152" s="27" t="str">
        <f ca="1">IFERROR(__xludf.DUMMYFUNCTION("""COMPUTED_VALUE"""),"")</f>
        <v/>
      </c>
      <c r="D152" s="27" t="str">
        <f ca="1">IFERROR(__xludf.DUMMYFUNCTION("""COMPUTED_VALUE"""),"")</f>
        <v/>
      </c>
      <c r="E152" s="15" t="str">
        <f ca="1">IFERROR(__xludf.DUMMYFUNCTION("""COMPUTED_VALUE"""),"")</f>
        <v/>
      </c>
      <c r="F152" s="28" t="str">
        <f ca="1">IFERROR(__xludf.DUMMYFUNCTION("""COMPUTED_VALUE"""),"")</f>
        <v/>
      </c>
      <c r="G152" s="16" t="str">
        <f ca="1">IFERROR(__xludf.DUMMYFUNCTION("""COMPUTED_VALUE"""),"")</f>
        <v/>
      </c>
      <c r="H152" s="17" t="str">
        <f ca="1">IFERROR(__xludf.DUMMYFUNCTION("""COMPUTED_VALUE"""),"")</f>
        <v/>
      </c>
      <c r="I152" s="17" t="str">
        <f ca="1">IFERROR(__xludf.DUMMYFUNCTION("""COMPUTED_VALUE"""),"")</f>
        <v/>
      </c>
      <c r="J152" s="17" t="str">
        <f ca="1">IFERROR(__xludf.DUMMYFUNCTION("""COMPUTED_VALUE"""),"")</f>
        <v/>
      </c>
      <c r="K152" s="18" t="str">
        <f ca="1">IFERROR(__xludf.DUMMYFUNCTION("""COMPUTED_VALUE"""),"")</f>
        <v/>
      </c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20"/>
      <c r="W152" s="20"/>
      <c r="X152" s="20"/>
      <c r="Y152" s="20"/>
      <c r="Z152" s="21"/>
      <c r="AA152" s="22"/>
      <c r="AB152" s="23"/>
    </row>
    <row r="153" spans="1:28" ht="13.5" customHeight="1" x14ac:dyDescent="0.35">
      <c r="A153" s="24" t="str">
        <f ca="1">IFERROR(__xludf.DUMMYFUNCTION("""COMPUTED_VALUE"""),"")</f>
        <v/>
      </c>
      <c r="B153" s="28" t="str">
        <f ca="1">IFERROR(__xludf.DUMMYFUNCTION("""COMPUTED_VALUE"""),"")</f>
        <v/>
      </c>
      <c r="C153" s="27" t="str">
        <f ca="1">IFERROR(__xludf.DUMMYFUNCTION("""COMPUTED_VALUE"""),"")</f>
        <v/>
      </c>
      <c r="D153" s="27" t="str">
        <f ca="1">IFERROR(__xludf.DUMMYFUNCTION("""COMPUTED_VALUE"""),"")</f>
        <v/>
      </c>
      <c r="E153" s="15" t="str">
        <f ca="1">IFERROR(__xludf.DUMMYFUNCTION("""COMPUTED_VALUE"""),"")</f>
        <v/>
      </c>
      <c r="F153" s="28" t="str">
        <f ca="1">IFERROR(__xludf.DUMMYFUNCTION("""COMPUTED_VALUE"""),"")</f>
        <v/>
      </c>
      <c r="G153" s="16" t="str">
        <f ca="1">IFERROR(__xludf.DUMMYFUNCTION("""COMPUTED_VALUE"""),"")</f>
        <v/>
      </c>
      <c r="H153" s="17" t="str">
        <f ca="1">IFERROR(__xludf.DUMMYFUNCTION("""COMPUTED_VALUE"""),"")</f>
        <v/>
      </c>
      <c r="I153" s="17" t="str">
        <f ca="1">IFERROR(__xludf.DUMMYFUNCTION("""COMPUTED_VALUE"""),"")</f>
        <v/>
      </c>
      <c r="J153" s="17" t="str">
        <f ca="1">IFERROR(__xludf.DUMMYFUNCTION("""COMPUTED_VALUE"""),"")</f>
        <v/>
      </c>
      <c r="K153" s="18" t="str">
        <f ca="1">IFERROR(__xludf.DUMMYFUNCTION("""COMPUTED_VALUE"""),"")</f>
        <v/>
      </c>
      <c r="L153" s="19"/>
      <c r="M153" s="19"/>
      <c r="N153" s="19"/>
      <c r="O153" s="19"/>
      <c r="P153" s="19"/>
      <c r="Q153" s="19"/>
      <c r="R153" s="19"/>
      <c r="S153" s="19"/>
      <c r="T153" s="19"/>
      <c r="U153" s="19"/>
      <c r="V153" s="20"/>
      <c r="W153" s="20"/>
      <c r="X153" s="20"/>
      <c r="Y153" s="20"/>
      <c r="Z153" s="21"/>
      <c r="AA153" s="22"/>
      <c r="AB153" s="23"/>
    </row>
    <row r="154" spans="1:28" ht="13.5" customHeight="1" x14ac:dyDescent="0.35">
      <c r="A154" s="24" t="str">
        <f ca="1">IFERROR(__xludf.DUMMYFUNCTION("""COMPUTED_VALUE"""),"")</f>
        <v/>
      </c>
      <c r="B154" s="28" t="str">
        <f ca="1">IFERROR(__xludf.DUMMYFUNCTION("""COMPUTED_VALUE"""),"")</f>
        <v/>
      </c>
      <c r="C154" s="27" t="str">
        <f ca="1">IFERROR(__xludf.DUMMYFUNCTION("""COMPUTED_VALUE"""),"")</f>
        <v/>
      </c>
      <c r="D154" s="27" t="str">
        <f ca="1">IFERROR(__xludf.DUMMYFUNCTION("""COMPUTED_VALUE"""),"")</f>
        <v/>
      </c>
      <c r="E154" s="15" t="str">
        <f ca="1">IFERROR(__xludf.DUMMYFUNCTION("""COMPUTED_VALUE"""),"")</f>
        <v/>
      </c>
      <c r="F154" s="28" t="str">
        <f ca="1">IFERROR(__xludf.DUMMYFUNCTION("""COMPUTED_VALUE"""),"")</f>
        <v/>
      </c>
      <c r="G154" s="16" t="str">
        <f ca="1">IFERROR(__xludf.DUMMYFUNCTION("""COMPUTED_VALUE"""),"")</f>
        <v/>
      </c>
      <c r="H154" s="17" t="str">
        <f ca="1">IFERROR(__xludf.DUMMYFUNCTION("""COMPUTED_VALUE"""),"")</f>
        <v/>
      </c>
      <c r="I154" s="17" t="str">
        <f ca="1">IFERROR(__xludf.DUMMYFUNCTION("""COMPUTED_VALUE"""),"")</f>
        <v/>
      </c>
      <c r="J154" s="17" t="str">
        <f ca="1">IFERROR(__xludf.DUMMYFUNCTION("""COMPUTED_VALUE"""),"")</f>
        <v/>
      </c>
      <c r="K154" s="18" t="str">
        <f ca="1">IFERROR(__xludf.DUMMYFUNCTION("""COMPUTED_VALUE"""),"")</f>
        <v/>
      </c>
      <c r="L154" s="19"/>
      <c r="M154" s="19"/>
      <c r="N154" s="19"/>
      <c r="O154" s="19"/>
      <c r="P154" s="19"/>
      <c r="Q154" s="19"/>
      <c r="R154" s="19"/>
      <c r="S154" s="19"/>
      <c r="T154" s="19"/>
      <c r="U154" s="19"/>
      <c r="V154" s="20"/>
      <c r="W154" s="20"/>
      <c r="X154" s="20"/>
      <c r="Y154" s="20"/>
      <c r="Z154" s="21"/>
      <c r="AA154" s="22"/>
      <c r="AB154" s="23"/>
    </row>
    <row r="155" spans="1:28" ht="13.5" customHeight="1" x14ac:dyDescent="0.35">
      <c r="A155" s="24" t="str">
        <f ca="1">IFERROR(__xludf.DUMMYFUNCTION("""COMPUTED_VALUE"""),"")</f>
        <v/>
      </c>
      <c r="B155" s="28" t="str">
        <f ca="1">IFERROR(__xludf.DUMMYFUNCTION("""COMPUTED_VALUE"""),"")</f>
        <v/>
      </c>
      <c r="C155" s="27" t="str">
        <f ca="1">IFERROR(__xludf.DUMMYFUNCTION("""COMPUTED_VALUE"""),"")</f>
        <v/>
      </c>
      <c r="D155" s="27" t="str">
        <f ca="1">IFERROR(__xludf.DUMMYFUNCTION("""COMPUTED_VALUE"""),"")</f>
        <v/>
      </c>
      <c r="E155" s="15" t="str">
        <f ca="1">IFERROR(__xludf.DUMMYFUNCTION("""COMPUTED_VALUE"""),"")</f>
        <v/>
      </c>
      <c r="F155" s="28" t="str">
        <f ca="1">IFERROR(__xludf.DUMMYFUNCTION("""COMPUTED_VALUE"""),"")</f>
        <v/>
      </c>
      <c r="G155" s="16" t="str">
        <f ca="1">IFERROR(__xludf.DUMMYFUNCTION("""COMPUTED_VALUE"""),"")</f>
        <v/>
      </c>
      <c r="H155" s="17" t="str">
        <f ca="1">IFERROR(__xludf.DUMMYFUNCTION("""COMPUTED_VALUE"""),"")</f>
        <v/>
      </c>
      <c r="I155" s="17" t="str">
        <f ca="1">IFERROR(__xludf.DUMMYFUNCTION("""COMPUTED_VALUE"""),"")</f>
        <v/>
      </c>
      <c r="J155" s="17" t="str">
        <f ca="1">IFERROR(__xludf.DUMMYFUNCTION("""COMPUTED_VALUE"""),"")</f>
        <v/>
      </c>
      <c r="K155" s="18" t="str">
        <f ca="1">IFERROR(__xludf.DUMMYFUNCTION("""COMPUTED_VALUE"""),"")</f>
        <v/>
      </c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20"/>
      <c r="W155" s="20"/>
      <c r="X155" s="20"/>
      <c r="Y155" s="20"/>
      <c r="Z155" s="21"/>
      <c r="AA155" s="22"/>
      <c r="AB155" s="23"/>
    </row>
    <row r="156" spans="1:28" ht="13.5" customHeight="1" x14ac:dyDescent="0.35">
      <c r="A156" s="24" t="str">
        <f ca="1">IFERROR(__xludf.DUMMYFUNCTION("""COMPUTED_VALUE"""),"")</f>
        <v/>
      </c>
      <c r="B156" s="28" t="str">
        <f ca="1">IFERROR(__xludf.DUMMYFUNCTION("""COMPUTED_VALUE"""),"")</f>
        <v/>
      </c>
      <c r="C156" s="27" t="str">
        <f ca="1">IFERROR(__xludf.DUMMYFUNCTION("""COMPUTED_VALUE"""),"")</f>
        <v/>
      </c>
      <c r="D156" s="27" t="str">
        <f ca="1">IFERROR(__xludf.DUMMYFUNCTION("""COMPUTED_VALUE"""),"")</f>
        <v/>
      </c>
      <c r="E156" s="15" t="str">
        <f ca="1">IFERROR(__xludf.DUMMYFUNCTION("""COMPUTED_VALUE"""),"")</f>
        <v/>
      </c>
      <c r="F156" s="28" t="str">
        <f ca="1">IFERROR(__xludf.DUMMYFUNCTION("""COMPUTED_VALUE"""),"")</f>
        <v/>
      </c>
      <c r="G156" s="16" t="str">
        <f ca="1">IFERROR(__xludf.DUMMYFUNCTION("""COMPUTED_VALUE"""),"")</f>
        <v/>
      </c>
      <c r="H156" s="17" t="str">
        <f ca="1">IFERROR(__xludf.DUMMYFUNCTION("""COMPUTED_VALUE"""),"")</f>
        <v/>
      </c>
      <c r="I156" s="17" t="str">
        <f ca="1">IFERROR(__xludf.DUMMYFUNCTION("""COMPUTED_VALUE"""),"")</f>
        <v/>
      </c>
      <c r="J156" s="17" t="str">
        <f ca="1">IFERROR(__xludf.DUMMYFUNCTION("""COMPUTED_VALUE"""),"")</f>
        <v/>
      </c>
      <c r="K156" s="18" t="str">
        <f ca="1">IFERROR(__xludf.DUMMYFUNCTION("""COMPUTED_VALUE"""),"")</f>
        <v/>
      </c>
      <c r="L156" s="19"/>
      <c r="M156" s="19"/>
      <c r="N156" s="19"/>
      <c r="O156" s="19"/>
      <c r="P156" s="19"/>
      <c r="Q156" s="19"/>
      <c r="R156" s="19"/>
      <c r="S156" s="19"/>
      <c r="T156" s="19"/>
      <c r="U156" s="19"/>
      <c r="V156" s="20"/>
      <c r="W156" s="20"/>
      <c r="X156" s="20"/>
      <c r="Y156" s="20"/>
      <c r="Z156" s="21"/>
      <c r="AA156" s="22"/>
      <c r="AB156" s="23"/>
    </row>
    <row r="157" spans="1:28" ht="13.5" customHeight="1" x14ac:dyDescent="0.35">
      <c r="A157" s="24" t="str">
        <f ca="1">IFERROR(__xludf.DUMMYFUNCTION("""COMPUTED_VALUE"""),"")</f>
        <v/>
      </c>
      <c r="B157" s="28" t="str">
        <f ca="1">IFERROR(__xludf.DUMMYFUNCTION("""COMPUTED_VALUE"""),"")</f>
        <v/>
      </c>
      <c r="C157" s="27" t="str">
        <f ca="1">IFERROR(__xludf.DUMMYFUNCTION("""COMPUTED_VALUE"""),"")</f>
        <v/>
      </c>
      <c r="D157" s="27" t="str">
        <f ca="1">IFERROR(__xludf.DUMMYFUNCTION("""COMPUTED_VALUE"""),"")</f>
        <v/>
      </c>
      <c r="E157" s="15" t="str">
        <f ca="1">IFERROR(__xludf.DUMMYFUNCTION("""COMPUTED_VALUE"""),"")</f>
        <v/>
      </c>
      <c r="F157" s="28" t="str">
        <f ca="1">IFERROR(__xludf.DUMMYFUNCTION("""COMPUTED_VALUE"""),"")</f>
        <v/>
      </c>
      <c r="G157" s="16" t="str">
        <f ca="1">IFERROR(__xludf.DUMMYFUNCTION("""COMPUTED_VALUE"""),"")</f>
        <v/>
      </c>
      <c r="H157" s="17" t="str">
        <f ca="1">IFERROR(__xludf.DUMMYFUNCTION("""COMPUTED_VALUE"""),"")</f>
        <v/>
      </c>
      <c r="I157" s="17" t="str">
        <f ca="1">IFERROR(__xludf.DUMMYFUNCTION("""COMPUTED_VALUE"""),"")</f>
        <v/>
      </c>
      <c r="J157" s="17" t="str">
        <f ca="1">IFERROR(__xludf.DUMMYFUNCTION("""COMPUTED_VALUE"""),"")</f>
        <v/>
      </c>
      <c r="K157" s="18" t="str">
        <f ca="1">IFERROR(__xludf.DUMMYFUNCTION("""COMPUTED_VALUE"""),"")</f>
        <v/>
      </c>
      <c r="L157" s="19"/>
      <c r="M157" s="19"/>
      <c r="N157" s="19"/>
      <c r="O157" s="19"/>
      <c r="P157" s="19"/>
      <c r="Q157" s="19"/>
      <c r="R157" s="19"/>
      <c r="S157" s="19"/>
      <c r="T157" s="19"/>
      <c r="U157" s="19"/>
      <c r="V157" s="20"/>
      <c r="W157" s="20"/>
      <c r="X157" s="20"/>
      <c r="Y157" s="20"/>
      <c r="Z157" s="21"/>
      <c r="AA157" s="22"/>
      <c r="AB157" s="23"/>
    </row>
    <row r="158" spans="1:28" ht="13.5" customHeight="1" x14ac:dyDescent="0.35">
      <c r="A158" s="24" t="str">
        <f ca="1">IFERROR(__xludf.DUMMYFUNCTION("""COMPUTED_VALUE"""),"")</f>
        <v/>
      </c>
      <c r="B158" s="28" t="str">
        <f ca="1">IFERROR(__xludf.DUMMYFUNCTION("""COMPUTED_VALUE"""),"")</f>
        <v/>
      </c>
      <c r="C158" s="27" t="str">
        <f ca="1">IFERROR(__xludf.DUMMYFUNCTION("""COMPUTED_VALUE"""),"")</f>
        <v/>
      </c>
      <c r="D158" s="27" t="str">
        <f ca="1">IFERROR(__xludf.DUMMYFUNCTION("""COMPUTED_VALUE"""),"")</f>
        <v/>
      </c>
      <c r="E158" s="15" t="str">
        <f ca="1">IFERROR(__xludf.DUMMYFUNCTION("""COMPUTED_VALUE"""),"")</f>
        <v/>
      </c>
      <c r="F158" s="28" t="str">
        <f ca="1">IFERROR(__xludf.DUMMYFUNCTION("""COMPUTED_VALUE"""),"")</f>
        <v/>
      </c>
      <c r="G158" s="16" t="str">
        <f ca="1">IFERROR(__xludf.DUMMYFUNCTION("""COMPUTED_VALUE"""),"")</f>
        <v/>
      </c>
      <c r="H158" s="17" t="str">
        <f ca="1">IFERROR(__xludf.DUMMYFUNCTION("""COMPUTED_VALUE"""),"")</f>
        <v/>
      </c>
      <c r="I158" s="17" t="str">
        <f ca="1">IFERROR(__xludf.DUMMYFUNCTION("""COMPUTED_VALUE"""),"")</f>
        <v/>
      </c>
      <c r="J158" s="17" t="str">
        <f ca="1">IFERROR(__xludf.DUMMYFUNCTION("""COMPUTED_VALUE"""),"")</f>
        <v/>
      </c>
      <c r="K158" s="18" t="str">
        <f ca="1">IFERROR(__xludf.DUMMYFUNCTION("""COMPUTED_VALUE"""),"")</f>
        <v/>
      </c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20"/>
      <c r="W158" s="20"/>
      <c r="X158" s="20"/>
      <c r="Y158" s="20"/>
      <c r="Z158" s="21"/>
      <c r="AA158" s="22"/>
      <c r="AB158" s="23"/>
    </row>
    <row r="159" spans="1:28" ht="13.5" customHeight="1" x14ac:dyDescent="0.35">
      <c r="A159" s="24" t="str">
        <f ca="1">IFERROR(__xludf.DUMMYFUNCTION("""COMPUTED_VALUE"""),"")</f>
        <v/>
      </c>
      <c r="B159" s="28" t="str">
        <f ca="1">IFERROR(__xludf.DUMMYFUNCTION("""COMPUTED_VALUE"""),"")</f>
        <v/>
      </c>
      <c r="C159" s="27" t="str">
        <f ca="1">IFERROR(__xludf.DUMMYFUNCTION("""COMPUTED_VALUE"""),"")</f>
        <v/>
      </c>
      <c r="D159" s="27" t="str">
        <f ca="1">IFERROR(__xludf.DUMMYFUNCTION("""COMPUTED_VALUE"""),"")</f>
        <v/>
      </c>
      <c r="E159" s="15" t="str">
        <f ca="1">IFERROR(__xludf.DUMMYFUNCTION("""COMPUTED_VALUE"""),"")</f>
        <v/>
      </c>
      <c r="F159" s="28" t="str">
        <f ca="1">IFERROR(__xludf.DUMMYFUNCTION("""COMPUTED_VALUE"""),"")</f>
        <v/>
      </c>
      <c r="G159" s="16" t="str">
        <f ca="1">IFERROR(__xludf.DUMMYFUNCTION("""COMPUTED_VALUE"""),"")</f>
        <v/>
      </c>
      <c r="H159" s="17" t="str">
        <f ca="1">IFERROR(__xludf.DUMMYFUNCTION("""COMPUTED_VALUE"""),"")</f>
        <v/>
      </c>
      <c r="I159" s="17" t="str">
        <f ca="1">IFERROR(__xludf.DUMMYFUNCTION("""COMPUTED_VALUE"""),"")</f>
        <v/>
      </c>
      <c r="J159" s="17" t="str">
        <f ca="1">IFERROR(__xludf.DUMMYFUNCTION("""COMPUTED_VALUE"""),"")</f>
        <v/>
      </c>
      <c r="K159" s="18" t="str">
        <f ca="1">IFERROR(__xludf.DUMMYFUNCTION("""COMPUTED_VALUE"""),"")</f>
        <v/>
      </c>
      <c r="L159" s="19"/>
      <c r="M159" s="19"/>
      <c r="N159" s="19"/>
      <c r="O159" s="19"/>
      <c r="P159" s="19"/>
      <c r="Q159" s="19"/>
      <c r="R159" s="19"/>
      <c r="S159" s="19"/>
      <c r="T159" s="19"/>
      <c r="U159" s="19"/>
      <c r="V159" s="20"/>
      <c r="W159" s="20"/>
      <c r="X159" s="20"/>
      <c r="Y159" s="20"/>
      <c r="Z159" s="21"/>
      <c r="AA159" s="22"/>
      <c r="AB159" s="23"/>
    </row>
    <row r="160" spans="1:28" ht="13.5" customHeight="1" x14ac:dyDescent="0.35">
      <c r="A160" s="24" t="str">
        <f ca="1">IFERROR(__xludf.DUMMYFUNCTION("""COMPUTED_VALUE"""),"")</f>
        <v/>
      </c>
      <c r="B160" s="28" t="str">
        <f ca="1">IFERROR(__xludf.DUMMYFUNCTION("""COMPUTED_VALUE"""),"")</f>
        <v/>
      </c>
      <c r="C160" s="27" t="str">
        <f ca="1">IFERROR(__xludf.DUMMYFUNCTION("""COMPUTED_VALUE"""),"")</f>
        <v/>
      </c>
      <c r="D160" s="27" t="str">
        <f ca="1">IFERROR(__xludf.DUMMYFUNCTION("""COMPUTED_VALUE"""),"")</f>
        <v/>
      </c>
      <c r="E160" s="15" t="str">
        <f ca="1">IFERROR(__xludf.DUMMYFUNCTION("""COMPUTED_VALUE"""),"")</f>
        <v/>
      </c>
      <c r="F160" s="28" t="str">
        <f ca="1">IFERROR(__xludf.DUMMYFUNCTION("""COMPUTED_VALUE"""),"")</f>
        <v/>
      </c>
      <c r="G160" s="16" t="str">
        <f ca="1">IFERROR(__xludf.DUMMYFUNCTION("""COMPUTED_VALUE"""),"")</f>
        <v/>
      </c>
      <c r="H160" s="17" t="str">
        <f ca="1">IFERROR(__xludf.DUMMYFUNCTION("""COMPUTED_VALUE"""),"")</f>
        <v/>
      </c>
      <c r="I160" s="17" t="str">
        <f ca="1">IFERROR(__xludf.DUMMYFUNCTION("""COMPUTED_VALUE"""),"")</f>
        <v/>
      </c>
      <c r="J160" s="17" t="str">
        <f ca="1">IFERROR(__xludf.DUMMYFUNCTION("""COMPUTED_VALUE"""),"")</f>
        <v/>
      </c>
      <c r="K160" s="18" t="str">
        <f ca="1">IFERROR(__xludf.DUMMYFUNCTION("""COMPUTED_VALUE"""),"")</f>
        <v/>
      </c>
      <c r="L160" s="19"/>
      <c r="M160" s="19"/>
      <c r="N160" s="19"/>
      <c r="O160" s="19"/>
      <c r="P160" s="19"/>
      <c r="Q160" s="19"/>
      <c r="R160" s="19"/>
      <c r="S160" s="19"/>
      <c r="T160" s="19"/>
      <c r="U160" s="19"/>
      <c r="V160" s="20"/>
      <c r="W160" s="20"/>
      <c r="X160" s="20"/>
      <c r="Y160" s="20"/>
      <c r="Z160" s="21"/>
      <c r="AA160" s="22"/>
      <c r="AB160" s="23"/>
    </row>
    <row r="161" spans="1:28" ht="13.5" customHeight="1" x14ac:dyDescent="0.35">
      <c r="A161" s="24" t="str">
        <f ca="1">IFERROR(__xludf.DUMMYFUNCTION("""COMPUTED_VALUE"""),"")</f>
        <v/>
      </c>
      <c r="B161" s="28" t="str">
        <f ca="1">IFERROR(__xludf.DUMMYFUNCTION("""COMPUTED_VALUE"""),"")</f>
        <v/>
      </c>
      <c r="C161" s="27" t="str">
        <f ca="1">IFERROR(__xludf.DUMMYFUNCTION("""COMPUTED_VALUE"""),"")</f>
        <v/>
      </c>
      <c r="D161" s="27" t="str">
        <f ca="1">IFERROR(__xludf.DUMMYFUNCTION("""COMPUTED_VALUE"""),"")</f>
        <v/>
      </c>
      <c r="E161" s="15" t="str">
        <f ca="1">IFERROR(__xludf.DUMMYFUNCTION("""COMPUTED_VALUE"""),"")</f>
        <v/>
      </c>
      <c r="F161" s="28" t="str">
        <f ca="1">IFERROR(__xludf.DUMMYFUNCTION("""COMPUTED_VALUE"""),"")</f>
        <v/>
      </c>
      <c r="G161" s="16" t="str">
        <f ca="1">IFERROR(__xludf.DUMMYFUNCTION("""COMPUTED_VALUE"""),"")</f>
        <v/>
      </c>
      <c r="H161" s="17" t="str">
        <f ca="1">IFERROR(__xludf.DUMMYFUNCTION("""COMPUTED_VALUE"""),"")</f>
        <v/>
      </c>
      <c r="I161" s="17" t="str">
        <f ca="1">IFERROR(__xludf.DUMMYFUNCTION("""COMPUTED_VALUE"""),"")</f>
        <v/>
      </c>
      <c r="J161" s="17" t="str">
        <f ca="1">IFERROR(__xludf.DUMMYFUNCTION("""COMPUTED_VALUE"""),"")</f>
        <v/>
      </c>
      <c r="K161" s="18" t="str">
        <f ca="1">IFERROR(__xludf.DUMMYFUNCTION("""COMPUTED_VALUE"""),"")</f>
        <v/>
      </c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V161" s="20"/>
      <c r="W161" s="20"/>
      <c r="X161" s="20"/>
      <c r="Y161" s="20"/>
      <c r="Z161" s="21"/>
      <c r="AA161" s="22"/>
      <c r="AB161" s="23"/>
    </row>
    <row r="162" spans="1:28" ht="13.5" customHeight="1" x14ac:dyDescent="0.35">
      <c r="A162" s="24" t="str">
        <f ca="1">IFERROR(__xludf.DUMMYFUNCTION("""COMPUTED_VALUE"""),"")</f>
        <v/>
      </c>
      <c r="B162" s="28" t="str">
        <f ca="1">IFERROR(__xludf.DUMMYFUNCTION("""COMPUTED_VALUE"""),"")</f>
        <v/>
      </c>
      <c r="C162" s="27" t="str">
        <f ca="1">IFERROR(__xludf.DUMMYFUNCTION("""COMPUTED_VALUE"""),"")</f>
        <v/>
      </c>
      <c r="D162" s="27" t="str">
        <f ca="1">IFERROR(__xludf.DUMMYFUNCTION("""COMPUTED_VALUE"""),"")</f>
        <v/>
      </c>
      <c r="E162" s="15" t="str">
        <f ca="1">IFERROR(__xludf.DUMMYFUNCTION("""COMPUTED_VALUE"""),"")</f>
        <v/>
      </c>
      <c r="F162" s="28" t="str">
        <f ca="1">IFERROR(__xludf.DUMMYFUNCTION("""COMPUTED_VALUE"""),"")</f>
        <v/>
      </c>
      <c r="G162" s="16" t="str">
        <f ca="1">IFERROR(__xludf.DUMMYFUNCTION("""COMPUTED_VALUE"""),"")</f>
        <v/>
      </c>
      <c r="H162" s="17" t="str">
        <f ca="1">IFERROR(__xludf.DUMMYFUNCTION("""COMPUTED_VALUE"""),"")</f>
        <v/>
      </c>
      <c r="I162" s="17" t="str">
        <f ca="1">IFERROR(__xludf.DUMMYFUNCTION("""COMPUTED_VALUE"""),"")</f>
        <v/>
      </c>
      <c r="J162" s="17" t="str">
        <f ca="1">IFERROR(__xludf.DUMMYFUNCTION("""COMPUTED_VALUE"""),"")</f>
        <v/>
      </c>
      <c r="K162" s="18" t="str">
        <f ca="1">IFERROR(__xludf.DUMMYFUNCTION("""COMPUTED_VALUE"""),"")</f>
        <v/>
      </c>
      <c r="L162" s="19"/>
      <c r="M162" s="19"/>
      <c r="N162" s="19"/>
      <c r="O162" s="19"/>
      <c r="P162" s="19"/>
      <c r="Q162" s="19"/>
      <c r="R162" s="19"/>
      <c r="S162" s="19"/>
      <c r="T162" s="19"/>
      <c r="U162" s="19"/>
      <c r="V162" s="20"/>
      <c r="W162" s="20"/>
      <c r="X162" s="20"/>
      <c r="Y162" s="20"/>
      <c r="Z162" s="21"/>
      <c r="AA162" s="22"/>
      <c r="AB162" s="23"/>
    </row>
    <row r="163" spans="1:28" ht="13.5" customHeight="1" x14ac:dyDescent="0.35">
      <c r="A163" s="24" t="str">
        <f ca="1">IFERROR(__xludf.DUMMYFUNCTION("""COMPUTED_VALUE"""),"")</f>
        <v/>
      </c>
      <c r="B163" s="28" t="str">
        <f ca="1">IFERROR(__xludf.DUMMYFUNCTION("""COMPUTED_VALUE"""),"")</f>
        <v/>
      </c>
      <c r="C163" s="27" t="str">
        <f ca="1">IFERROR(__xludf.DUMMYFUNCTION("""COMPUTED_VALUE"""),"")</f>
        <v/>
      </c>
      <c r="D163" s="27" t="str">
        <f ca="1">IFERROR(__xludf.DUMMYFUNCTION("""COMPUTED_VALUE"""),"")</f>
        <v/>
      </c>
      <c r="E163" s="15" t="str">
        <f ca="1">IFERROR(__xludf.DUMMYFUNCTION("""COMPUTED_VALUE"""),"")</f>
        <v/>
      </c>
      <c r="F163" s="28" t="str">
        <f ca="1">IFERROR(__xludf.DUMMYFUNCTION("""COMPUTED_VALUE"""),"")</f>
        <v/>
      </c>
      <c r="G163" s="16" t="str">
        <f ca="1">IFERROR(__xludf.DUMMYFUNCTION("""COMPUTED_VALUE"""),"")</f>
        <v/>
      </c>
      <c r="H163" s="17" t="str">
        <f ca="1">IFERROR(__xludf.DUMMYFUNCTION("""COMPUTED_VALUE"""),"")</f>
        <v/>
      </c>
      <c r="I163" s="17" t="str">
        <f ca="1">IFERROR(__xludf.DUMMYFUNCTION("""COMPUTED_VALUE"""),"")</f>
        <v/>
      </c>
      <c r="J163" s="17" t="str">
        <f ca="1">IFERROR(__xludf.DUMMYFUNCTION("""COMPUTED_VALUE"""),"")</f>
        <v/>
      </c>
      <c r="K163" s="18" t="str">
        <f ca="1">IFERROR(__xludf.DUMMYFUNCTION("""COMPUTED_VALUE"""),"")</f>
        <v/>
      </c>
      <c r="L163" s="19"/>
      <c r="M163" s="19"/>
      <c r="N163" s="19"/>
      <c r="O163" s="19"/>
      <c r="P163" s="19"/>
      <c r="Q163" s="19"/>
      <c r="R163" s="19"/>
      <c r="S163" s="19"/>
      <c r="T163" s="19"/>
      <c r="U163" s="19"/>
      <c r="V163" s="20"/>
      <c r="W163" s="20"/>
      <c r="X163" s="20"/>
      <c r="Y163" s="20"/>
      <c r="Z163" s="21"/>
      <c r="AA163" s="22"/>
      <c r="AB163" s="23"/>
    </row>
    <row r="164" spans="1:28" ht="13.5" customHeight="1" x14ac:dyDescent="0.35">
      <c r="A164" s="24" t="str">
        <f ca="1">IFERROR(__xludf.DUMMYFUNCTION("""COMPUTED_VALUE"""),"")</f>
        <v/>
      </c>
      <c r="B164" s="28" t="str">
        <f ca="1">IFERROR(__xludf.DUMMYFUNCTION("""COMPUTED_VALUE"""),"")</f>
        <v/>
      </c>
      <c r="C164" s="27" t="str">
        <f ca="1">IFERROR(__xludf.DUMMYFUNCTION("""COMPUTED_VALUE"""),"")</f>
        <v/>
      </c>
      <c r="D164" s="27" t="str">
        <f ca="1">IFERROR(__xludf.DUMMYFUNCTION("""COMPUTED_VALUE"""),"")</f>
        <v/>
      </c>
      <c r="E164" s="15" t="str">
        <f ca="1">IFERROR(__xludf.DUMMYFUNCTION("""COMPUTED_VALUE"""),"")</f>
        <v/>
      </c>
      <c r="F164" s="28" t="str">
        <f ca="1">IFERROR(__xludf.DUMMYFUNCTION("""COMPUTED_VALUE"""),"")</f>
        <v/>
      </c>
      <c r="G164" s="16" t="str">
        <f ca="1">IFERROR(__xludf.DUMMYFUNCTION("""COMPUTED_VALUE"""),"")</f>
        <v/>
      </c>
      <c r="H164" s="17" t="str">
        <f ca="1">IFERROR(__xludf.DUMMYFUNCTION("""COMPUTED_VALUE"""),"")</f>
        <v/>
      </c>
      <c r="I164" s="17" t="str">
        <f ca="1">IFERROR(__xludf.DUMMYFUNCTION("""COMPUTED_VALUE"""),"")</f>
        <v/>
      </c>
      <c r="J164" s="17" t="str">
        <f ca="1">IFERROR(__xludf.DUMMYFUNCTION("""COMPUTED_VALUE"""),"")</f>
        <v/>
      </c>
      <c r="K164" s="18" t="str">
        <f ca="1">IFERROR(__xludf.DUMMYFUNCTION("""COMPUTED_VALUE"""),"")</f>
        <v/>
      </c>
      <c r="L164" s="19"/>
      <c r="M164" s="19"/>
      <c r="N164" s="19"/>
      <c r="O164" s="19"/>
      <c r="P164" s="19"/>
      <c r="Q164" s="19"/>
      <c r="R164" s="19"/>
      <c r="S164" s="19"/>
      <c r="T164" s="19"/>
      <c r="U164" s="19"/>
      <c r="V164" s="20"/>
      <c r="W164" s="20"/>
      <c r="X164" s="20"/>
      <c r="Y164" s="20"/>
      <c r="Z164" s="21"/>
      <c r="AA164" s="22"/>
      <c r="AB164" s="23"/>
    </row>
    <row r="165" spans="1:28" ht="13.5" customHeight="1" x14ac:dyDescent="0.35">
      <c r="A165" s="24" t="str">
        <f ca="1">IFERROR(__xludf.DUMMYFUNCTION("""COMPUTED_VALUE"""),"")</f>
        <v/>
      </c>
      <c r="B165" s="28" t="str">
        <f ca="1">IFERROR(__xludf.DUMMYFUNCTION("""COMPUTED_VALUE"""),"")</f>
        <v/>
      </c>
      <c r="C165" s="27" t="str">
        <f ca="1">IFERROR(__xludf.DUMMYFUNCTION("""COMPUTED_VALUE"""),"")</f>
        <v/>
      </c>
      <c r="D165" s="27" t="str">
        <f ca="1">IFERROR(__xludf.DUMMYFUNCTION("""COMPUTED_VALUE"""),"")</f>
        <v/>
      </c>
      <c r="E165" s="15" t="str">
        <f ca="1">IFERROR(__xludf.DUMMYFUNCTION("""COMPUTED_VALUE"""),"")</f>
        <v/>
      </c>
      <c r="F165" s="28" t="str">
        <f ca="1">IFERROR(__xludf.DUMMYFUNCTION("""COMPUTED_VALUE"""),"")</f>
        <v/>
      </c>
      <c r="G165" s="16" t="str">
        <f ca="1">IFERROR(__xludf.DUMMYFUNCTION("""COMPUTED_VALUE"""),"")</f>
        <v/>
      </c>
      <c r="H165" s="17" t="str">
        <f ca="1">IFERROR(__xludf.DUMMYFUNCTION("""COMPUTED_VALUE"""),"")</f>
        <v/>
      </c>
      <c r="I165" s="17" t="str">
        <f ca="1">IFERROR(__xludf.DUMMYFUNCTION("""COMPUTED_VALUE"""),"")</f>
        <v/>
      </c>
      <c r="J165" s="17" t="str">
        <f ca="1">IFERROR(__xludf.DUMMYFUNCTION("""COMPUTED_VALUE"""),"")</f>
        <v/>
      </c>
      <c r="K165" s="18" t="str">
        <f ca="1">IFERROR(__xludf.DUMMYFUNCTION("""COMPUTED_VALUE"""),"")</f>
        <v/>
      </c>
      <c r="L165" s="19"/>
      <c r="M165" s="19"/>
      <c r="N165" s="19"/>
      <c r="O165" s="19"/>
      <c r="P165" s="19"/>
      <c r="Q165" s="19"/>
      <c r="R165" s="19"/>
      <c r="S165" s="19"/>
      <c r="T165" s="19"/>
      <c r="U165" s="19"/>
      <c r="V165" s="20"/>
      <c r="W165" s="20"/>
      <c r="X165" s="20"/>
      <c r="Y165" s="20"/>
      <c r="Z165" s="21"/>
      <c r="AA165" s="22"/>
      <c r="AB165" s="23"/>
    </row>
    <row r="166" spans="1:28" ht="13.5" customHeight="1" x14ac:dyDescent="0.35">
      <c r="A166" s="24" t="str">
        <f ca="1">IFERROR(__xludf.DUMMYFUNCTION("""COMPUTED_VALUE"""),"")</f>
        <v/>
      </c>
      <c r="B166" s="28" t="str">
        <f ca="1">IFERROR(__xludf.DUMMYFUNCTION("""COMPUTED_VALUE"""),"")</f>
        <v/>
      </c>
      <c r="C166" s="27" t="str">
        <f ca="1">IFERROR(__xludf.DUMMYFUNCTION("""COMPUTED_VALUE"""),"")</f>
        <v/>
      </c>
      <c r="D166" s="27" t="str">
        <f ca="1">IFERROR(__xludf.DUMMYFUNCTION("""COMPUTED_VALUE"""),"")</f>
        <v/>
      </c>
      <c r="E166" s="15" t="str">
        <f ca="1">IFERROR(__xludf.DUMMYFUNCTION("""COMPUTED_VALUE"""),"")</f>
        <v/>
      </c>
      <c r="F166" s="28" t="str">
        <f ca="1">IFERROR(__xludf.DUMMYFUNCTION("""COMPUTED_VALUE"""),"")</f>
        <v/>
      </c>
      <c r="G166" s="16" t="str">
        <f ca="1">IFERROR(__xludf.DUMMYFUNCTION("""COMPUTED_VALUE"""),"")</f>
        <v/>
      </c>
      <c r="H166" s="17" t="str">
        <f ca="1">IFERROR(__xludf.DUMMYFUNCTION("""COMPUTED_VALUE"""),"")</f>
        <v/>
      </c>
      <c r="I166" s="17" t="str">
        <f ca="1">IFERROR(__xludf.DUMMYFUNCTION("""COMPUTED_VALUE"""),"")</f>
        <v/>
      </c>
      <c r="J166" s="17" t="str">
        <f ca="1">IFERROR(__xludf.DUMMYFUNCTION("""COMPUTED_VALUE"""),"")</f>
        <v/>
      </c>
      <c r="K166" s="18" t="str">
        <f ca="1">IFERROR(__xludf.DUMMYFUNCTION("""COMPUTED_VALUE"""),"")</f>
        <v/>
      </c>
      <c r="L166" s="19"/>
      <c r="M166" s="19"/>
      <c r="N166" s="19"/>
      <c r="O166" s="19"/>
      <c r="P166" s="19"/>
      <c r="Q166" s="19"/>
      <c r="R166" s="19"/>
      <c r="S166" s="19"/>
      <c r="T166" s="19"/>
      <c r="U166" s="19"/>
      <c r="V166" s="20"/>
      <c r="W166" s="20"/>
      <c r="X166" s="20"/>
      <c r="Y166" s="20"/>
      <c r="Z166" s="21"/>
      <c r="AA166" s="22"/>
      <c r="AB166" s="23"/>
    </row>
    <row r="167" spans="1:28" ht="13.5" customHeight="1" x14ac:dyDescent="0.35">
      <c r="A167" s="24" t="str">
        <f ca="1">IFERROR(__xludf.DUMMYFUNCTION("""COMPUTED_VALUE"""),"")</f>
        <v/>
      </c>
      <c r="B167" s="28" t="str">
        <f ca="1">IFERROR(__xludf.DUMMYFUNCTION("""COMPUTED_VALUE"""),"")</f>
        <v/>
      </c>
      <c r="C167" s="27" t="str">
        <f ca="1">IFERROR(__xludf.DUMMYFUNCTION("""COMPUTED_VALUE"""),"")</f>
        <v/>
      </c>
      <c r="D167" s="27" t="str">
        <f ca="1">IFERROR(__xludf.DUMMYFUNCTION("""COMPUTED_VALUE"""),"")</f>
        <v/>
      </c>
      <c r="E167" s="15" t="str">
        <f ca="1">IFERROR(__xludf.DUMMYFUNCTION("""COMPUTED_VALUE"""),"")</f>
        <v/>
      </c>
      <c r="F167" s="28" t="str">
        <f ca="1">IFERROR(__xludf.DUMMYFUNCTION("""COMPUTED_VALUE"""),"")</f>
        <v/>
      </c>
      <c r="G167" s="16" t="str">
        <f ca="1">IFERROR(__xludf.DUMMYFUNCTION("""COMPUTED_VALUE"""),"")</f>
        <v/>
      </c>
      <c r="H167" s="17" t="str">
        <f ca="1">IFERROR(__xludf.DUMMYFUNCTION("""COMPUTED_VALUE"""),"")</f>
        <v/>
      </c>
      <c r="I167" s="17" t="str">
        <f ca="1">IFERROR(__xludf.DUMMYFUNCTION("""COMPUTED_VALUE"""),"")</f>
        <v/>
      </c>
      <c r="J167" s="17" t="str">
        <f ca="1">IFERROR(__xludf.DUMMYFUNCTION("""COMPUTED_VALUE"""),"")</f>
        <v/>
      </c>
      <c r="K167" s="18" t="str">
        <f ca="1">IFERROR(__xludf.DUMMYFUNCTION("""COMPUTED_VALUE"""),"")</f>
        <v/>
      </c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20"/>
      <c r="W167" s="20"/>
      <c r="X167" s="20"/>
      <c r="Y167" s="20"/>
      <c r="Z167" s="21"/>
      <c r="AA167" s="22"/>
      <c r="AB167" s="23"/>
    </row>
    <row r="168" spans="1:28" ht="13.5" customHeight="1" x14ac:dyDescent="0.35">
      <c r="A168" s="24" t="str">
        <f ca="1">IFERROR(__xludf.DUMMYFUNCTION("""COMPUTED_VALUE"""),"")</f>
        <v/>
      </c>
      <c r="B168" s="28" t="str">
        <f ca="1">IFERROR(__xludf.DUMMYFUNCTION("""COMPUTED_VALUE"""),"")</f>
        <v/>
      </c>
      <c r="C168" s="27" t="str">
        <f ca="1">IFERROR(__xludf.DUMMYFUNCTION("""COMPUTED_VALUE"""),"")</f>
        <v/>
      </c>
      <c r="D168" s="27" t="str">
        <f ca="1">IFERROR(__xludf.DUMMYFUNCTION("""COMPUTED_VALUE"""),"")</f>
        <v/>
      </c>
      <c r="E168" s="15" t="str">
        <f ca="1">IFERROR(__xludf.DUMMYFUNCTION("""COMPUTED_VALUE"""),"")</f>
        <v/>
      </c>
      <c r="F168" s="28" t="str">
        <f ca="1">IFERROR(__xludf.DUMMYFUNCTION("""COMPUTED_VALUE"""),"")</f>
        <v/>
      </c>
      <c r="G168" s="16" t="str">
        <f ca="1">IFERROR(__xludf.DUMMYFUNCTION("""COMPUTED_VALUE"""),"")</f>
        <v/>
      </c>
      <c r="H168" s="17" t="str">
        <f ca="1">IFERROR(__xludf.DUMMYFUNCTION("""COMPUTED_VALUE"""),"")</f>
        <v/>
      </c>
      <c r="I168" s="17" t="str">
        <f ca="1">IFERROR(__xludf.DUMMYFUNCTION("""COMPUTED_VALUE"""),"")</f>
        <v/>
      </c>
      <c r="J168" s="17" t="str">
        <f ca="1">IFERROR(__xludf.DUMMYFUNCTION("""COMPUTED_VALUE"""),"")</f>
        <v/>
      </c>
      <c r="K168" s="18" t="str">
        <f ca="1">IFERROR(__xludf.DUMMYFUNCTION("""COMPUTED_VALUE"""),"")</f>
        <v/>
      </c>
      <c r="L168" s="19"/>
      <c r="M168" s="19"/>
      <c r="N168" s="19"/>
      <c r="O168" s="19"/>
      <c r="P168" s="19"/>
      <c r="Q168" s="19"/>
      <c r="R168" s="19"/>
      <c r="S168" s="19"/>
      <c r="T168" s="19"/>
      <c r="U168" s="19"/>
      <c r="V168" s="20"/>
      <c r="W168" s="20"/>
      <c r="X168" s="20"/>
      <c r="Y168" s="20"/>
      <c r="Z168" s="21"/>
      <c r="AA168" s="22"/>
      <c r="AB168" s="23"/>
    </row>
    <row r="169" spans="1:28" ht="13.5" customHeight="1" x14ac:dyDescent="0.35">
      <c r="A169" s="24" t="str">
        <f ca="1">IFERROR(__xludf.DUMMYFUNCTION("""COMPUTED_VALUE"""),"")</f>
        <v/>
      </c>
      <c r="B169" s="28" t="str">
        <f ca="1">IFERROR(__xludf.DUMMYFUNCTION("""COMPUTED_VALUE"""),"")</f>
        <v/>
      </c>
      <c r="C169" s="27" t="str">
        <f ca="1">IFERROR(__xludf.DUMMYFUNCTION("""COMPUTED_VALUE"""),"")</f>
        <v/>
      </c>
      <c r="D169" s="27" t="str">
        <f ca="1">IFERROR(__xludf.DUMMYFUNCTION("""COMPUTED_VALUE"""),"")</f>
        <v/>
      </c>
      <c r="E169" s="15" t="str">
        <f ca="1">IFERROR(__xludf.DUMMYFUNCTION("""COMPUTED_VALUE"""),"")</f>
        <v/>
      </c>
      <c r="F169" s="28" t="str">
        <f ca="1">IFERROR(__xludf.DUMMYFUNCTION("""COMPUTED_VALUE"""),"")</f>
        <v/>
      </c>
      <c r="G169" s="16" t="str">
        <f ca="1">IFERROR(__xludf.DUMMYFUNCTION("""COMPUTED_VALUE"""),"")</f>
        <v/>
      </c>
      <c r="H169" s="17" t="str">
        <f ca="1">IFERROR(__xludf.DUMMYFUNCTION("""COMPUTED_VALUE"""),"")</f>
        <v/>
      </c>
      <c r="I169" s="17" t="str">
        <f ca="1">IFERROR(__xludf.DUMMYFUNCTION("""COMPUTED_VALUE"""),"")</f>
        <v/>
      </c>
      <c r="J169" s="17" t="str">
        <f ca="1">IFERROR(__xludf.DUMMYFUNCTION("""COMPUTED_VALUE"""),"")</f>
        <v/>
      </c>
      <c r="K169" s="18" t="str">
        <f ca="1">IFERROR(__xludf.DUMMYFUNCTION("""COMPUTED_VALUE"""),"")</f>
        <v/>
      </c>
      <c r="L169" s="19"/>
      <c r="M169" s="19"/>
      <c r="N169" s="19"/>
      <c r="O169" s="19"/>
      <c r="P169" s="19"/>
      <c r="Q169" s="19"/>
      <c r="R169" s="19"/>
      <c r="S169" s="19"/>
      <c r="T169" s="19"/>
      <c r="U169" s="19"/>
      <c r="V169" s="20"/>
      <c r="W169" s="20"/>
      <c r="X169" s="20"/>
      <c r="Y169" s="20"/>
      <c r="Z169" s="21"/>
      <c r="AA169" s="22"/>
      <c r="AB169" s="23"/>
    </row>
    <row r="170" spans="1:28" ht="13.5" customHeight="1" x14ac:dyDescent="0.35">
      <c r="A170" s="24" t="str">
        <f ca="1">IFERROR(__xludf.DUMMYFUNCTION("""COMPUTED_VALUE"""),"")</f>
        <v/>
      </c>
      <c r="B170" s="28" t="str">
        <f ca="1">IFERROR(__xludf.DUMMYFUNCTION("""COMPUTED_VALUE"""),"")</f>
        <v/>
      </c>
      <c r="C170" s="27" t="str">
        <f ca="1">IFERROR(__xludf.DUMMYFUNCTION("""COMPUTED_VALUE"""),"")</f>
        <v/>
      </c>
      <c r="D170" s="27" t="str">
        <f ca="1">IFERROR(__xludf.DUMMYFUNCTION("""COMPUTED_VALUE"""),"")</f>
        <v/>
      </c>
      <c r="E170" s="15" t="str">
        <f ca="1">IFERROR(__xludf.DUMMYFUNCTION("""COMPUTED_VALUE"""),"")</f>
        <v/>
      </c>
      <c r="F170" s="28" t="str">
        <f ca="1">IFERROR(__xludf.DUMMYFUNCTION("""COMPUTED_VALUE"""),"")</f>
        <v/>
      </c>
      <c r="G170" s="16" t="str">
        <f ca="1">IFERROR(__xludf.DUMMYFUNCTION("""COMPUTED_VALUE"""),"")</f>
        <v/>
      </c>
      <c r="H170" s="17" t="str">
        <f ca="1">IFERROR(__xludf.DUMMYFUNCTION("""COMPUTED_VALUE"""),"")</f>
        <v/>
      </c>
      <c r="I170" s="17" t="str">
        <f ca="1">IFERROR(__xludf.DUMMYFUNCTION("""COMPUTED_VALUE"""),"")</f>
        <v/>
      </c>
      <c r="J170" s="17" t="str">
        <f ca="1">IFERROR(__xludf.DUMMYFUNCTION("""COMPUTED_VALUE"""),"")</f>
        <v/>
      </c>
      <c r="K170" s="18" t="str">
        <f ca="1">IFERROR(__xludf.DUMMYFUNCTION("""COMPUTED_VALUE"""),"")</f>
        <v/>
      </c>
      <c r="L170" s="19"/>
      <c r="M170" s="19"/>
      <c r="N170" s="19"/>
      <c r="O170" s="19"/>
      <c r="P170" s="19"/>
      <c r="Q170" s="19"/>
      <c r="R170" s="19"/>
      <c r="S170" s="19"/>
      <c r="T170" s="19"/>
      <c r="U170" s="19"/>
      <c r="V170" s="20"/>
      <c r="W170" s="20"/>
      <c r="X170" s="20"/>
      <c r="Y170" s="20"/>
      <c r="Z170" s="21"/>
      <c r="AA170" s="22"/>
      <c r="AB170" s="22"/>
    </row>
    <row r="171" spans="1:28" ht="13.5" customHeight="1" x14ac:dyDescent="0.35">
      <c r="A171" s="24" t="str">
        <f ca="1">IFERROR(__xludf.DUMMYFUNCTION("""COMPUTED_VALUE"""),"")</f>
        <v/>
      </c>
      <c r="B171" s="28" t="str">
        <f ca="1">IFERROR(__xludf.DUMMYFUNCTION("""COMPUTED_VALUE"""),"")</f>
        <v/>
      </c>
      <c r="C171" s="27" t="str">
        <f ca="1">IFERROR(__xludf.DUMMYFUNCTION("""COMPUTED_VALUE"""),"")</f>
        <v/>
      </c>
      <c r="D171" s="27" t="str">
        <f ca="1">IFERROR(__xludf.DUMMYFUNCTION("""COMPUTED_VALUE"""),"")</f>
        <v/>
      </c>
      <c r="E171" s="15" t="str">
        <f ca="1">IFERROR(__xludf.DUMMYFUNCTION("""COMPUTED_VALUE"""),"")</f>
        <v/>
      </c>
      <c r="F171" s="28" t="str">
        <f ca="1">IFERROR(__xludf.DUMMYFUNCTION("""COMPUTED_VALUE"""),"")</f>
        <v/>
      </c>
      <c r="G171" s="16" t="str">
        <f ca="1">IFERROR(__xludf.DUMMYFUNCTION("""COMPUTED_VALUE"""),"")</f>
        <v/>
      </c>
      <c r="H171" s="17" t="str">
        <f ca="1">IFERROR(__xludf.DUMMYFUNCTION("""COMPUTED_VALUE"""),"")</f>
        <v/>
      </c>
      <c r="I171" s="17" t="str">
        <f ca="1">IFERROR(__xludf.DUMMYFUNCTION("""COMPUTED_VALUE"""),"")</f>
        <v/>
      </c>
      <c r="J171" s="17" t="str">
        <f ca="1">IFERROR(__xludf.DUMMYFUNCTION("""COMPUTED_VALUE"""),"")</f>
        <v/>
      </c>
      <c r="K171" s="18" t="str">
        <f ca="1">IFERROR(__xludf.DUMMYFUNCTION("""COMPUTED_VALUE"""),"")</f>
        <v/>
      </c>
      <c r="L171" s="19"/>
      <c r="M171" s="19"/>
      <c r="N171" s="19"/>
      <c r="O171" s="19"/>
      <c r="P171" s="19"/>
      <c r="Q171" s="19"/>
      <c r="R171" s="19"/>
      <c r="S171" s="19"/>
      <c r="T171" s="19"/>
      <c r="U171" s="19"/>
      <c r="V171" s="20"/>
      <c r="W171" s="20"/>
      <c r="X171" s="20"/>
      <c r="Y171" s="20"/>
      <c r="Z171" s="21"/>
      <c r="AA171" s="22"/>
      <c r="AB171" s="22"/>
    </row>
    <row r="172" spans="1:28" ht="13.5" customHeight="1" x14ac:dyDescent="0.35">
      <c r="A172" s="24" t="str">
        <f ca="1">IFERROR(__xludf.DUMMYFUNCTION("""COMPUTED_VALUE"""),"")</f>
        <v/>
      </c>
      <c r="B172" s="28" t="str">
        <f ca="1">IFERROR(__xludf.DUMMYFUNCTION("""COMPUTED_VALUE"""),"")</f>
        <v/>
      </c>
      <c r="C172" s="27" t="str">
        <f ca="1">IFERROR(__xludf.DUMMYFUNCTION("""COMPUTED_VALUE"""),"")</f>
        <v/>
      </c>
      <c r="D172" s="27" t="str">
        <f ca="1">IFERROR(__xludf.DUMMYFUNCTION("""COMPUTED_VALUE"""),"")</f>
        <v/>
      </c>
      <c r="E172" s="15" t="str">
        <f ca="1">IFERROR(__xludf.DUMMYFUNCTION("""COMPUTED_VALUE"""),"")</f>
        <v/>
      </c>
      <c r="F172" s="28" t="str">
        <f ca="1">IFERROR(__xludf.DUMMYFUNCTION("""COMPUTED_VALUE"""),"")</f>
        <v/>
      </c>
      <c r="G172" s="16" t="str">
        <f ca="1">IFERROR(__xludf.DUMMYFUNCTION("""COMPUTED_VALUE"""),"")</f>
        <v/>
      </c>
      <c r="H172" s="17" t="str">
        <f ca="1">IFERROR(__xludf.DUMMYFUNCTION("""COMPUTED_VALUE"""),"")</f>
        <v/>
      </c>
      <c r="I172" s="17" t="str">
        <f ca="1">IFERROR(__xludf.DUMMYFUNCTION("""COMPUTED_VALUE"""),"")</f>
        <v/>
      </c>
      <c r="J172" s="17" t="str">
        <f ca="1">IFERROR(__xludf.DUMMYFUNCTION("""COMPUTED_VALUE"""),"")</f>
        <v/>
      </c>
      <c r="K172" s="18" t="str">
        <f ca="1">IFERROR(__xludf.DUMMYFUNCTION("""COMPUTED_VALUE"""),"")</f>
        <v/>
      </c>
      <c r="L172" s="19"/>
      <c r="M172" s="19"/>
      <c r="N172" s="19"/>
      <c r="O172" s="19"/>
      <c r="P172" s="19"/>
      <c r="Q172" s="19"/>
      <c r="R172" s="19"/>
      <c r="S172" s="19"/>
      <c r="T172" s="19"/>
      <c r="U172" s="19"/>
      <c r="V172" s="20"/>
      <c r="W172" s="20"/>
      <c r="X172" s="20"/>
      <c r="Y172" s="20"/>
      <c r="Z172" s="21"/>
      <c r="AA172" s="22"/>
      <c r="AB172" s="22"/>
    </row>
    <row r="173" spans="1:28" ht="13.5" customHeight="1" x14ac:dyDescent="0.35">
      <c r="A173" s="24" t="str">
        <f ca="1">IFERROR(__xludf.DUMMYFUNCTION("""COMPUTED_VALUE"""),"")</f>
        <v/>
      </c>
      <c r="B173" s="28" t="str">
        <f ca="1">IFERROR(__xludf.DUMMYFUNCTION("""COMPUTED_VALUE"""),"")</f>
        <v/>
      </c>
      <c r="C173" s="27" t="str">
        <f ca="1">IFERROR(__xludf.DUMMYFUNCTION("""COMPUTED_VALUE"""),"")</f>
        <v/>
      </c>
      <c r="D173" s="27" t="str">
        <f ca="1">IFERROR(__xludf.DUMMYFUNCTION("""COMPUTED_VALUE"""),"")</f>
        <v/>
      </c>
      <c r="E173" s="15" t="str">
        <f ca="1">IFERROR(__xludf.DUMMYFUNCTION("""COMPUTED_VALUE"""),"")</f>
        <v/>
      </c>
      <c r="F173" s="28" t="str">
        <f ca="1">IFERROR(__xludf.DUMMYFUNCTION("""COMPUTED_VALUE"""),"")</f>
        <v/>
      </c>
      <c r="G173" s="16" t="str">
        <f ca="1">IFERROR(__xludf.DUMMYFUNCTION("""COMPUTED_VALUE"""),"")</f>
        <v/>
      </c>
      <c r="H173" s="17" t="str">
        <f ca="1">IFERROR(__xludf.DUMMYFUNCTION("""COMPUTED_VALUE"""),"")</f>
        <v/>
      </c>
      <c r="I173" s="17" t="str">
        <f ca="1">IFERROR(__xludf.DUMMYFUNCTION("""COMPUTED_VALUE"""),"")</f>
        <v/>
      </c>
      <c r="J173" s="17" t="str">
        <f ca="1">IFERROR(__xludf.DUMMYFUNCTION("""COMPUTED_VALUE"""),"")</f>
        <v/>
      </c>
      <c r="K173" s="18" t="str">
        <f ca="1">IFERROR(__xludf.DUMMYFUNCTION("""COMPUTED_VALUE"""),"")</f>
        <v/>
      </c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20"/>
      <c r="W173" s="20"/>
      <c r="X173" s="20"/>
      <c r="Y173" s="20"/>
      <c r="Z173" s="21"/>
      <c r="AA173" s="22"/>
      <c r="AB173" s="22"/>
    </row>
    <row r="174" spans="1:28" ht="13.5" customHeight="1" x14ac:dyDescent="0.35">
      <c r="A174" s="24" t="str">
        <f ca="1">IFERROR(__xludf.DUMMYFUNCTION("""COMPUTED_VALUE"""),"")</f>
        <v/>
      </c>
      <c r="B174" s="28" t="str">
        <f ca="1">IFERROR(__xludf.DUMMYFUNCTION("""COMPUTED_VALUE"""),"")</f>
        <v/>
      </c>
      <c r="C174" s="27" t="str">
        <f ca="1">IFERROR(__xludf.DUMMYFUNCTION("""COMPUTED_VALUE"""),"")</f>
        <v/>
      </c>
      <c r="D174" s="27" t="str">
        <f ca="1">IFERROR(__xludf.DUMMYFUNCTION("""COMPUTED_VALUE"""),"")</f>
        <v/>
      </c>
      <c r="E174" s="15" t="str">
        <f ca="1">IFERROR(__xludf.DUMMYFUNCTION("""COMPUTED_VALUE"""),"")</f>
        <v/>
      </c>
      <c r="F174" s="28" t="str">
        <f ca="1">IFERROR(__xludf.DUMMYFUNCTION("""COMPUTED_VALUE"""),"")</f>
        <v/>
      </c>
      <c r="G174" s="16" t="str">
        <f ca="1">IFERROR(__xludf.DUMMYFUNCTION("""COMPUTED_VALUE"""),"")</f>
        <v/>
      </c>
      <c r="H174" s="17" t="str">
        <f ca="1">IFERROR(__xludf.DUMMYFUNCTION("""COMPUTED_VALUE"""),"")</f>
        <v/>
      </c>
      <c r="I174" s="17" t="str">
        <f ca="1">IFERROR(__xludf.DUMMYFUNCTION("""COMPUTED_VALUE"""),"")</f>
        <v/>
      </c>
      <c r="J174" s="17" t="str">
        <f ca="1">IFERROR(__xludf.DUMMYFUNCTION("""COMPUTED_VALUE"""),"")</f>
        <v/>
      </c>
      <c r="K174" s="18" t="str">
        <f ca="1">IFERROR(__xludf.DUMMYFUNCTION("""COMPUTED_VALUE"""),"")</f>
        <v/>
      </c>
      <c r="L174" s="19"/>
      <c r="M174" s="19"/>
      <c r="N174" s="19"/>
      <c r="O174" s="19"/>
      <c r="P174" s="19"/>
      <c r="Q174" s="19"/>
      <c r="R174" s="19"/>
      <c r="S174" s="19"/>
      <c r="T174" s="19"/>
      <c r="U174" s="19"/>
      <c r="V174" s="20"/>
      <c r="W174" s="20"/>
      <c r="X174" s="20"/>
      <c r="Y174" s="20"/>
      <c r="Z174" s="21"/>
      <c r="AA174" s="22"/>
      <c r="AB174" s="22"/>
    </row>
    <row r="175" spans="1:28" ht="13.5" customHeight="1" x14ac:dyDescent="0.35">
      <c r="A175" s="24" t="str">
        <f ca="1">IFERROR(__xludf.DUMMYFUNCTION("""COMPUTED_VALUE"""),"")</f>
        <v/>
      </c>
      <c r="B175" s="28" t="str">
        <f ca="1">IFERROR(__xludf.DUMMYFUNCTION("""COMPUTED_VALUE"""),"")</f>
        <v/>
      </c>
      <c r="C175" s="27" t="str">
        <f ca="1">IFERROR(__xludf.DUMMYFUNCTION("""COMPUTED_VALUE"""),"")</f>
        <v/>
      </c>
      <c r="D175" s="27" t="str">
        <f ca="1">IFERROR(__xludf.DUMMYFUNCTION("""COMPUTED_VALUE"""),"")</f>
        <v/>
      </c>
      <c r="E175" s="15" t="str">
        <f ca="1">IFERROR(__xludf.DUMMYFUNCTION("""COMPUTED_VALUE"""),"")</f>
        <v/>
      </c>
      <c r="F175" s="28" t="str">
        <f ca="1">IFERROR(__xludf.DUMMYFUNCTION("""COMPUTED_VALUE"""),"")</f>
        <v/>
      </c>
      <c r="G175" s="16" t="str">
        <f ca="1">IFERROR(__xludf.DUMMYFUNCTION("""COMPUTED_VALUE"""),"")</f>
        <v/>
      </c>
      <c r="H175" s="17" t="str">
        <f ca="1">IFERROR(__xludf.DUMMYFUNCTION("""COMPUTED_VALUE"""),"")</f>
        <v/>
      </c>
      <c r="I175" s="17" t="str">
        <f ca="1">IFERROR(__xludf.DUMMYFUNCTION("""COMPUTED_VALUE"""),"")</f>
        <v/>
      </c>
      <c r="J175" s="17" t="str">
        <f ca="1">IFERROR(__xludf.DUMMYFUNCTION("""COMPUTED_VALUE"""),"")</f>
        <v/>
      </c>
      <c r="K175" s="18" t="str">
        <f ca="1">IFERROR(__xludf.DUMMYFUNCTION("""COMPUTED_VALUE"""),"")</f>
        <v/>
      </c>
      <c r="L175" s="19"/>
      <c r="M175" s="19"/>
      <c r="N175" s="19"/>
      <c r="O175" s="19"/>
      <c r="P175" s="19"/>
      <c r="Q175" s="19"/>
      <c r="R175" s="19"/>
      <c r="S175" s="19"/>
      <c r="T175" s="19"/>
      <c r="U175" s="19"/>
      <c r="V175" s="20"/>
      <c r="W175" s="20"/>
      <c r="X175" s="20"/>
      <c r="Y175" s="20"/>
      <c r="Z175" s="21"/>
      <c r="AA175" s="22"/>
      <c r="AB175" s="22"/>
    </row>
    <row r="176" spans="1:28" ht="13.5" customHeight="1" x14ac:dyDescent="0.35">
      <c r="A176" s="24" t="str">
        <f ca="1">IFERROR(__xludf.DUMMYFUNCTION("""COMPUTED_VALUE"""),"")</f>
        <v/>
      </c>
      <c r="B176" s="28" t="str">
        <f ca="1">IFERROR(__xludf.DUMMYFUNCTION("""COMPUTED_VALUE"""),"")</f>
        <v/>
      </c>
      <c r="C176" s="27" t="str">
        <f ca="1">IFERROR(__xludf.DUMMYFUNCTION("""COMPUTED_VALUE"""),"")</f>
        <v/>
      </c>
      <c r="D176" s="27" t="str">
        <f ca="1">IFERROR(__xludf.DUMMYFUNCTION("""COMPUTED_VALUE"""),"")</f>
        <v/>
      </c>
      <c r="E176" s="15" t="str">
        <f ca="1">IFERROR(__xludf.DUMMYFUNCTION("""COMPUTED_VALUE"""),"")</f>
        <v/>
      </c>
      <c r="F176" s="28" t="str">
        <f ca="1">IFERROR(__xludf.DUMMYFUNCTION("""COMPUTED_VALUE"""),"")</f>
        <v/>
      </c>
      <c r="G176" s="16" t="str">
        <f ca="1">IFERROR(__xludf.DUMMYFUNCTION("""COMPUTED_VALUE"""),"")</f>
        <v/>
      </c>
      <c r="H176" s="17" t="str">
        <f ca="1">IFERROR(__xludf.DUMMYFUNCTION("""COMPUTED_VALUE"""),"")</f>
        <v/>
      </c>
      <c r="I176" s="17" t="str">
        <f ca="1">IFERROR(__xludf.DUMMYFUNCTION("""COMPUTED_VALUE"""),"")</f>
        <v/>
      </c>
      <c r="J176" s="17" t="str">
        <f ca="1">IFERROR(__xludf.DUMMYFUNCTION("""COMPUTED_VALUE"""),"")</f>
        <v/>
      </c>
      <c r="K176" s="18" t="str">
        <f ca="1">IFERROR(__xludf.DUMMYFUNCTION("""COMPUTED_VALUE"""),"")</f>
        <v/>
      </c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V176" s="20"/>
      <c r="W176" s="20"/>
      <c r="X176" s="20"/>
      <c r="Y176" s="20"/>
      <c r="Z176" s="21"/>
      <c r="AA176" s="22"/>
      <c r="AB176" s="22"/>
    </row>
    <row r="177" spans="1:28" ht="13.5" customHeight="1" x14ac:dyDescent="0.35">
      <c r="A177" s="24" t="str">
        <f ca="1">IFERROR(__xludf.DUMMYFUNCTION("""COMPUTED_VALUE"""),"")</f>
        <v/>
      </c>
      <c r="B177" s="28" t="str">
        <f ca="1">IFERROR(__xludf.DUMMYFUNCTION("""COMPUTED_VALUE"""),"")</f>
        <v/>
      </c>
      <c r="C177" s="27" t="str">
        <f ca="1">IFERROR(__xludf.DUMMYFUNCTION("""COMPUTED_VALUE"""),"")</f>
        <v/>
      </c>
      <c r="D177" s="27" t="str">
        <f ca="1">IFERROR(__xludf.DUMMYFUNCTION("""COMPUTED_VALUE"""),"")</f>
        <v/>
      </c>
      <c r="E177" s="15" t="str">
        <f ca="1">IFERROR(__xludf.DUMMYFUNCTION("""COMPUTED_VALUE"""),"")</f>
        <v/>
      </c>
      <c r="F177" s="28" t="str">
        <f ca="1">IFERROR(__xludf.DUMMYFUNCTION("""COMPUTED_VALUE"""),"")</f>
        <v/>
      </c>
      <c r="G177" s="16" t="str">
        <f ca="1">IFERROR(__xludf.DUMMYFUNCTION("""COMPUTED_VALUE"""),"")</f>
        <v/>
      </c>
      <c r="H177" s="17" t="str">
        <f ca="1">IFERROR(__xludf.DUMMYFUNCTION("""COMPUTED_VALUE"""),"")</f>
        <v/>
      </c>
      <c r="I177" s="17" t="str">
        <f ca="1">IFERROR(__xludf.DUMMYFUNCTION("""COMPUTED_VALUE"""),"")</f>
        <v/>
      </c>
      <c r="J177" s="17" t="str">
        <f ca="1">IFERROR(__xludf.DUMMYFUNCTION("""COMPUTED_VALUE"""),"")</f>
        <v/>
      </c>
      <c r="K177" s="18" t="str">
        <f ca="1">IFERROR(__xludf.DUMMYFUNCTION("""COMPUTED_VALUE"""),"")</f>
        <v/>
      </c>
      <c r="L177" s="19"/>
      <c r="M177" s="19"/>
      <c r="N177" s="19"/>
      <c r="O177" s="19"/>
      <c r="P177" s="19"/>
      <c r="Q177" s="19"/>
      <c r="R177" s="19"/>
      <c r="S177" s="19"/>
      <c r="T177" s="19"/>
      <c r="U177" s="19"/>
      <c r="V177" s="20"/>
      <c r="W177" s="20"/>
      <c r="X177" s="20"/>
      <c r="Y177" s="20"/>
      <c r="Z177" s="21"/>
      <c r="AA177" s="22"/>
      <c r="AB177" s="22"/>
    </row>
    <row r="178" spans="1:28" ht="13.5" customHeight="1" x14ac:dyDescent="0.35">
      <c r="A178" s="24" t="str">
        <f ca="1">IFERROR(__xludf.DUMMYFUNCTION("""COMPUTED_VALUE"""),"")</f>
        <v/>
      </c>
      <c r="B178" s="28" t="str">
        <f ca="1">IFERROR(__xludf.DUMMYFUNCTION("""COMPUTED_VALUE"""),"")</f>
        <v/>
      </c>
      <c r="C178" s="27" t="str">
        <f ca="1">IFERROR(__xludf.DUMMYFUNCTION("""COMPUTED_VALUE"""),"")</f>
        <v/>
      </c>
      <c r="D178" s="27" t="str">
        <f ca="1">IFERROR(__xludf.DUMMYFUNCTION("""COMPUTED_VALUE"""),"")</f>
        <v/>
      </c>
      <c r="E178" s="15" t="str">
        <f ca="1">IFERROR(__xludf.DUMMYFUNCTION("""COMPUTED_VALUE"""),"")</f>
        <v/>
      </c>
      <c r="F178" s="28" t="str">
        <f ca="1">IFERROR(__xludf.DUMMYFUNCTION("""COMPUTED_VALUE"""),"")</f>
        <v/>
      </c>
      <c r="G178" s="16" t="str">
        <f ca="1">IFERROR(__xludf.DUMMYFUNCTION("""COMPUTED_VALUE"""),"")</f>
        <v/>
      </c>
      <c r="H178" s="17" t="str">
        <f ca="1">IFERROR(__xludf.DUMMYFUNCTION("""COMPUTED_VALUE"""),"")</f>
        <v/>
      </c>
      <c r="I178" s="17" t="str">
        <f ca="1">IFERROR(__xludf.DUMMYFUNCTION("""COMPUTED_VALUE"""),"")</f>
        <v/>
      </c>
      <c r="J178" s="17" t="str">
        <f ca="1">IFERROR(__xludf.DUMMYFUNCTION("""COMPUTED_VALUE"""),"")</f>
        <v/>
      </c>
      <c r="K178" s="18" t="str">
        <f ca="1">IFERROR(__xludf.DUMMYFUNCTION("""COMPUTED_VALUE"""),"")</f>
        <v/>
      </c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V178" s="20"/>
      <c r="W178" s="20"/>
      <c r="X178" s="20"/>
      <c r="Y178" s="20"/>
      <c r="Z178" s="21"/>
      <c r="AA178" s="22"/>
      <c r="AB178" s="22"/>
    </row>
    <row r="179" spans="1:28" ht="13.5" customHeight="1" x14ac:dyDescent="0.35">
      <c r="A179" s="24" t="str">
        <f ca="1">IFERROR(__xludf.DUMMYFUNCTION("""COMPUTED_VALUE"""),"")</f>
        <v/>
      </c>
      <c r="B179" s="28" t="str">
        <f ca="1">IFERROR(__xludf.DUMMYFUNCTION("""COMPUTED_VALUE"""),"")</f>
        <v/>
      </c>
      <c r="C179" s="27" t="str">
        <f ca="1">IFERROR(__xludf.DUMMYFUNCTION("""COMPUTED_VALUE"""),"")</f>
        <v/>
      </c>
      <c r="D179" s="27" t="str">
        <f ca="1">IFERROR(__xludf.DUMMYFUNCTION("""COMPUTED_VALUE"""),"")</f>
        <v/>
      </c>
      <c r="E179" s="15" t="str">
        <f ca="1">IFERROR(__xludf.DUMMYFUNCTION("""COMPUTED_VALUE"""),"")</f>
        <v/>
      </c>
      <c r="F179" s="28" t="str">
        <f ca="1">IFERROR(__xludf.DUMMYFUNCTION("""COMPUTED_VALUE"""),"")</f>
        <v/>
      </c>
      <c r="G179" s="16" t="str">
        <f ca="1">IFERROR(__xludf.DUMMYFUNCTION("""COMPUTED_VALUE"""),"")</f>
        <v/>
      </c>
      <c r="H179" s="17" t="str">
        <f ca="1">IFERROR(__xludf.DUMMYFUNCTION("""COMPUTED_VALUE"""),"")</f>
        <v/>
      </c>
      <c r="I179" s="17" t="str">
        <f ca="1">IFERROR(__xludf.DUMMYFUNCTION("""COMPUTED_VALUE"""),"")</f>
        <v/>
      </c>
      <c r="J179" s="17" t="str">
        <f ca="1">IFERROR(__xludf.DUMMYFUNCTION("""COMPUTED_VALUE"""),"")</f>
        <v/>
      </c>
      <c r="K179" s="18" t="str">
        <f ca="1">IFERROR(__xludf.DUMMYFUNCTION("""COMPUTED_VALUE"""),"")</f>
        <v/>
      </c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20"/>
      <c r="W179" s="20"/>
      <c r="X179" s="20"/>
      <c r="Y179" s="20"/>
      <c r="Z179" s="21"/>
      <c r="AA179" s="22"/>
      <c r="AB179" s="22"/>
    </row>
    <row r="180" spans="1:28" ht="13.5" customHeight="1" x14ac:dyDescent="0.35">
      <c r="A180" s="24" t="str">
        <f ca="1">IFERROR(__xludf.DUMMYFUNCTION("""COMPUTED_VALUE"""),"")</f>
        <v/>
      </c>
      <c r="B180" s="28" t="str">
        <f ca="1">IFERROR(__xludf.DUMMYFUNCTION("""COMPUTED_VALUE"""),"")</f>
        <v/>
      </c>
      <c r="C180" s="27" t="str">
        <f ca="1">IFERROR(__xludf.DUMMYFUNCTION("""COMPUTED_VALUE"""),"")</f>
        <v/>
      </c>
      <c r="D180" s="27" t="str">
        <f ca="1">IFERROR(__xludf.DUMMYFUNCTION("""COMPUTED_VALUE"""),"")</f>
        <v/>
      </c>
      <c r="E180" s="15" t="str">
        <f ca="1">IFERROR(__xludf.DUMMYFUNCTION("""COMPUTED_VALUE"""),"")</f>
        <v/>
      </c>
      <c r="F180" s="28" t="str">
        <f ca="1">IFERROR(__xludf.DUMMYFUNCTION("""COMPUTED_VALUE"""),"")</f>
        <v/>
      </c>
      <c r="G180" s="16" t="str">
        <f ca="1">IFERROR(__xludf.DUMMYFUNCTION("""COMPUTED_VALUE"""),"")</f>
        <v/>
      </c>
      <c r="H180" s="17" t="str">
        <f ca="1">IFERROR(__xludf.DUMMYFUNCTION("""COMPUTED_VALUE"""),"")</f>
        <v/>
      </c>
      <c r="I180" s="17" t="str">
        <f ca="1">IFERROR(__xludf.DUMMYFUNCTION("""COMPUTED_VALUE"""),"")</f>
        <v/>
      </c>
      <c r="J180" s="17" t="str">
        <f ca="1">IFERROR(__xludf.DUMMYFUNCTION("""COMPUTED_VALUE"""),"")</f>
        <v/>
      </c>
      <c r="K180" s="18" t="str">
        <f ca="1">IFERROR(__xludf.DUMMYFUNCTION("""COMPUTED_VALUE"""),"")</f>
        <v/>
      </c>
      <c r="L180" s="19"/>
      <c r="M180" s="19"/>
      <c r="N180" s="19"/>
      <c r="O180" s="19"/>
      <c r="P180" s="19"/>
      <c r="Q180" s="19"/>
      <c r="R180" s="19"/>
      <c r="S180" s="19"/>
      <c r="T180" s="19"/>
      <c r="U180" s="19"/>
      <c r="V180" s="20"/>
      <c r="W180" s="20"/>
      <c r="X180" s="20"/>
      <c r="Y180" s="20"/>
      <c r="Z180" s="21"/>
      <c r="AA180" s="22"/>
      <c r="AB180" s="22"/>
    </row>
    <row r="181" spans="1:28" ht="13.5" customHeight="1" x14ac:dyDescent="0.35">
      <c r="A181" s="29"/>
      <c r="B181" s="30"/>
      <c r="C181" s="31"/>
      <c r="D181" s="31"/>
      <c r="E181" s="30"/>
      <c r="F181" s="32"/>
      <c r="G181" s="33"/>
      <c r="H181" s="30"/>
      <c r="I181" s="30"/>
      <c r="J181" s="30"/>
      <c r="K181" s="34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20"/>
      <c r="W181" s="20"/>
      <c r="X181" s="20"/>
      <c r="Y181" s="20"/>
      <c r="Z181" s="21"/>
      <c r="AA181" s="22"/>
      <c r="AB181" s="22"/>
    </row>
    <row r="182" spans="1:28" ht="13.5" customHeight="1" x14ac:dyDescent="0.35">
      <c r="A182" s="29"/>
      <c r="B182" s="30"/>
      <c r="C182" s="31"/>
      <c r="D182" s="31"/>
      <c r="E182" s="30"/>
      <c r="F182" s="32"/>
      <c r="G182" s="33"/>
      <c r="H182" s="30"/>
      <c r="I182" s="30"/>
      <c r="J182" s="30"/>
      <c r="K182" s="34"/>
      <c r="L182" s="19"/>
      <c r="M182" s="19"/>
      <c r="N182" s="19"/>
      <c r="O182" s="19"/>
      <c r="P182" s="19"/>
      <c r="Q182" s="19"/>
      <c r="R182" s="19"/>
      <c r="S182" s="19"/>
      <c r="T182" s="19"/>
      <c r="U182" s="19"/>
      <c r="V182" s="20"/>
      <c r="W182" s="20"/>
      <c r="X182" s="20"/>
      <c r="Y182" s="20"/>
      <c r="Z182" s="21"/>
      <c r="AA182" s="22"/>
      <c r="AB182" s="22"/>
    </row>
    <row r="183" spans="1:28" ht="15.75" customHeight="1" x14ac:dyDescent="0.25">
      <c r="A183" s="29"/>
      <c r="B183" s="30"/>
      <c r="C183" s="31"/>
      <c r="D183" s="31"/>
      <c r="E183" s="30"/>
      <c r="F183" s="32"/>
      <c r="G183" s="33"/>
      <c r="H183" s="30"/>
      <c r="I183" s="30"/>
      <c r="J183" s="30"/>
      <c r="K183" s="34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1"/>
      <c r="AA183" s="22"/>
      <c r="AB183" s="22"/>
    </row>
    <row r="184" spans="1:28" ht="15.75" customHeight="1" x14ac:dyDescent="0.25">
      <c r="A184" s="29"/>
      <c r="B184" s="30"/>
      <c r="C184" s="31"/>
      <c r="D184" s="31"/>
      <c r="E184" s="30"/>
      <c r="F184" s="32"/>
      <c r="G184" s="33"/>
      <c r="H184" s="30"/>
      <c r="I184" s="30"/>
      <c r="J184" s="30"/>
      <c r="K184" s="34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1"/>
      <c r="AA184" s="22"/>
      <c r="AB184" s="22"/>
    </row>
    <row r="185" spans="1:28" ht="15.75" customHeight="1" x14ac:dyDescent="0.25">
      <c r="A185" s="29"/>
      <c r="B185" s="30"/>
      <c r="C185" s="31"/>
      <c r="D185" s="31"/>
      <c r="E185" s="30"/>
      <c r="F185" s="32"/>
      <c r="G185" s="33"/>
      <c r="H185" s="30"/>
      <c r="I185" s="30"/>
      <c r="J185" s="30"/>
      <c r="K185" s="34"/>
      <c r="L185" s="20"/>
      <c r="M185" s="20"/>
      <c r="N185" s="20"/>
      <c r="O185" s="20"/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1"/>
      <c r="AA185" s="22"/>
      <c r="AB185" s="22"/>
    </row>
    <row r="186" spans="1:28" ht="15.75" customHeight="1" x14ac:dyDescent="0.25">
      <c r="A186" s="29"/>
      <c r="B186" s="30"/>
      <c r="C186" s="31"/>
      <c r="D186" s="31"/>
      <c r="E186" s="30"/>
      <c r="F186" s="32"/>
      <c r="G186" s="33"/>
      <c r="H186" s="30"/>
      <c r="I186" s="30"/>
      <c r="J186" s="30"/>
      <c r="K186" s="34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1"/>
      <c r="AA186" s="22"/>
      <c r="AB186" s="22"/>
    </row>
    <row r="187" spans="1:28" ht="15.75" customHeight="1" x14ac:dyDescent="0.25">
      <c r="A187" s="29"/>
      <c r="B187" s="30"/>
      <c r="C187" s="31"/>
      <c r="D187" s="31"/>
      <c r="E187" s="30"/>
      <c r="F187" s="32"/>
      <c r="G187" s="33"/>
      <c r="H187" s="30"/>
      <c r="I187" s="30"/>
      <c r="J187" s="30"/>
      <c r="K187" s="34"/>
      <c r="L187" s="20"/>
      <c r="M187" s="20"/>
      <c r="N187" s="20"/>
      <c r="O187" s="20"/>
      <c r="P187" s="20"/>
      <c r="Q187" s="20"/>
      <c r="R187" s="20"/>
      <c r="S187" s="20"/>
      <c r="T187" s="20"/>
      <c r="U187" s="20"/>
      <c r="V187" s="20"/>
      <c r="W187" s="20"/>
      <c r="X187" s="20"/>
      <c r="Y187" s="20"/>
      <c r="Z187" s="21"/>
      <c r="AA187" s="22"/>
      <c r="AB187" s="22"/>
    </row>
    <row r="188" spans="1:28" ht="15.75" customHeight="1" x14ac:dyDescent="0.25">
      <c r="A188" s="29"/>
      <c r="B188" s="30"/>
      <c r="C188" s="31"/>
      <c r="D188" s="31"/>
      <c r="E188" s="30"/>
      <c r="F188" s="32"/>
      <c r="G188" s="33"/>
      <c r="H188" s="30"/>
      <c r="I188" s="30"/>
      <c r="J188" s="30"/>
      <c r="K188" s="34"/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1"/>
      <c r="AA188" s="22"/>
      <c r="AB188" s="22"/>
    </row>
    <row r="189" spans="1:28" ht="15.75" customHeight="1" x14ac:dyDescent="0.25">
      <c r="A189" s="29"/>
      <c r="B189" s="30"/>
      <c r="C189" s="31"/>
      <c r="D189" s="31"/>
      <c r="E189" s="30"/>
      <c r="F189" s="32"/>
      <c r="G189" s="33"/>
      <c r="H189" s="30"/>
      <c r="I189" s="30"/>
      <c r="J189" s="30"/>
      <c r="K189" s="34"/>
      <c r="L189" s="20"/>
      <c r="M189" s="20"/>
      <c r="N189" s="20"/>
      <c r="O189" s="20"/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1"/>
      <c r="AA189" s="22"/>
      <c r="AB189" s="22"/>
    </row>
    <row r="190" spans="1:28" ht="15.75" customHeight="1" x14ac:dyDescent="0.25">
      <c r="A190" s="29"/>
      <c r="B190" s="30"/>
      <c r="C190" s="31"/>
      <c r="D190" s="31"/>
      <c r="E190" s="30"/>
      <c r="F190" s="32"/>
      <c r="G190" s="33"/>
      <c r="H190" s="30"/>
      <c r="I190" s="30"/>
      <c r="J190" s="30"/>
      <c r="K190" s="34"/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1"/>
      <c r="AA190" s="22"/>
      <c r="AB190" s="22"/>
    </row>
    <row r="191" spans="1:28" ht="15.75" customHeight="1" x14ac:dyDescent="0.25">
      <c r="A191" s="29"/>
      <c r="B191" s="30"/>
      <c r="C191" s="31"/>
      <c r="D191" s="31"/>
      <c r="E191" s="30"/>
      <c r="F191" s="32"/>
      <c r="G191" s="33"/>
      <c r="H191" s="30"/>
      <c r="I191" s="30"/>
      <c r="J191" s="30"/>
      <c r="K191" s="34"/>
      <c r="L191" s="20"/>
      <c r="M191" s="20"/>
      <c r="N191" s="20"/>
      <c r="O191" s="20"/>
      <c r="P191" s="20"/>
      <c r="Q191" s="20"/>
      <c r="R191" s="20"/>
      <c r="S191" s="20"/>
      <c r="T191" s="20"/>
      <c r="U191" s="20"/>
      <c r="V191" s="20"/>
      <c r="W191" s="20"/>
      <c r="X191" s="20"/>
      <c r="Y191" s="20"/>
      <c r="Z191" s="21"/>
      <c r="AA191" s="22"/>
      <c r="AB191" s="22"/>
    </row>
    <row r="192" spans="1:28" ht="15.75" customHeight="1" x14ac:dyDescent="0.25">
      <c r="A192" s="29"/>
      <c r="B192" s="30"/>
      <c r="C192" s="31"/>
      <c r="D192" s="31"/>
      <c r="E192" s="30"/>
      <c r="F192" s="35"/>
      <c r="G192" s="33"/>
      <c r="H192" s="30"/>
      <c r="I192" s="30"/>
      <c r="J192" s="30"/>
      <c r="K192" s="34"/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1"/>
      <c r="AA192" s="22"/>
      <c r="AB192" s="22"/>
    </row>
    <row r="193" spans="1:28" ht="15.75" customHeight="1" x14ac:dyDescent="0.25">
      <c r="A193" s="29"/>
      <c r="B193" s="30"/>
      <c r="C193" s="31"/>
      <c r="D193" s="31"/>
      <c r="E193" s="30"/>
      <c r="F193" s="35"/>
      <c r="G193" s="33"/>
      <c r="H193" s="30"/>
      <c r="I193" s="30"/>
      <c r="J193" s="30"/>
      <c r="K193" s="34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1"/>
      <c r="AA193" s="22"/>
      <c r="AB193" s="22"/>
    </row>
    <row r="194" spans="1:28" ht="15.75" customHeight="1" x14ac:dyDescent="0.25">
      <c r="A194" s="29"/>
      <c r="B194" s="30"/>
      <c r="C194" s="31"/>
      <c r="D194" s="31"/>
      <c r="E194" s="30"/>
      <c r="F194" s="35"/>
      <c r="G194" s="33"/>
      <c r="H194" s="30"/>
      <c r="I194" s="30"/>
      <c r="J194" s="30"/>
      <c r="K194" s="34"/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1"/>
      <c r="AA194" s="22"/>
      <c r="AB194" s="22"/>
    </row>
    <row r="195" spans="1:28" ht="15.75" customHeight="1" x14ac:dyDescent="0.25">
      <c r="A195" s="29"/>
      <c r="B195" s="30"/>
      <c r="C195" s="31"/>
      <c r="D195" s="31"/>
      <c r="E195" s="30"/>
      <c r="F195" s="35"/>
      <c r="G195" s="33"/>
      <c r="H195" s="30"/>
      <c r="I195" s="30"/>
      <c r="J195" s="30"/>
      <c r="K195" s="34"/>
      <c r="L195" s="20"/>
      <c r="M195" s="20"/>
      <c r="N195" s="20"/>
      <c r="O195" s="20"/>
      <c r="P195" s="20"/>
      <c r="Q195" s="20"/>
      <c r="R195" s="20"/>
      <c r="S195" s="20"/>
      <c r="T195" s="20"/>
      <c r="U195" s="20"/>
      <c r="V195" s="20"/>
      <c r="W195" s="20"/>
      <c r="X195" s="20"/>
      <c r="Y195" s="20"/>
      <c r="Z195" s="21"/>
      <c r="AA195" s="22"/>
      <c r="AB195" s="22"/>
    </row>
    <row r="196" spans="1:28" ht="15.75" customHeight="1" x14ac:dyDescent="0.25">
      <c r="A196" s="29"/>
      <c r="B196" s="30"/>
      <c r="C196" s="31"/>
      <c r="D196" s="31"/>
      <c r="E196" s="30"/>
      <c r="F196" s="35"/>
      <c r="G196" s="33"/>
      <c r="H196" s="30"/>
      <c r="I196" s="30"/>
      <c r="J196" s="30"/>
      <c r="K196" s="34"/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1"/>
      <c r="AA196" s="22"/>
      <c r="AB196" s="22"/>
    </row>
    <row r="197" spans="1:28" ht="15.75" customHeight="1" x14ac:dyDescent="0.25">
      <c r="A197" s="29"/>
      <c r="B197" s="30"/>
      <c r="C197" s="31"/>
      <c r="D197" s="31"/>
      <c r="E197" s="30"/>
      <c r="F197" s="35"/>
      <c r="G197" s="33"/>
      <c r="H197" s="30"/>
      <c r="I197" s="30"/>
      <c r="J197" s="30"/>
      <c r="K197" s="34"/>
      <c r="L197" s="20"/>
      <c r="M197" s="20"/>
      <c r="N197" s="20"/>
      <c r="O197" s="20"/>
      <c r="P197" s="20"/>
      <c r="Q197" s="20"/>
      <c r="R197" s="20"/>
      <c r="S197" s="20"/>
      <c r="T197" s="20"/>
      <c r="U197" s="20"/>
      <c r="V197" s="20"/>
      <c r="W197" s="20"/>
      <c r="X197" s="20"/>
      <c r="Y197" s="20"/>
      <c r="Z197" s="21"/>
      <c r="AA197" s="22"/>
      <c r="AB197" s="22"/>
    </row>
    <row r="198" spans="1:28" ht="15.75" customHeight="1" x14ac:dyDescent="0.25">
      <c r="A198" s="29"/>
      <c r="B198" s="30"/>
      <c r="C198" s="31"/>
      <c r="D198" s="31"/>
      <c r="E198" s="30"/>
      <c r="F198" s="35"/>
      <c r="G198" s="33"/>
      <c r="H198" s="30"/>
      <c r="I198" s="30"/>
      <c r="J198" s="30"/>
      <c r="K198" s="34"/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1"/>
      <c r="AA198" s="22"/>
      <c r="AB198" s="22"/>
    </row>
    <row r="199" spans="1:28" ht="15.75" customHeight="1" x14ac:dyDescent="0.25">
      <c r="A199" s="29"/>
      <c r="B199" s="30"/>
      <c r="C199" s="31"/>
      <c r="D199" s="31"/>
      <c r="E199" s="30"/>
      <c r="F199" s="35"/>
      <c r="G199" s="33"/>
      <c r="H199" s="30"/>
      <c r="I199" s="30"/>
      <c r="J199" s="30"/>
      <c r="K199" s="34"/>
      <c r="L199" s="20"/>
      <c r="M199" s="20"/>
      <c r="N199" s="20"/>
      <c r="O199" s="20"/>
      <c r="P199" s="20"/>
      <c r="Q199" s="20"/>
      <c r="R199" s="20"/>
      <c r="S199" s="20"/>
      <c r="T199" s="20"/>
      <c r="U199" s="20"/>
      <c r="V199" s="20"/>
      <c r="W199" s="20"/>
      <c r="X199" s="20"/>
      <c r="Y199" s="20"/>
      <c r="Z199" s="21"/>
      <c r="AA199" s="22"/>
      <c r="AB199" s="22"/>
    </row>
    <row r="200" spans="1:28" ht="15.75" customHeight="1" x14ac:dyDescent="0.25">
      <c r="A200" s="29"/>
      <c r="B200" s="30"/>
      <c r="C200" s="31"/>
      <c r="D200" s="31"/>
      <c r="E200" s="30"/>
      <c r="F200" s="35"/>
      <c r="G200" s="33"/>
      <c r="H200" s="30"/>
      <c r="I200" s="30"/>
      <c r="J200" s="30"/>
      <c r="K200" s="34"/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1"/>
      <c r="AA200" s="22"/>
      <c r="AB200" s="22"/>
    </row>
    <row r="201" spans="1:28" ht="15.75" customHeight="1" x14ac:dyDescent="0.25">
      <c r="A201" s="29"/>
      <c r="B201" s="30"/>
      <c r="C201" s="31"/>
      <c r="D201" s="31"/>
      <c r="E201" s="30"/>
      <c r="F201" s="35"/>
      <c r="G201" s="33"/>
      <c r="H201" s="30"/>
      <c r="I201" s="30"/>
      <c r="J201" s="30"/>
      <c r="K201" s="34"/>
      <c r="L201" s="20"/>
      <c r="M201" s="20"/>
      <c r="N201" s="20"/>
      <c r="O201" s="20"/>
      <c r="P201" s="20"/>
      <c r="Q201" s="20"/>
      <c r="R201" s="20"/>
      <c r="S201" s="20"/>
      <c r="T201" s="20"/>
      <c r="U201" s="20"/>
      <c r="V201" s="20"/>
      <c r="W201" s="20"/>
      <c r="X201" s="20"/>
      <c r="Y201" s="20"/>
      <c r="Z201" s="21"/>
      <c r="AA201" s="22"/>
      <c r="AB201" s="22"/>
    </row>
    <row r="202" spans="1:28" ht="15.75" customHeight="1" x14ac:dyDescent="0.25">
      <c r="A202" s="29"/>
      <c r="B202" s="30"/>
      <c r="C202" s="31"/>
      <c r="D202" s="31"/>
      <c r="E202" s="30"/>
      <c r="F202" s="35"/>
      <c r="G202" s="33"/>
      <c r="H202" s="30"/>
      <c r="I202" s="30"/>
      <c r="J202" s="30"/>
      <c r="K202" s="34"/>
      <c r="L202" s="20"/>
      <c r="M202" s="20"/>
      <c r="N202" s="20"/>
      <c r="O202" s="20"/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1"/>
      <c r="AA202" s="22"/>
      <c r="AB202" s="22"/>
    </row>
    <row r="203" spans="1:28" ht="15.75" customHeight="1" x14ac:dyDescent="0.25">
      <c r="A203" s="29"/>
      <c r="B203" s="30"/>
      <c r="C203" s="31"/>
      <c r="D203" s="31"/>
      <c r="E203" s="30"/>
      <c r="F203" s="35"/>
      <c r="G203" s="33"/>
      <c r="H203" s="30"/>
      <c r="I203" s="30"/>
      <c r="J203" s="30"/>
      <c r="K203" s="34"/>
      <c r="L203" s="20"/>
      <c r="M203" s="20"/>
      <c r="N203" s="20"/>
      <c r="O203" s="20"/>
      <c r="P203" s="20"/>
      <c r="Q203" s="20"/>
      <c r="R203" s="20"/>
      <c r="S203" s="20"/>
      <c r="T203" s="20"/>
      <c r="U203" s="20"/>
      <c r="V203" s="20"/>
      <c r="W203" s="20"/>
      <c r="X203" s="20"/>
      <c r="Y203" s="20"/>
      <c r="Z203" s="21"/>
      <c r="AA203" s="22"/>
      <c r="AB203" s="22"/>
    </row>
    <row r="204" spans="1:28" ht="15.75" customHeight="1" x14ac:dyDescent="0.25">
      <c r="A204" s="29"/>
      <c r="B204" s="30"/>
      <c r="C204" s="31"/>
      <c r="D204" s="31"/>
      <c r="E204" s="30"/>
      <c r="F204" s="35"/>
      <c r="G204" s="33"/>
      <c r="H204" s="30"/>
      <c r="I204" s="30"/>
      <c r="J204" s="30"/>
      <c r="K204" s="34"/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1"/>
      <c r="AA204" s="22"/>
      <c r="AB204" s="22"/>
    </row>
    <row r="205" spans="1:28" ht="15.75" customHeight="1" x14ac:dyDescent="0.25">
      <c r="A205" s="29"/>
      <c r="B205" s="30"/>
      <c r="C205" s="31"/>
      <c r="D205" s="31"/>
      <c r="E205" s="30"/>
      <c r="F205" s="35"/>
      <c r="G205" s="33"/>
      <c r="H205" s="30"/>
      <c r="I205" s="30"/>
      <c r="J205" s="30"/>
      <c r="K205" s="34"/>
      <c r="L205" s="20"/>
      <c r="M205" s="20"/>
      <c r="N205" s="20"/>
      <c r="O205" s="20"/>
      <c r="P205" s="20"/>
      <c r="Q205" s="20"/>
      <c r="R205" s="20"/>
      <c r="S205" s="20"/>
      <c r="T205" s="20"/>
      <c r="U205" s="20"/>
      <c r="V205" s="20"/>
      <c r="W205" s="20"/>
      <c r="X205" s="20"/>
      <c r="Y205" s="20"/>
      <c r="Z205" s="21"/>
      <c r="AA205" s="22"/>
      <c r="AB205" s="22"/>
    </row>
    <row r="206" spans="1:28" ht="15.75" customHeight="1" x14ac:dyDescent="0.25">
      <c r="A206" s="29"/>
      <c r="B206" s="30"/>
      <c r="C206" s="31"/>
      <c r="D206" s="31"/>
      <c r="E206" s="30"/>
      <c r="F206" s="35"/>
      <c r="G206" s="33"/>
      <c r="H206" s="30"/>
      <c r="I206" s="30"/>
      <c r="J206" s="30"/>
      <c r="K206" s="34"/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1"/>
      <c r="AA206" s="22"/>
      <c r="AB206" s="22"/>
    </row>
    <row r="207" spans="1:28" ht="15.75" customHeight="1" x14ac:dyDescent="0.25">
      <c r="A207" s="29"/>
      <c r="B207" s="30"/>
      <c r="C207" s="31"/>
      <c r="D207" s="31"/>
      <c r="E207" s="30"/>
      <c r="F207" s="35"/>
      <c r="G207" s="33"/>
      <c r="H207" s="30"/>
      <c r="I207" s="30"/>
      <c r="J207" s="30"/>
      <c r="K207" s="34"/>
      <c r="L207" s="20"/>
      <c r="M207" s="20"/>
      <c r="N207" s="20"/>
      <c r="O207" s="20"/>
      <c r="P207" s="20"/>
      <c r="Q207" s="20"/>
      <c r="R207" s="20"/>
      <c r="S207" s="20"/>
      <c r="T207" s="20"/>
      <c r="U207" s="20"/>
      <c r="V207" s="20"/>
      <c r="W207" s="20"/>
      <c r="X207" s="20"/>
      <c r="Y207" s="20"/>
      <c r="Z207" s="21"/>
      <c r="AA207" s="22"/>
      <c r="AB207" s="22"/>
    </row>
    <row r="208" spans="1:28" ht="15.75" customHeight="1" x14ac:dyDescent="0.25">
      <c r="A208" s="29"/>
      <c r="B208" s="30"/>
      <c r="C208" s="31"/>
      <c r="D208" s="31"/>
      <c r="E208" s="30"/>
      <c r="F208" s="35"/>
      <c r="G208" s="33"/>
      <c r="H208" s="30"/>
      <c r="I208" s="30"/>
      <c r="J208" s="30"/>
      <c r="K208" s="34"/>
      <c r="L208" s="20"/>
      <c r="M208" s="20"/>
      <c r="N208" s="20"/>
      <c r="O208" s="20"/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1"/>
      <c r="AA208" s="22"/>
      <c r="AB208" s="22"/>
    </row>
    <row r="209" spans="1:28" ht="15.75" customHeight="1" x14ac:dyDescent="0.25">
      <c r="A209" s="29"/>
      <c r="B209" s="30"/>
      <c r="C209" s="31"/>
      <c r="D209" s="31"/>
      <c r="E209" s="30"/>
      <c r="F209" s="35"/>
      <c r="G209" s="33"/>
      <c r="H209" s="30"/>
      <c r="I209" s="30"/>
      <c r="J209" s="30"/>
      <c r="K209" s="34"/>
      <c r="L209" s="20"/>
      <c r="M209" s="20"/>
      <c r="N209" s="20"/>
      <c r="O209" s="20"/>
      <c r="P209" s="20"/>
      <c r="Q209" s="20"/>
      <c r="R209" s="20"/>
      <c r="S209" s="20"/>
      <c r="T209" s="20"/>
      <c r="U209" s="20"/>
      <c r="V209" s="20"/>
      <c r="W209" s="20"/>
      <c r="X209" s="20"/>
      <c r="Y209" s="20"/>
      <c r="Z209" s="21"/>
      <c r="AA209" s="22"/>
      <c r="AB209" s="22"/>
    </row>
    <row r="210" spans="1:28" ht="15.75" customHeight="1" x14ac:dyDescent="0.25">
      <c r="A210" s="29"/>
      <c r="B210" s="30"/>
      <c r="C210" s="31"/>
      <c r="D210" s="31"/>
      <c r="E210" s="30"/>
      <c r="F210" s="35"/>
      <c r="G210" s="33"/>
      <c r="H210" s="30"/>
      <c r="I210" s="30"/>
      <c r="J210" s="30"/>
      <c r="K210" s="34"/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1"/>
      <c r="AA210" s="22"/>
      <c r="AB210" s="22"/>
    </row>
    <row r="211" spans="1:28" ht="15.75" customHeight="1" x14ac:dyDescent="0.25">
      <c r="A211" s="29"/>
      <c r="B211" s="30"/>
      <c r="C211" s="31"/>
      <c r="D211" s="31"/>
      <c r="E211" s="30"/>
      <c r="F211" s="35"/>
      <c r="G211" s="33"/>
      <c r="H211" s="30"/>
      <c r="I211" s="30"/>
      <c r="J211" s="30"/>
      <c r="K211" s="34"/>
      <c r="L211" s="20"/>
      <c r="M211" s="20"/>
      <c r="N211" s="20"/>
      <c r="O211" s="20"/>
      <c r="P211" s="20"/>
      <c r="Q211" s="20"/>
      <c r="R211" s="20"/>
      <c r="S211" s="20"/>
      <c r="T211" s="20"/>
      <c r="U211" s="20"/>
      <c r="V211" s="20"/>
      <c r="W211" s="20"/>
      <c r="X211" s="20"/>
      <c r="Y211" s="20"/>
      <c r="Z211" s="21"/>
      <c r="AA211" s="22"/>
      <c r="AB211" s="22"/>
    </row>
    <row r="212" spans="1:28" ht="15.75" customHeight="1" x14ac:dyDescent="0.25">
      <c r="A212" s="29"/>
      <c r="B212" s="30"/>
      <c r="C212" s="31"/>
      <c r="D212" s="31"/>
      <c r="E212" s="30"/>
      <c r="F212" s="35"/>
      <c r="G212" s="33"/>
      <c r="H212" s="30"/>
      <c r="I212" s="30"/>
      <c r="J212" s="30"/>
      <c r="K212" s="34"/>
      <c r="L212" s="20"/>
      <c r="M212" s="20"/>
      <c r="N212" s="20"/>
      <c r="O212" s="20"/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1"/>
      <c r="AA212" s="22"/>
      <c r="AB212" s="22"/>
    </row>
    <row r="213" spans="1:28" ht="15.75" customHeight="1" x14ac:dyDescent="0.25">
      <c r="A213" s="29"/>
      <c r="B213" s="30"/>
      <c r="C213" s="31"/>
      <c r="D213" s="31"/>
      <c r="E213" s="30"/>
      <c r="F213" s="35"/>
      <c r="G213" s="33"/>
      <c r="H213" s="30"/>
      <c r="I213" s="30"/>
      <c r="J213" s="30"/>
      <c r="K213" s="34"/>
      <c r="L213" s="20"/>
      <c r="M213" s="20"/>
      <c r="N213" s="20"/>
      <c r="O213" s="20"/>
      <c r="P213" s="20"/>
      <c r="Q213" s="20"/>
      <c r="R213" s="20"/>
      <c r="S213" s="20"/>
      <c r="T213" s="20"/>
      <c r="U213" s="20"/>
      <c r="V213" s="20"/>
      <c r="W213" s="20"/>
      <c r="X213" s="20"/>
      <c r="Y213" s="20"/>
      <c r="Z213" s="21"/>
      <c r="AA213" s="22"/>
      <c r="AB213" s="22"/>
    </row>
    <row r="214" spans="1:28" ht="15.75" customHeight="1" x14ac:dyDescent="0.25">
      <c r="A214" s="29"/>
      <c r="B214" s="30"/>
      <c r="C214" s="31"/>
      <c r="D214" s="31"/>
      <c r="E214" s="30"/>
      <c r="F214" s="35"/>
      <c r="G214" s="33"/>
      <c r="H214" s="30"/>
      <c r="I214" s="30"/>
      <c r="J214" s="30"/>
      <c r="K214" s="34"/>
      <c r="L214" s="20"/>
      <c r="M214" s="20"/>
      <c r="N214" s="20"/>
      <c r="O214" s="20"/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1"/>
      <c r="AA214" s="22"/>
      <c r="AB214" s="22"/>
    </row>
    <row r="215" spans="1:28" ht="15.75" customHeight="1" x14ac:dyDescent="0.25">
      <c r="A215" s="29"/>
      <c r="B215" s="30"/>
      <c r="C215" s="31"/>
      <c r="D215" s="31"/>
      <c r="E215" s="30"/>
      <c r="F215" s="35"/>
      <c r="G215" s="33"/>
      <c r="H215" s="30"/>
      <c r="I215" s="30"/>
      <c r="J215" s="30"/>
      <c r="K215" s="34"/>
      <c r="L215" s="20"/>
      <c r="M215" s="20"/>
      <c r="N215" s="20"/>
      <c r="O215" s="20"/>
      <c r="P215" s="20"/>
      <c r="Q215" s="20"/>
      <c r="R215" s="20"/>
      <c r="S215" s="20"/>
      <c r="T215" s="20"/>
      <c r="U215" s="20"/>
      <c r="V215" s="20"/>
      <c r="W215" s="20"/>
      <c r="X215" s="20"/>
      <c r="Y215" s="20"/>
      <c r="Z215" s="21"/>
      <c r="AA215" s="22"/>
      <c r="AB215" s="22"/>
    </row>
    <row r="216" spans="1:28" ht="15.75" customHeight="1" x14ac:dyDescent="0.25">
      <c r="A216" s="29"/>
      <c r="B216" s="30"/>
      <c r="C216" s="31"/>
      <c r="D216" s="31"/>
      <c r="E216" s="30"/>
      <c r="F216" s="35"/>
      <c r="G216" s="33"/>
      <c r="H216" s="30"/>
      <c r="I216" s="30"/>
      <c r="J216" s="30"/>
      <c r="K216" s="34"/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1"/>
      <c r="AA216" s="22"/>
      <c r="AB216" s="22"/>
    </row>
    <row r="217" spans="1:28" ht="15.75" customHeight="1" x14ac:dyDescent="0.25">
      <c r="A217" s="29"/>
      <c r="B217" s="30"/>
      <c r="C217" s="31"/>
      <c r="D217" s="31"/>
      <c r="E217" s="30"/>
      <c r="F217" s="35"/>
      <c r="G217" s="33"/>
      <c r="H217" s="30"/>
      <c r="I217" s="30"/>
      <c r="J217" s="30"/>
      <c r="K217" s="34"/>
      <c r="L217" s="20"/>
      <c r="M217" s="20"/>
      <c r="N217" s="20"/>
      <c r="O217" s="20"/>
      <c r="P217" s="20"/>
      <c r="Q217" s="20"/>
      <c r="R217" s="20"/>
      <c r="S217" s="20"/>
      <c r="T217" s="20"/>
      <c r="U217" s="20"/>
      <c r="V217" s="20"/>
      <c r="W217" s="20"/>
      <c r="X217" s="20"/>
      <c r="Y217" s="20"/>
      <c r="Z217" s="21"/>
      <c r="AA217" s="22"/>
      <c r="AB217" s="22"/>
    </row>
    <row r="218" spans="1:28" ht="15.75" customHeight="1" x14ac:dyDescent="0.25">
      <c r="A218" s="29"/>
      <c r="B218" s="30"/>
      <c r="C218" s="31"/>
      <c r="D218" s="31"/>
      <c r="E218" s="30"/>
      <c r="F218" s="35"/>
      <c r="G218" s="33"/>
      <c r="H218" s="30"/>
      <c r="I218" s="30"/>
      <c r="J218" s="30"/>
      <c r="K218" s="34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1"/>
      <c r="AA218" s="22"/>
      <c r="AB218" s="22"/>
    </row>
    <row r="219" spans="1:28" ht="15.75" customHeight="1" x14ac:dyDescent="0.25">
      <c r="A219" s="29"/>
      <c r="B219" s="30"/>
      <c r="C219" s="31"/>
      <c r="D219" s="31"/>
      <c r="E219" s="30"/>
      <c r="F219" s="35"/>
      <c r="G219" s="33"/>
      <c r="H219" s="30"/>
      <c r="I219" s="30"/>
      <c r="J219" s="30"/>
      <c r="K219" s="34"/>
      <c r="L219" s="20"/>
      <c r="M219" s="20"/>
      <c r="N219" s="20"/>
      <c r="O219" s="20"/>
      <c r="P219" s="20"/>
      <c r="Q219" s="20"/>
      <c r="R219" s="20"/>
      <c r="S219" s="20"/>
      <c r="T219" s="20"/>
      <c r="U219" s="20"/>
      <c r="V219" s="20"/>
      <c r="W219" s="20"/>
      <c r="X219" s="20"/>
      <c r="Y219" s="20"/>
      <c r="Z219" s="21"/>
      <c r="AA219" s="22"/>
      <c r="AB219" s="22"/>
    </row>
    <row r="220" spans="1:28" ht="15.75" customHeight="1" x14ac:dyDescent="0.25">
      <c r="A220" s="29"/>
      <c r="B220" s="30"/>
      <c r="C220" s="31"/>
      <c r="D220" s="31"/>
      <c r="E220" s="30"/>
      <c r="F220" s="35"/>
      <c r="G220" s="33"/>
      <c r="H220" s="30"/>
      <c r="I220" s="30"/>
      <c r="J220" s="30"/>
      <c r="K220" s="34"/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1"/>
      <c r="AA220" s="22"/>
      <c r="AB220" s="22"/>
    </row>
    <row r="221" spans="1:28" ht="15.75" customHeight="1" x14ac:dyDescent="0.25">
      <c r="A221" s="29"/>
      <c r="B221" s="30"/>
      <c r="C221" s="31"/>
      <c r="D221" s="31"/>
      <c r="E221" s="30"/>
      <c r="F221" s="35"/>
      <c r="G221" s="33"/>
      <c r="H221" s="30"/>
      <c r="I221" s="30"/>
      <c r="J221" s="30"/>
      <c r="K221" s="34"/>
      <c r="L221" s="20"/>
      <c r="M221" s="20"/>
      <c r="N221" s="20"/>
      <c r="O221" s="20"/>
      <c r="P221" s="20"/>
      <c r="Q221" s="20"/>
      <c r="R221" s="20"/>
      <c r="S221" s="20"/>
      <c r="T221" s="20"/>
      <c r="U221" s="20"/>
      <c r="V221" s="20"/>
      <c r="W221" s="20"/>
      <c r="X221" s="20"/>
      <c r="Y221" s="20"/>
      <c r="Z221" s="21"/>
      <c r="AA221" s="22"/>
      <c r="AB221" s="22"/>
    </row>
    <row r="222" spans="1:28" ht="15.75" customHeight="1" x14ac:dyDescent="0.25">
      <c r="A222" s="29"/>
      <c r="B222" s="30"/>
      <c r="C222" s="31"/>
      <c r="D222" s="31"/>
      <c r="E222" s="30"/>
      <c r="F222" s="35"/>
      <c r="G222" s="33"/>
      <c r="H222" s="30"/>
      <c r="I222" s="30"/>
      <c r="J222" s="30"/>
      <c r="K222" s="34"/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1"/>
      <c r="AA222" s="22"/>
      <c r="AB222" s="22"/>
    </row>
    <row r="223" spans="1:28" ht="15.75" customHeight="1" x14ac:dyDescent="0.25">
      <c r="A223" s="29"/>
      <c r="B223" s="30"/>
      <c r="C223" s="31"/>
      <c r="D223" s="31"/>
      <c r="E223" s="30"/>
      <c r="F223" s="35"/>
      <c r="G223" s="33"/>
      <c r="H223" s="30"/>
      <c r="I223" s="30"/>
      <c r="J223" s="30"/>
      <c r="K223" s="34"/>
      <c r="L223" s="20"/>
      <c r="M223" s="20"/>
      <c r="N223" s="20"/>
      <c r="O223" s="20"/>
      <c r="P223" s="20"/>
      <c r="Q223" s="20"/>
      <c r="R223" s="20"/>
      <c r="S223" s="20"/>
      <c r="T223" s="20"/>
      <c r="U223" s="20"/>
      <c r="V223" s="20"/>
      <c r="W223" s="20"/>
      <c r="X223" s="20"/>
      <c r="Y223" s="20"/>
      <c r="Z223" s="21"/>
      <c r="AA223" s="22"/>
      <c r="AB223" s="22"/>
    </row>
    <row r="224" spans="1:28" ht="15.75" customHeight="1" x14ac:dyDescent="0.25">
      <c r="A224" s="29"/>
      <c r="B224" s="30"/>
      <c r="C224" s="31"/>
      <c r="D224" s="31"/>
      <c r="E224" s="30"/>
      <c r="F224" s="35"/>
      <c r="G224" s="33"/>
      <c r="H224" s="30"/>
      <c r="I224" s="30"/>
      <c r="J224" s="30"/>
      <c r="K224" s="34"/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1"/>
      <c r="AA224" s="22"/>
      <c r="AB224" s="22"/>
    </row>
    <row r="225" spans="1:28" ht="15.75" customHeight="1" x14ac:dyDescent="0.25">
      <c r="A225" s="29"/>
      <c r="B225" s="30"/>
      <c r="C225" s="31"/>
      <c r="D225" s="31"/>
      <c r="E225" s="30"/>
      <c r="F225" s="35"/>
      <c r="G225" s="33"/>
      <c r="H225" s="30"/>
      <c r="I225" s="30"/>
      <c r="J225" s="30"/>
      <c r="K225" s="34"/>
      <c r="L225" s="20"/>
      <c r="M225" s="20"/>
      <c r="N225" s="20"/>
      <c r="O225" s="20"/>
      <c r="P225" s="20"/>
      <c r="Q225" s="20"/>
      <c r="R225" s="20"/>
      <c r="S225" s="20"/>
      <c r="T225" s="20"/>
      <c r="U225" s="20"/>
      <c r="V225" s="20"/>
      <c r="W225" s="20"/>
      <c r="X225" s="20"/>
      <c r="Y225" s="20"/>
      <c r="Z225" s="21"/>
      <c r="AA225" s="22"/>
      <c r="AB225" s="22"/>
    </row>
    <row r="226" spans="1:28" ht="15.75" customHeight="1" x14ac:dyDescent="0.25">
      <c r="A226" s="29"/>
      <c r="B226" s="30"/>
      <c r="C226" s="31"/>
      <c r="D226" s="31"/>
      <c r="E226" s="30"/>
      <c r="F226" s="35"/>
      <c r="G226" s="33"/>
      <c r="H226" s="30"/>
      <c r="I226" s="30"/>
      <c r="J226" s="30"/>
      <c r="K226" s="34"/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1"/>
      <c r="AA226" s="22"/>
      <c r="AB226" s="22"/>
    </row>
    <row r="227" spans="1:28" ht="15.75" customHeight="1" x14ac:dyDescent="0.25">
      <c r="A227" s="29"/>
      <c r="B227" s="30"/>
      <c r="C227" s="31"/>
      <c r="D227" s="31"/>
      <c r="E227" s="30"/>
      <c r="F227" s="35"/>
      <c r="G227" s="33"/>
      <c r="H227" s="30"/>
      <c r="I227" s="30"/>
      <c r="J227" s="30"/>
      <c r="K227" s="34"/>
      <c r="L227" s="20"/>
      <c r="M227" s="20"/>
      <c r="N227" s="20"/>
      <c r="O227" s="20"/>
      <c r="P227" s="20"/>
      <c r="Q227" s="20"/>
      <c r="R227" s="20"/>
      <c r="S227" s="20"/>
      <c r="T227" s="20"/>
      <c r="U227" s="20"/>
      <c r="V227" s="20"/>
      <c r="W227" s="20"/>
      <c r="X227" s="20"/>
      <c r="Y227" s="20"/>
      <c r="Z227" s="21"/>
      <c r="AA227" s="22"/>
      <c r="AB227" s="22"/>
    </row>
    <row r="228" spans="1:28" ht="15.75" customHeight="1" x14ac:dyDescent="0.25">
      <c r="A228" s="29"/>
      <c r="B228" s="30"/>
      <c r="C228" s="31"/>
      <c r="D228" s="31"/>
      <c r="E228" s="30"/>
      <c r="F228" s="35"/>
      <c r="G228" s="33"/>
      <c r="H228" s="30"/>
      <c r="I228" s="30"/>
      <c r="J228" s="30"/>
      <c r="K228" s="34"/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1"/>
      <c r="AA228" s="22"/>
      <c r="AB228" s="22"/>
    </row>
    <row r="229" spans="1:28" ht="15.75" customHeight="1" x14ac:dyDescent="0.25">
      <c r="A229" s="29"/>
      <c r="B229" s="30"/>
      <c r="C229" s="31"/>
      <c r="D229" s="31"/>
      <c r="E229" s="30"/>
      <c r="F229" s="35"/>
      <c r="G229" s="33"/>
      <c r="H229" s="30"/>
      <c r="I229" s="30"/>
      <c r="J229" s="30"/>
      <c r="K229" s="34"/>
      <c r="L229" s="20"/>
      <c r="M229" s="20"/>
      <c r="N229" s="20"/>
      <c r="O229" s="20"/>
      <c r="P229" s="20"/>
      <c r="Q229" s="20"/>
      <c r="R229" s="20"/>
      <c r="S229" s="20"/>
      <c r="T229" s="20"/>
      <c r="U229" s="20"/>
      <c r="V229" s="20"/>
      <c r="W229" s="20"/>
      <c r="X229" s="20"/>
      <c r="Y229" s="20"/>
      <c r="Z229" s="21"/>
      <c r="AA229" s="22"/>
      <c r="AB229" s="22"/>
    </row>
    <row r="230" spans="1:28" ht="15.75" customHeight="1" x14ac:dyDescent="0.25">
      <c r="A230" s="29"/>
      <c r="B230" s="30"/>
      <c r="C230" s="31"/>
      <c r="D230" s="31"/>
      <c r="E230" s="30"/>
      <c r="F230" s="35"/>
      <c r="G230" s="33"/>
      <c r="H230" s="30"/>
      <c r="I230" s="30"/>
      <c r="J230" s="30"/>
      <c r="K230" s="34"/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1"/>
      <c r="AA230" s="22"/>
      <c r="AB230" s="22"/>
    </row>
    <row r="231" spans="1:28" ht="15.75" customHeight="1" x14ac:dyDescent="0.25">
      <c r="A231" s="29"/>
      <c r="B231" s="30"/>
      <c r="C231" s="31"/>
      <c r="D231" s="31"/>
      <c r="E231" s="30"/>
      <c r="F231" s="35"/>
      <c r="G231" s="33"/>
      <c r="H231" s="30"/>
      <c r="I231" s="30"/>
      <c r="J231" s="30"/>
      <c r="K231" s="34"/>
      <c r="L231" s="20"/>
      <c r="M231" s="20"/>
      <c r="N231" s="20"/>
      <c r="O231" s="20"/>
      <c r="P231" s="20"/>
      <c r="Q231" s="20"/>
      <c r="R231" s="20"/>
      <c r="S231" s="20"/>
      <c r="T231" s="20"/>
      <c r="U231" s="20"/>
      <c r="V231" s="20"/>
      <c r="W231" s="20"/>
      <c r="X231" s="20"/>
      <c r="Y231" s="20"/>
      <c r="Z231" s="21"/>
      <c r="AA231" s="22"/>
      <c r="AB231" s="22"/>
    </row>
    <row r="232" spans="1:28" ht="15.75" customHeight="1" x14ac:dyDescent="0.25">
      <c r="A232" s="29"/>
      <c r="B232" s="30"/>
      <c r="C232" s="31"/>
      <c r="D232" s="31"/>
      <c r="E232" s="30"/>
      <c r="F232" s="35"/>
      <c r="G232" s="33"/>
      <c r="H232" s="30"/>
      <c r="I232" s="30"/>
      <c r="J232" s="30"/>
      <c r="K232" s="34"/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1"/>
      <c r="AA232" s="22"/>
      <c r="AB232" s="22"/>
    </row>
    <row r="233" spans="1:28" ht="15.75" customHeight="1" x14ac:dyDescent="0.25">
      <c r="A233" s="29"/>
      <c r="B233" s="30"/>
      <c r="C233" s="31"/>
      <c r="D233" s="31"/>
      <c r="E233" s="30"/>
      <c r="F233" s="35"/>
      <c r="G233" s="33"/>
      <c r="H233" s="30"/>
      <c r="I233" s="30"/>
      <c r="J233" s="30"/>
      <c r="K233" s="34"/>
      <c r="L233" s="20"/>
      <c r="M233" s="20"/>
      <c r="N233" s="20"/>
      <c r="O233" s="20"/>
      <c r="P233" s="20"/>
      <c r="Q233" s="20"/>
      <c r="R233" s="20"/>
      <c r="S233" s="20"/>
      <c r="T233" s="20"/>
      <c r="U233" s="20"/>
      <c r="V233" s="20"/>
      <c r="W233" s="20"/>
      <c r="X233" s="20"/>
      <c r="Y233" s="20"/>
      <c r="Z233" s="21"/>
      <c r="AA233" s="22"/>
      <c r="AB233" s="22"/>
    </row>
    <row r="234" spans="1:28" ht="15.75" customHeight="1" x14ac:dyDescent="0.25">
      <c r="A234" s="29"/>
      <c r="B234" s="30"/>
      <c r="C234" s="31"/>
      <c r="D234" s="31"/>
      <c r="E234" s="30"/>
      <c r="F234" s="35"/>
      <c r="G234" s="33"/>
      <c r="H234" s="30"/>
      <c r="I234" s="30"/>
      <c r="J234" s="30"/>
      <c r="K234" s="34"/>
      <c r="L234" s="20"/>
      <c r="M234" s="20"/>
      <c r="N234" s="20"/>
      <c r="O234" s="20"/>
      <c r="P234" s="20"/>
      <c r="Q234" s="20"/>
      <c r="R234" s="20"/>
      <c r="S234" s="20"/>
      <c r="T234" s="20"/>
      <c r="U234" s="20"/>
      <c r="V234" s="20"/>
      <c r="W234" s="20"/>
      <c r="X234" s="20"/>
      <c r="Y234" s="20"/>
      <c r="Z234" s="21"/>
      <c r="AA234" s="22"/>
      <c r="AB234" s="22"/>
    </row>
    <row r="235" spans="1:28" ht="15.75" customHeight="1" x14ac:dyDescent="0.25">
      <c r="A235" s="29"/>
      <c r="B235" s="30"/>
      <c r="C235" s="31"/>
      <c r="D235" s="31"/>
      <c r="E235" s="30"/>
      <c r="F235" s="35"/>
      <c r="G235" s="33"/>
      <c r="H235" s="30"/>
      <c r="I235" s="30"/>
      <c r="J235" s="30"/>
      <c r="K235" s="34"/>
      <c r="L235" s="20"/>
      <c r="M235" s="20"/>
      <c r="N235" s="20"/>
      <c r="O235" s="20"/>
      <c r="P235" s="20"/>
      <c r="Q235" s="20"/>
      <c r="R235" s="20"/>
      <c r="S235" s="20"/>
      <c r="T235" s="20"/>
      <c r="U235" s="20"/>
      <c r="V235" s="20"/>
      <c r="W235" s="20"/>
      <c r="X235" s="20"/>
      <c r="Y235" s="20"/>
      <c r="Z235" s="21"/>
      <c r="AA235" s="22"/>
      <c r="AB235" s="22"/>
    </row>
    <row r="236" spans="1:28" ht="15.75" customHeight="1" x14ac:dyDescent="0.25">
      <c r="A236" s="29"/>
      <c r="B236" s="30"/>
      <c r="C236" s="31"/>
      <c r="D236" s="31"/>
      <c r="E236" s="30"/>
      <c r="F236" s="35"/>
      <c r="G236" s="33"/>
      <c r="H236" s="30"/>
      <c r="I236" s="30"/>
      <c r="J236" s="30"/>
      <c r="K236" s="34"/>
      <c r="L236" s="20"/>
      <c r="M236" s="20"/>
      <c r="N236" s="20"/>
      <c r="O236" s="20"/>
      <c r="P236" s="20"/>
      <c r="Q236" s="20"/>
      <c r="R236" s="20"/>
      <c r="S236" s="20"/>
      <c r="T236" s="20"/>
      <c r="U236" s="20"/>
      <c r="V236" s="20"/>
      <c r="W236" s="20"/>
      <c r="X236" s="20"/>
      <c r="Y236" s="20"/>
      <c r="Z236" s="21"/>
      <c r="AA236" s="22"/>
      <c r="AB236" s="22"/>
    </row>
    <row r="237" spans="1:28" ht="15.75" customHeight="1" x14ac:dyDescent="0.25">
      <c r="A237" s="29"/>
      <c r="B237" s="30"/>
      <c r="C237" s="31"/>
      <c r="D237" s="31"/>
      <c r="E237" s="30"/>
      <c r="F237" s="35"/>
      <c r="G237" s="33"/>
      <c r="H237" s="30"/>
      <c r="I237" s="30"/>
      <c r="J237" s="30"/>
      <c r="K237" s="34"/>
      <c r="L237" s="20"/>
      <c r="M237" s="20"/>
      <c r="N237" s="20"/>
      <c r="O237" s="20"/>
      <c r="P237" s="20"/>
      <c r="Q237" s="20"/>
      <c r="R237" s="20"/>
      <c r="S237" s="20"/>
      <c r="T237" s="20"/>
      <c r="U237" s="20"/>
      <c r="V237" s="20"/>
      <c r="W237" s="20"/>
      <c r="X237" s="20"/>
      <c r="Y237" s="20"/>
      <c r="Z237" s="21"/>
      <c r="AA237" s="22"/>
      <c r="AB237" s="22"/>
    </row>
    <row r="238" spans="1:28" ht="15.75" customHeight="1" x14ac:dyDescent="0.25">
      <c r="A238" s="29"/>
      <c r="B238" s="30"/>
      <c r="C238" s="31"/>
      <c r="D238" s="31"/>
      <c r="E238" s="30"/>
      <c r="F238" s="35"/>
      <c r="G238" s="33"/>
      <c r="H238" s="30"/>
      <c r="I238" s="30"/>
      <c r="J238" s="30"/>
      <c r="K238" s="34"/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1"/>
      <c r="AA238" s="22"/>
      <c r="AB238" s="22"/>
    </row>
    <row r="239" spans="1:28" ht="15.75" customHeight="1" x14ac:dyDescent="0.25">
      <c r="A239" s="29"/>
      <c r="B239" s="30"/>
      <c r="C239" s="31"/>
      <c r="D239" s="31"/>
      <c r="E239" s="30"/>
      <c r="F239" s="35"/>
      <c r="G239" s="33"/>
      <c r="H239" s="30"/>
      <c r="I239" s="30"/>
      <c r="J239" s="30"/>
      <c r="K239" s="34"/>
      <c r="L239" s="20"/>
      <c r="M239" s="20"/>
      <c r="N239" s="20"/>
      <c r="O239" s="20"/>
      <c r="P239" s="20"/>
      <c r="Q239" s="20"/>
      <c r="R239" s="20"/>
      <c r="S239" s="20"/>
      <c r="T239" s="20"/>
      <c r="U239" s="20"/>
      <c r="V239" s="20"/>
      <c r="W239" s="20"/>
      <c r="X239" s="20"/>
      <c r="Y239" s="20"/>
      <c r="Z239" s="21"/>
      <c r="AA239" s="22"/>
      <c r="AB239" s="22"/>
    </row>
    <row r="240" spans="1:28" ht="15.75" customHeight="1" x14ac:dyDescent="0.25">
      <c r="A240" s="29"/>
      <c r="B240" s="30"/>
      <c r="C240" s="31"/>
      <c r="D240" s="31"/>
      <c r="E240" s="30"/>
      <c r="F240" s="35"/>
      <c r="G240" s="33"/>
      <c r="H240" s="30"/>
      <c r="I240" s="30"/>
      <c r="J240" s="30"/>
      <c r="K240" s="34"/>
      <c r="L240" s="20"/>
      <c r="M240" s="20"/>
      <c r="N240" s="20"/>
      <c r="O240" s="20"/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1"/>
      <c r="AA240" s="22"/>
      <c r="AB240" s="22"/>
    </row>
    <row r="241" spans="1:28" ht="15.75" customHeight="1" x14ac:dyDescent="0.25">
      <c r="A241" s="29"/>
      <c r="B241" s="30"/>
      <c r="C241" s="31"/>
      <c r="D241" s="31"/>
      <c r="E241" s="30"/>
      <c r="F241" s="35"/>
      <c r="G241" s="33"/>
      <c r="H241" s="30"/>
      <c r="I241" s="30"/>
      <c r="J241" s="30"/>
      <c r="K241" s="34"/>
      <c r="L241" s="20"/>
      <c r="M241" s="20"/>
      <c r="N241" s="20"/>
      <c r="O241" s="20"/>
      <c r="P241" s="20"/>
      <c r="Q241" s="20"/>
      <c r="R241" s="20"/>
      <c r="S241" s="20"/>
      <c r="T241" s="20"/>
      <c r="U241" s="20"/>
      <c r="V241" s="20"/>
      <c r="W241" s="20"/>
      <c r="X241" s="20"/>
      <c r="Y241" s="20"/>
      <c r="Z241" s="21"/>
      <c r="AA241" s="22"/>
      <c r="AB241" s="22"/>
    </row>
    <row r="242" spans="1:28" ht="15.75" customHeight="1" x14ac:dyDescent="0.25">
      <c r="A242" s="29"/>
      <c r="B242" s="30"/>
      <c r="C242" s="31"/>
      <c r="D242" s="31"/>
      <c r="E242" s="30"/>
      <c r="F242" s="35"/>
      <c r="G242" s="33"/>
      <c r="H242" s="30"/>
      <c r="I242" s="30"/>
      <c r="J242" s="30"/>
      <c r="K242" s="34"/>
      <c r="L242" s="20"/>
      <c r="M242" s="20"/>
      <c r="N242" s="20"/>
      <c r="O242" s="20"/>
      <c r="P242" s="20"/>
      <c r="Q242" s="20"/>
      <c r="R242" s="20"/>
      <c r="S242" s="20"/>
      <c r="T242" s="20"/>
      <c r="U242" s="20"/>
      <c r="V242" s="20"/>
      <c r="W242" s="20"/>
      <c r="X242" s="20"/>
      <c r="Y242" s="20"/>
      <c r="Z242" s="21"/>
      <c r="AA242" s="22"/>
      <c r="AB242" s="22"/>
    </row>
    <row r="243" spans="1:28" ht="15.75" customHeight="1" x14ac:dyDescent="0.25">
      <c r="A243" s="29"/>
      <c r="B243" s="30"/>
      <c r="C243" s="31"/>
      <c r="D243" s="31"/>
      <c r="E243" s="30"/>
      <c r="F243" s="35"/>
      <c r="G243" s="33"/>
      <c r="H243" s="30"/>
      <c r="I243" s="30"/>
      <c r="J243" s="30"/>
      <c r="K243" s="34"/>
      <c r="L243" s="20"/>
      <c r="M243" s="20"/>
      <c r="N243" s="20"/>
      <c r="O243" s="20"/>
      <c r="P243" s="20"/>
      <c r="Q243" s="20"/>
      <c r="R243" s="20"/>
      <c r="S243" s="20"/>
      <c r="T243" s="20"/>
      <c r="U243" s="20"/>
      <c r="V243" s="20"/>
      <c r="W243" s="20"/>
      <c r="X243" s="20"/>
      <c r="Y243" s="20"/>
      <c r="Z243" s="21"/>
      <c r="AA243" s="22"/>
      <c r="AB243" s="22"/>
    </row>
    <row r="244" spans="1:28" ht="15.75" customHeight="1" x14ac:dyDescent="0.25">
      <c r="A244" s="29"/>
      <c r="B244" s="30"/>
      <c r="C244" s="31"/>
      <c r="D244" s="31"/>
      <c r="E244" s="30"/>
      <c r="F244" s="35"/>
      <c r="G244" s="33"/>
      <c r="H244" s="30"/>
      <c r="I244" s="30"/>
      <c r="J244" s="30"/>
      <c r="K244" s="34"/>
      <c r="L244" s="20"/>
      <c r="M244" s="20"/>
      <c r="N244" s="20"/>
      <c r="O244" s="20"/>
      <c r="P244" s="20"/>
      <c r="Q244" s="20"/>
      <c r="R244" s="20"/>
      <c r="S244" s="20"/>
      <c r="T244" s="20"/>
      <c r="U244" s="20"/>
      <c r="V244" s="20"/>
      <c r="W244" s="20"/>
      <c r="X244" s="20"/>
      <c r="Y244" s="20"/>
      <c r="Z244" s="21"/>
      <c r="AA244" s="22"/>
      <c r="AB244" s="22"/>
    </row>
    <row r="245" spans="1:28" ht="15.75" customHeight="1" x14ac:dyDescent="0.25">
      <c r="A245" s="29"/>
      <c r="B245" s="30"/>
      <c r="C245" s="31"/>
      <c r="D245" s="31"/>
      <c r="E245" s="30"/>
      <c r="F245" s="35"/>
      <c r="G245" s="33"/>
      <c r="H245" s="30"/>
      <c r="I245" s="30"/>
      <c r="J245" s="30"/>
      <c r="K245" s="34"/>
      <c r="L245" s="20"/>
      <c r="M245" s="20"/>
      <c r="N245" s="20"/>
      <c r="O245" s="20"/>
      <c r="P245" s="20"/>
      <c r="Q245" s="20"/>
      <c r="R245" s="20"/>
      <c r="S245" s="20"/>
      <c r="T245" s="20"/>
      <c r="U245" s="20"/>
      <c r="V245" s="20"/>
      <c r="W245" s="20"/>
      <c r="X245" s="20"/>
      <c r="Y245" s="20"/>
      <c r="Z245" s="21"/>
      <c r="AA245" s="22"/>
      <c r="AB245" s="22"/>
    </row>
    <row r="246" spans="1:28" ht="15.75" customHeight="1" x14ac:dyDescent="0.25">
      <c r="A246" s="29"/>
      <c r="B246" s="30"/>
      <c r="C246" s="31"/>
      <c r="D246" s="31"/>
      <c r="E246" s="30"/>
      <c r="F246" s="35"/>
      <c r="G246" s="33"/>
      <c r="H246" s="30"/>
      <c r="I246" s="30"/>
      <c r="J246" s="30"/>
      <c r="K246" s="34"/>
      <c r="L246" s="20"/>
      <c r="M246" s="20"/>
      <c r="N246" s="20"/>
      <c r="O246" s="20"/>
      <c r="P246" s="20"/>
      <c r="Q246" s="20"/>
      <c r="R246" s="20"/>
      <c r="S246" s="20"/>
      <c r="T246" s="20"/>
      <c r="U246" s="20"/>
      <c r="V246" s="20"/>
      <c r="W246" s="20"/>
      <c r="X246" s="20"/>
      <c r="Y246" s="20"/>
      <c r="Z246" s="21"/>
      <c r="AA246" s="22"/>
      <c r="AB246" s="22"/>
    </row>
    <row r="247" spans="1:28" ht="15.75" customHeight="1" x14ac:dyDescent="0.25">
      <c r="A247" s="29"/>
      <c r="B247" s="30"/>
      <c r="C247" s="31"/>
      <c r="D247" s="31"/>
      <c r="E247" s="30"/>
      <c r="F247" s="35"/>
      <c r="G247" s="33"/>
      <c r="H247" s="30"/>
      <c r="I247" s="30"/>
      <c r="J247" s="30"/>
      <c r="K247" s="34"/>
      <c r="L247" s="20"/>
      <c r="M247" s="20"/>
      <c r="N247" s="20"/>
      <c r="O247" s="20"/>
      <c r="P247" s="20"/>
      <c r="Q247" s="20"/>
      <c r="R247" s="20"/>
      <c r="S247" s="20"/>
      <c r="T247" s="20"/>
      <c r="U247" s="20"/>
      <c r="V247" s="20"/>
      <c r="W247" s="20"/>
      <c r="X247" s="20"/>
      <c r="Y247" s="20"/>
      <c r="Z247" s="21"/>
      <c r="AA247" s="22"/>
      <c r="AB247" s="22"/>
    </row>
    <row r="248" spans="1:28" ht="15.75" customHeight="1" x14ac:dyDescent="0.25">
      <c r="A248" s="29"/>
      <c r="B248" s="30"/>
      <c r="C248" s="31"/>
      <c r="D248" s="31"/>
      <c r="E248" s="30"/>
      <c r="F248" s="35"/>
      <c r="G248" s="33"/>
      <c r="H248" s="30"/>
      <c r="I248" s="30"/>
      <c r="J248" s="30"/>
      <c r="K248" s="34"/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0"/>
      <c r="W248" s="20"/>
      <c r="X248" s="20"/>
      <c r="Y248" s="20"/>
      <c r="Z248" s="21"/>
      <c r="AA248" s="22"/>
      <c r="AB248" s="22"/>
    </row>
    <row r="249" spans="1:28" ht="15.75" customHeight="1" x14ac:dyDescent="0.25">
      <c r="A249" s="29"/>
      <c r="B249" s="30"/>
      <c r="C249" s="31"/>
      <c r="D249" s="31"/>
      <c r="E249" s="30"/>
      <c r="F249" s="35"/>
      <c r="G249" s="33"/>
      <c r="H249" s="30"/>
      <c r="I249" s="30"/>
      <c r="J249" s="30"/>
      <c r="K249" s="34"/>
      <c r="L249" s="20"/>
      <c r="M249" s="20"/>
      <c r="N249" s="20"/>
      <c r="O249" s="20"/>
      <c r="P249" s="20"/>
      <c r="Q249" s="20"/>
      <c r="R249" s="20"/>
      <c r="S249" s="20"/>
      <c r="T249" s="20"/>
      <c r="U249" s="20"/>
      <c r="V249" s="20"/>
      <c r="W249" s="20"/>
      <c r="X249" s="20"/>
      <c r="Y249" s="20"/>
      <c r="Z249" s="21"/>
      <c r="AA249" s="22"/>
      <c r="AB249" s="22"/>
    </row>
    <row r="250" spans="1:28" ht="15.75" customHeight="1" x14ac:dyDescent="0.25">
      <c r="A250" s="29"/>
      <c r="B250" s="30"/>
      <c r="C250" s="31"/>
      <c r="D250" s="31"/>
      <c r="E250" s="30"/>
      <c r="F250" s="35"/>
      <c r="G250" s="33"/>
      <c r="H250" s="30"/>
      <c r="I250" s="30"/>
      <c r="J250" s="30"/>
      <c r="K250" s="34"/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1"/>
      <c r="AA250" s="22"/>
      <c r="AB250" s="22"/>
    </row>
    <row r="251" spans="1:28" ht="15.75" customHeight="1" x14ac:dyDescent="0.25">
      <c r="A251" s="29"/>
      <c r="B251" s="30"/>
      <c r="C251" s="31"/>
      <c r="D251" s="31"/>
      <c r="E251" s="30"/>
      <c r="F251" s="35"/>
      <c r="G251" s="33"/>
      <c r="H251" s="30"/>
      <c r="I251" s="30"/>
      <c r="J251" s="30"/>
      <c r="K251" s="34"/>
      <c r="L251" s="20"/>
      <c r="M251" s="20"/>
      <c r="N251" s="20"/>
      <c r="O251" s="20"/>
      <c r="P251" s="20"/>
      <c r="Q251" s="20"/>
      <c r="R251" s="20"/>
      <c r="S251" s="20"/>
      <c r="T251" s="20"/>
      <c r="U251" s="20"/>
      <c r="V251" s="20"/>
      <c r="W251" s="20"/>
      <c r="X251" s="20"/>
      <c r="Y251" s="20"/>
      <c r="Z251" s="21"/>
      <c r="AA251" s="22"/>
      <c r="AB251" s="22"/>
    </row>
    <row r="252" spans="1:28" ht="15.75" customHeight="1" x14ac:dyDescent="0.25">
      <c r="A252" s="29"/>
      <c r="B252" s="30"/>
      <c r="C252" s="31"/>
      <c r="D252" s="31"/>
      <c r="E252" s="30"/>
      <c r="F252" s="35"/>
      <c r="G252" s="33"/>
      <c r="H252" s="30"/>
      <c r="I252" s="30"/>
      <c r="J252" s="30"/>
      <c r="K252" s="34"/>
      <c r="L252" s="20"/>
      <c r="M252" s="20"/>
      <c r="N252" s="20"/>
      <c r="O252" s="20"/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1"/>
      <c r="AA252" s="22"/>
      <c r="AB252" s="22"/>
    </row>
    <row r="253" spans="1:28" ht="15.75" customHeight="1" x14ac:dyDescent="0.25">
      <c r="A253" s="29"/>
      <c r="B253" s="30"/>
      <c r="C253" s="31"/>
      <c r="D253" s="31"/>
      <c r="E253" s="30"/>
      <c r="F253" s="35"/>
      <c r="G253" s="33"/>
      <c r="H253" s="30"/>
      <c r="I253" s="30"/>
      <c r="J253" s="30"/>
      <c r="K253" s="34"/>
      <c r="L253" s="20"/>
      <c r="M253" s="20"/>
      <c r="N253" s="20"/>
      <c r="O253" s="20"/>
      <c r="P253" s="20"/>
      <c r="Q253" s="20"/>
      <c r="R253" s="20"/>
      <c r="S253" s="20"/>
      <c r="T253" s="20"/>
      <c r="U253" s="20"/>
      <c r="V253" s="20"/>
      <c r="W253" s="20"/>
      <c r="X253" s="20"/>
      <c r="Y253" s="20"/>
      <c r="Z253" s="21"/>
      <c r="AA253" s="22"/>
      <c r="AB253" s="22"/>
    </row>
    <row r="254" spans="1:28" ht="15.75" customHeight="1" x14ac:dyDescent="0.25">
      <c r="A254" s="29"/>
      <c r="B254" s="30"/>
      <c r="C254" s="31"/>
      <c r="D254" s="31"/>
      <c r="E254" s="30"/>
      <c r="F254" s="35"/>
      <c r="G254" s="33"/>
      <c r="H254" s="30"/>
      <c r="I254" s="30"/>
      <c r="J254" s="30"/>
      <c r="K254" s="34"/>
      <c r="L254" s="20"/>
      <c r="M254" s="20"/>
      <c r="N254" s="20"/>
      <c r="O254" s="20"/>
      <c r="P254" s="20"/>
      <c r="Q254" s="20"/>
      <c r="R254" s="20"/>
      <c r="S254" s="20"/>
      <c r="T254" s="20"/>
      <c r="U254" s="20"/>
      <c r="V254" s="20"/>
      <c r="W254" s="20"/>
      <c r="X254" s="20"/>
      <c r="Y254" s="20"/>
      <c r="Z254" s="21"/>
      <c r="AA254" s="22"/>
      <c r="AB254" s="22"/>
    </row>
    <row r="255" spans="1:28" ht="15.75" customHeight="1" x14ac:dyDescent="0.25">
      <c r="A255" s="29"/>
      <c r="B255" s="30"/>
      <c r="C255" s="31"/>
      <c r="D255" s="31"/>
      <c r="E255" s="30"/>
      <c r="F255" s="35"/>
      <c r="G255" s="33"/>
      <c r="H255" s="30"/>
      <c r="I255" s="30"/>
      <c r="J255" s="30"/>
      <c r="K255" s="34"/>
      <c r="L255" s="20"/>
      <c r="M255" s="20"/>
      <c r="N255" s="20"/>
      <c r="O255" s="20"/>
      <c r="P255" s="20"/>
      <c r="Q255" s="20"/>
      <c r="R255" s="20"/>
      <c r="S255" s="20"/>
      <c r="T255" s="20"/>
      <c r="U255" s="20"/>
      <c r="V255" s="20"/>
      <c r="W255" s="20"/>
      <c r="X255" s="20"/>
      <c r="Y255" s="20"/>
      <c r="Z255" s="21"/>
      <c r="AA255" s="22"/>
      <c r="AB255" s="22"/>
    </row>
    <row r="256" spans="1:28" ht="15.75" customHeight="1" x14ac:dyDescent="0.25">
      <c r="A256" s="29"/>
      <c r="B256" s="30"/>
      <c r="C256" s="31"/>
      <c r="D256" s="31"/>
      <c r="E256" s="30"/>
      <c r="F256" s="35"/>
      <c r="G256" s="33"/>
      <c r="H256" s="30"/>
      <c r="I256" s="30"/>
      <c r="J256" s="30"/>
      <c r="K256" s="34"/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0"/>
      <c r="W256" s="20"/>
      <c r="X256" s="20"/>
      <c r="Y256" s="20"/>
      <c r="Z256" s="21"/>
      <c r="AA256" s="22"/>
      <c r="AB256" s="22"/>
    </row>
    <row r="257" spans="1:28" ht="15.75" customHeight="1" x14ac:dyDescent="0.25">
      <c r="A257" s="29"/>
      <c r="B257" s="30"/>
      <c r="C257" s="31"/>
      <c r="D257" s="31"/>
      <c r="E257" s="30"/>
      <c r="F257" s="35"/>
      <c r="G257" s="33"/>
      <c r="H257" s="30"/>
      <c r="I257" s="30"/>
      <c r="J257" s="30"/>
      <c r="K257" s="34"/>
      <c r="L257" s="20"/>
      <c r="M257" s="20"/>
      <c r="N257" s="20"/>
      <c r="O257" s="20"/>
      <c r="P257" s="20"/>
      <c r="Q257" s="20"/>
      <c r="R257" s="20"/>
      <c r="S257" s="20"/>
      <c r="T257" s="20"/>
      <c r="U257" s="20"/>
      <c r="V257" s="20"/>
      <c r="W257" s="20"/>
      <c r="X257" s="20"/>
      <c r="Y257" s="20"/>
      <c r="Z257" s="21"/>
      <c r="AA257" s="22"/>
      <c r="AB257" s="22"/>
    </row>
    <row r="258" spans="1:28" ht="15.75" customHeight="1" x14ac:dyDescent="0.25">
      <c r="A258" s="29"/>
      <c r="B258" s="30"/>
      <c r="C258" s="31"/>
      <c r="D258" s="31"/>
      <c r="E258" s="30"/>
      <c r="F258" s="35"/>
      <c r="G258" s="33"/>
      <c r="H258" s="30"/>
      <c r="I258" s="30"/>
      <c r="J258" s="30"/>
      <c r="K258" s="34"/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0"/>
      <c r="W258" s="20"/>
      <c r="X258" s="20"/>
      <c r="Y258" s="20"/>
      <c r="Z258" s="21"/>
      <c r="AA258" s="22"/>
      <c r="AB258" s="22"/>
    </row>
    <row r="259" spans="1:28" ht="15.75" customHeight="1" x14ac:dyDescent="0.25">
      <c r="A259" s="29"/>
      <c r="B259" s="30"/>
      <c r="C259" s="31"/>
      <c r="D259" s="31"/>
      <c r="E259" s="30"/>
      <c r="F259" s="35"/>
      <c r="G259" s="33"/>
      <c r="H259" s="30"/>
      <c r="I259" s="30"/>
      <c r="J259" s="30"/>
      <c r="K259" s="34"/>
      <c r="L259" s="20"/>
      <c r="M259" s="20"/>
      <c r="N259" s="20"/>
      <c r="O259" s="20"/>
      <c r="P259" s="20"/>
      <c r="Q259" s="20"/>
      <c r="R259" s="20"/>
      <c r="S259" s="20"/>
      <c r="T259" s="20"/>
      <c r="U259" s="20"/>
      <c r="V259" s="20"/>
      <c r="W259" s="20"/>
      <c r="X259" s="20"/>
      <c r="Y259" s="20"/>
      <c r="Z259" s="21"/>
      <c r="AA259" s="22"/>
      <c r="AB259" s="22"/>
    </row>
    <row r="260" spans="1:28" ht="15.75" customHeight="1" x14ac:dyDescent="0.25">
      <c r="A260" s="29"/>
      <c r="B260" s="30"/>
      <c r="C260" s="31"/>
      <c r="D260" s="31"/>
      <c r="E260" s="30"/>
      <c r="F260" s="35"/>
      <c r="G260" s="33"/>
      <c r="H260" s="30"/>
      <c r="I260" s="30"/>
      <c r="J260" s="30"/>
      <c r="K260" s="34"/>
      <c r="L260" s="20"/>
      <c r="M260" s="20"/>
      <c r="N260" s="20"/>
      <c r="O260" s="20"/>
      <c r="P260" s="20"/>
      <c r="Q260" s="20"/>
      <c r="R260" s="20"/>
      <c r="S260" s="20"/>
      <c r="T260" s="20"/>
      <c r="U260" s="20"/>
      <c r="V260" s="20"/>
      <c r="W260" s="20"/>
      <c r="X260" s="20"/>
      <c r="Y260" s="20"/>
      <c r="Z260" s="21"/>
      <c r="AA260" s="22"/>
      <c r="AB260" s="22"/>
    </row>
    <row r="261" spans="1:28" ht="15.75" customHeight="1" x14ac:dyDescent="0.25">
      <c r="A261" s="29"/>
      <c r="B261" s="30"/>
      <c r="C261" s="31"/>
      <c r="D261" s="31"/>
      <c r="E261" s="30"/>
      <c r="F261" s="35"/>
      <c r="G261" s="33"/>
      <c r="H261" s="30"/>
      <c r="I261" s="30"/>
      <c r="J261" s="30"/>
      <c r="K261" s="34"/>
      <c r="L261" s="20"/>
      <c r="M261" s="20"/>
      <c r="N261" s="20"/>
      <c r="O261" s="20"/>
      <c r="P261" s="20"/>
      <c r="Q261" s="20"/>
      <c r="R261" s="20"/>
      <c r="S261" s="20"/>
      <c r="T261" s="20"/>
      <c r="U261" s="20"/>
      <c r="V261" s="20"/>
      <c r="W261" s="20"/>
      <c r="X261" s="20"/>
      <c r="Y261" s="20"/>
      <c r="Z261" s="21"/>
      <c r="AA261" s="22"/>
      <c r="AB261" s="22"/>
    </row>
    <row r="262" spans="1:28" ht="15.75" customHeight="1" x14ac:dyDescent="0.25">
      <c r="A262" s="29"/>
      <c r="B262" s="30"/>
      <c r="C262" s="31"/>
      <c r="D262" s="31"/>
      <c r="E262" s="30"/>
      <c r="F262" s="35"/>
      <c r="G262" s="33"/>
      <c r="H262" s="30"/>
      <c r="I262" s="30"/>
      <c r="J262" s="30"/>
      <c r="K262" s="34"/>
      <c r="L262" s="20"/>
      <c r="M262" s="20"/>
      <c r="N262" s="20"/>
      <c r="O262" s="20"/>
      <c r="P262" s="20"/>
      <c r="Q262" s="20"/>
      <c r="R262" s="20"/>
      <c r="S262" s="20"/>
      <c r="T262" s="20"/>
      <c r="U262" s="20"/>
      <c r="V262" s="20"/>
      <c r="W262" s="20"/>
      <c r="X262" s="20"/>
      <c r="Y262" s="20"/>
      <c r="Z262" s="21"/>
      <c r="AA262" s="22"/>
      <c r="AB262" s="22"/>
    </row>
    <row r="263" spans="1:28" ht="15.75" customHeight="1" x14ac:dyDescent="0.25">
      <c r="A263" s="29"/>
      <c r="B263" s="30"/>
      <c r="C263" s="31"/>
      <c r="D263" s="31"/>
      <c r="E263" s="30"/>
      <c r="F263" s="35"/>
      <c r="G263" s="33"/>
      <c r="H263" s="30"/>
      <c r="I263" s="30"/>
      <c r="J263" s="30"/>
      <c r="K263" s="34"/>
      <c r="L263" s="20"/>
      <c r="M263" s="20"/>
      <c r="N263" s="20"/>
      <c r="O263" s="20"/>
      <c r="P263" s="20"/>
      <c r="Q263" s="20"/>
      <c r="R263" s="20"/>
      <c r="S263" s="20"/>
      <c r="T263" s="20"/>
      <c r="U263" s="20"/>
      <c r="V263" s="20"/>
      <c r="W263" s="20"/>
      <c r="X263" s="20"/>
      <c r="Y263" s="20"/>
      <c r="Z263" s="21"/>
      <c r="AA263" s="22"/>
      <c r="AB263" s="22"/>
    </row>
    <row r="264" spans="1:28" ht="15.75" customHeight="1" x14ac:dyDescent="0.25">
      <c r="A264" s="29"/>
      <c r="B264" s="30"/>
      <c r="C264" s="31"/>
      <c r="D264" s="31"/>
      <c r="E264" s="30"/>
      <c r="F264" s="35"/>
      <c r="G264" s="33"/>
      <c r="H264" s="30"/>
      <c r="I264" s="30"/>
      <c r="J264" s="30"/>
      <c r="K264" s="34"/>
      <c r="L264" s="20"/>
      <c r="M264" s="20"/>
      <c r="N264" s="20"/>
      <c r="O264" s="20"/>
      <c r="P264" s="20"/>
      <c r="Q264" s="20"/>
      <c r="R264" s="20"/>
      <c r="S264" s="20"/>
      <c r="T264" s="20"/>
      <c r="U264" s="20"/>
      <c r="V264" s="20"/>
      <c r="W264" s="20"/>
      <c r="X264" s="20"/>
      <c r="Y264" s="20"/>
      <c r="Z264" s="21"/>
      <c r="AA264" s="22"/>
      <c r="AB264" s="22"/>
    </row>
    <row r="265" spans="1:28" ht="15.75" customHeight="1" x14ac:dyDescent="0.25">
      <c r="A265" s="29"/>
      <c r="B265" s="30"/>
      <c r="C265" s="31"/>
      <c r="D265" s="31"/>
      <c r="E265" s="30"/>
      <c r="F265" s="35"/>
      <c r="G265" s="33"/>
      <c r="H265" s="30"/>
      <c r="I265" s="30"/>
      <c r="J265" s="30"/>
      <c r="K265" s="34"/>
      <c r="L265" s="20"/>
      <c r="M265" s="20"/>
      <c r="N265" s="20"/>
      <c r="O265" s="20"/>
      <c r="P265" s="20"/>
      <c r="Q265" s="20"/>
      <c r="R265" s="20"/>
      <c r="S265" s="20"/>
      <c r="T265" s="20"/>
      <c r="U265" s="20"/>
      <c r="V265" s="20"/>
      <c r="W265" s="20"/>
      <c r="X265" s="20"/>
      <c r="Y265" s="20"/>
      <c r="Z265" s="21"/>
      <c r="AA265" s="22"/>
      <c r="AB265" s="22"/>
    </row>
    <row r="266" spans="1:28" ht="15.75" customHeight="1" x14ac:dyDescent="0.25">
      <c r="A266" s="29"/>
      <c r="B266" s="30"/>
      <c r="C266" s="31"/>
      <c r="D266" s="31"/>
      <c r="E266" s="30"/>
      <c r="F266" s="35"/>
      <c r="G266" s="33"/>
      <c r="H266" s="30"/>
      <c r="I266" s="30"/>
      <c r="J266" s="30"/>
      <c r="K266" s="34"/>
      <c r="L266" s="20"/>
      <c r="M266" s="20"/>
      <c r="N266" s="20"/>
      <c r="O266" s="20"/>
      <c r="P266" s="20"/>
      <c r="Q266" s="20"/>
      <c r="R266" s="20"/>
      <c r="S266" s="20"/>
      <c r="T266" s="20"/>
      <c r="U266" s="20"/>
      <c r="V266" s="20"/>
      <c r="W266" s="20"/>
      <c r="X266" s="20"/>
      <c r="Y266" s="20"/>
      <c r="Z266" s="21"/>
      <c r="AA266" s="22"/>
      <c r="AB266" s="22"/>
    </row>
    <row r="267" spans="1:28" ht="15.75" customHeight="1" x14ac:dyDescent="0.25">
      <c r="A267" s="29"/>
      <c r="B267" s="30"/>
      <c r="C267" s="31"/>
      <c r="D267" s="31"/>
      <c r="E267" s="30"/>
      <c r="F267" s="35"/>
      <c r="G267" s="33"/>
      <c r="H267" s="30"/>
      <c r="I267" s="30"/>
      <c r="J267" s="30"/>
      <c r="K267" s="34"/>
      <c r="L267" s="20"/>
      <c r="M267" s="20"/>
      <c r="N267" s="20"/>
      <c r="O267" s="20"/>
      <c r="P267" s="20"/>
      <c r="Q267" s="20"/>
      <c r="R267" s="20"/>
      <c r="S267" s="20"/>
      <c r="T267" s="20"/>
      <c r="U267" s="20"/>
      <c r="V267" s="20"/>
      <c r="W267" s="20"/>
      <c r="X267" s="20"/>
      <c r="Y267" s="20"/>
      <c r="Z267" s="21"/>
      <c r="AA267" s="22"/>
      <c r="AB267" s="22"/>
    </row>
    <row r="268" spans="1:28" ht="15.75" customHeight="1" x14ac:dyDescent="0.25">
      <c r="A268" s="29"/>
      <c r="B268" s="30"/>
      <c r="C268" s="31"/>
      <c r="D268" s="31"/>
      <c r="E268" s="30"/>
      <c r="F268" s="35"/>
      <c r="G268" s="33"/>
      <c r="H268" s="30"/>
      <c r="I268" s="30"/>
      <c r="J268" s="30"/>
      <c r="K268" s="34"/>
      <c r="L268" s="20"/>
      <c r="M268" s="20"/>
      <c r="N268" s="20"/>
      <c r="O268" s="20"/>
      <c r="P268" s="20"/>
      <c r="Q268" s="20"/>
      <c r="R268" s="20"/>
      <c r="S268" s="20"/>
      <c r="T268" s="20"/>
      <c r="U268" s="20"/>
      <c r="V268" s="20"/>
      <c r="W268" s="20"/>
      <c r="X268" s="20"/>
      <c r="Y268" s="20"/>
      <c r="Z268" s="21"/>
      <c r="AA268" s="22"/>
      <c r="AB268" s="22"/>
    </row>
    <row r="269" spans="1:28" ht="15.75" customHeight="1" x14ac:dyDescent="0.25">
      <c r="A269" s="29"/>
      <c r="B269" s="30"/>
      <c r="C269" s="31"/>
      <c r="D269" s="31"/>
      <c r="E269" s="30"/>
      <c r="F269" s="35"/>
      <c r="G269" s="33"/>
      <c r="H269" s="30"/>
      <c r="I269" s="30"/>
      <c r="J269" s="30"/>
      <c r="K269" s="34"/>
      <c r="L269" s="20"/>
      <c r="M269" s="20"/>
      <c r="N269" s="20"/>
      <c r="O269" s="20"/>
      <c r="P269" s="20"/>
      <c r="Q269" s="20"/>
      <c r="R269" s="20"/>
      <c r="S269" s="20"/>
      <c r="T269" s="20"/>
      <c r="U269" s="20"/>
      <c r="V269" s="20"/>
      <c r="W269" s="20"/>
      <c r="X269" s="20"/>
      <c r="Y269" s="20"/>
      <c r="Z269" s="21"/>
      <c r="AA269" s="22"/>
      <c r="AB269" s="22"/>
    </row>
    <row r="270" spans="1:28" ht="15.75" customHeight="1" x14ac:dyDescent="0.25">
      <c r="A270" s="29"/>
      <c r="B270" s="30"/>
      <c r="C270" s="31"/>
      <c r="D270" s="31"/>
      <c r="E270" s="30"/>
      <c r="F270" s="35"/>
      <c r="G270" s="33"/>
      <c r="H270" s="30"/>
      <c r="I270" s="30"/>
      <c r="J270" s="30"/>
      <c r="K270" s="34"/>
      <c r="L270" s="20"/>
      <c r="M270" s="20"/>
      <c r="N270" s="20"/>
      <c r="O270" s="20"/>
      <c r="P270" s="20"/>
      <c r="Q270" s="20"/>
      <c r="R270" s="20"/>
      <c r="S270" s="20"/>
      <c r="T270" s="20"/>
      <c r="U270" s="20"/>
      <c r="V270" s="20"/>
      <c r="W270" s="20"/>
      <c r="X270" s="20"/>
      <c r="Y270" s="20"/>
      <c r="Z270" s="21"/>
      <c r="AA270" s="22"/>
      <c r="AB270" s="22"/>
    </row>
    <row r="271" spans="1:28" ht="15.75" customHeight="1" x14ac:dyDescent="0.25">
      <c r="A271" s="36"/>
      <c r="B271" s="37"/>
      <c r="C271" s="38"/>
      <c r="D271" s="38"/>
      <c r="E271" s="37"/>
      <c r="F271" s="39"/>
      <c r="G271" s="40"/>
      <c r="H271" s="37"/>
      <c r="I271" s="37"/>
      <c r="J271" s="37"/>
      <c r="K271" s="41"/>
      <c r="L271" s="20"/>
      <c r="M271" s="20"/>
      <c r="N271" s="20"/>
      <c r="O271" s="20"/>
      <c r="P271" s="20"/>
      <c r="Q271" s="20"/>
      <c r="R271" s="20"/>
      <c r="S271" s="20"/>
      <c r="T271" s="20"/>
      <c r="U271" s="20"/>
      <c r="V271" s="20"/>
      <c r="W271" s="20"/>
      <c r="X271" s="20"/>
      <c r="Y271" s="20"/>
      <c r="Z271" s="21"/>
      <c r="AA271" s="22"/>
      <c r="AB271" s="22"/>
    </row>
    <row r="272" spans="1:28" ht="15.75" customHeight="1" x14ac:dyDescent="0.25">
      <c r="A272" s="42"/>
      <c r="B272" s="42"/>
      <c r="C272" s="43"/>
      <c r="D272" s="43"/>
      <c r="E272" s="42"/>
      <c r="F272" s="42"/>
      <c r="G272" s="44"/>
      <c r="H272" s="42"/>
      <c r="I272" s="42"/>
      <c r="J272" s="42"/>
      <c r="K272" s="42"/>
      <c r="L272" s="20"/>
      <c r="M272" s="20"/>
      <c r="N272" s="20"/>
      <c r="O272" s="20"/>
      <c r="P272" s="20"/>
      <c r="Q272" s="20"/>
      <c r="R272" s="20"/>
      <c r="S272" s="20"/>
      <c r="T272" s="20"/>
      <c r="U272" s="20"/>
      <c r="V272" s="20"/>
      <c r="W272" s="20"/>
      <c r="X272" s="20"/>
      <c r="Y272" s="20"/>
      <c r="Z272" s="21"/>
      <c r="AA272" s="22"/>
      <c r="AB272" s="22"/>
    </row>
    <row r="273" spans="1:28" ht="15.75" customHeight="1" x14ac:dyDescent="0.25">
      <c r="A273" s="42"/>
      <c r="B273" s="42"/>
      <c r="C273" s="43"/>
      <c r="D273" s="43"/>
      <c r="E273" s="42"/>
      <c r="F273" s="42"/>
      <c r="G273" s="44"/>
      <c r="H273" s="42"/>
      <c r="I273" s="42"/>
      <c r="J273" s="42"/>
      <c r="K273" s="42"/>
      <c r="L273" s="20"/>
      <c r="M273" s="20"/>
      <c r="N273" s="20"/>
      <c r="O273" s="20"/>
      <c r="P273" s="20"/>
      <c r="Q273" s="20"/>
      <c r="R273" s="20"/>
      <c r="S273" s="20"/>
      <c r="T273" s="20"/>
      <c r="U273" s="20"/>
      <c r="V273" s="20"/>
      <c r="W273" s="20"/>
      <c r="X273" s="20"/>
      <c r="Y273" s="20"/>
      <c r="Z273" s="21"/>
      <c r="AA273" s="22"/>
      <c r="AB273" s="22"/>
    </row>
    <row r="274" spans="1:28" ht="15.75" customHeight="1" x14ac:dyDescent="0.25">
      <c r="A274" s="42"/>
      <c r="B274" s="42"/>
      <c r="C274" s="43"/>
      <c r="D274" s="43"/>
      <c r="E274" s="42"/>
      <c r="F274" s="42"/>
      <c r="G274" s="44"/>
      <c r="H274" s="42"/>
      <c r="I274" s="42"/>
      <c r="J274" s="42"/>
      <c r="K274" s="42"/>
      <c r="L274" s="20"/>
      <c r="M274" s="20"/>
      <c r="N274" s="20"/>
      <c r="O274" s="20"/>
      <c r="P274" s="20"/>
      <c r="Q274" s="20"/>
      <c r="R274" s="20"/>
      <c r="S274" s="20"/>
      <c r="T274" s="20"/>
      <c r="U274" s="20"/>
      <c r="V274" s="20"/>
      <c r="W274" s="20"/>
      <c r="X274" s="20"/>
      <c r="Y274" s="20"/>
      <c r="Z274" s="21"/>
      <c r="AA274" s="22"/>
      <c r="AB274" s="22"/>
    </row>
    <row r="275" spans="1:28" ht="15.75" customHeight="1" x14ac:dyDescent="0.25">
      <c r="A275" s="42"/>
      <c r="B275" s="42"/>
      <c r="C275" s="43"/>
      <c r="D275" s="43"/>
      <c r="E275" s="42"/>
      <c r="F275" s="42"/>
      <c r="G275" s="44"/>
      <c r="H275" s="42"/>
      <c r="I275" s="42"/>
      <c r="J275" s="42"/>
      <c r="K275" s="42"/>
      <c r="L275" s="20"/>
      <c r="M275" s="20"/>
      <c r="N275" s="20"/>
      <c r="O275" s="20"/>
      <c r="P275" s="20"/>
      <c r="Q275" s="20"/>
      <c r="R275" s="20"/>
      <c r="S275" s="20"/>
      <c r="T275" s="20"/>
      <c r="U275" s="20"/>
      <c r="V275" s="20"/>
      <c r="W275" s="20"/>
      <c r="X275" s="20"/>
      <c r="Y275" s="20"/>
      <c r="Z275" s="21"/>
      <c r="AA275" s="22"/>
      <c r="AB275" s="22"/>
    </row>
    <row r="276" spans="1:28" ht="15.75" customHeight="1" x14ac:dyDescent="0.25">
      <c r="A276" s="42"/>
      <c r="B276" s="42"/>
      <c r="C276" s="43"/>
      <c r="D276" s="43"/>
      <c r="E276" s="42"/>
      <c r="F276" s="42"/>
      <c r="G276" s="44"/>
      <c r="H276" s="42"/>
      <c r="I276" s="42"/>
      <c r="J276" s="42"/>
      <c r="K276" s="42"/>
      <c r="L276" s="20"/>
      <c r="M276" s="20"/>
      <c r="N276" s="20"/>
      <c r="O276" s="20"/>
      <c r="P276" s="20"/>
      <c r="Q276" s="20"/>
      <c r="R276" s="20"/>
      <c r="S276" s="20"/>
      <c r="T276" s="20"/>
      <c r="U276" s="20"/>
      <c r="V276" s="20"/>
      <c r="W276" s="20"/>
      <c r="X276" s="20"/>
      <c r="Y276" s="20"/>
      <c r="Z276" s="21"/>
      <c r="AA276" s="22"/>
      <c r="AB276" s="22"/>
    </row>
    <row r="277" spans="1:28" ht="15.75" customHeight="1" x14ac:dyDescent="0.25">
      <c r="A277" s="42"/>
      <c r="B277" s="42"/>
      <c r="C277" s="43"/>
      <c r="D277" s="43"/>
      <c r="E277" s="42"/>
      <c r="F277" s="42"/>
      <c r="G277" s="44"/>
      <c r="H277" s="42"/>
      <c r="I277" s="42"/>
      <c r="J277" s="42"/>
      <c r="K277" s="42"/>
      <c r="L277" s="20"/>
      <c r="M277" s="20"/>
      <c r="N277" s="20"/>
      <c r="O277" s="20"/>
      <c r="P277" s="20"/>
      <c r="Q277" s="20"/>
      <c r="R277" s="20"/>
      <c r="S277" s="20"/>
      <c r="T277" s="20"/>
      <c r="U277" s="20"/>
      <c r="V277" s="20"/>
      <c r="W277" s="20"/>
      <c r="X277" s="20"/>
      <c r="Y277" s="20"/>
      <c r="Z277" s="21"/>
      <c r="AA277" s="22"/>
      <c r="AB277" s="22"/>
    </row>
    <row r="278" spans="1:28" ht="15.75" customHeight="1" x14ac:dyDescent="0.25">
      <c r="A278" s="42"/>
      <c r="B278" s="42"/>
      <c r="C278" s="43"/>
      <c r="D278" s="43"/>
      <c r="E278" s="42"/>
      <c r="F278" s="42"/>
      <c r="G278" s="44"/>
      <c r="H278" s="42"/>
      <c r="I278" s="42"/>
      <c r="J278" s="42"/>
      <c r="K278" s="42"/>
      <c r="L278" s="20"/>
      <c r="M278" s="20"/>
      <c r="N278" s="20"/>
      <c r="O278" s="20"/>
      <c r="P278" s="20"/>
      <c r="Q278" s="20"/>
      <c r="R278" s="20"/>
      <c r="S278" s="20"/>
      <c r="T278" s="20"/>
      <c r="U278" s="20"/>
      <c r="V278" s="20"/>
      <c r="W278" s="20"/>
      <c r="X278" s="20"/>
      <c r="Y278" s="20"/>
      <c r="Z278" s="21"/>
      <c r="AA278" s="22"/>
      <c r="AB278" s="22"/>
    </row>
    <row r="279" spans="1:28" ht="15.75" customHeight="1" x14ac:dyDescent="0.25">
      <c r="A279" s="42"/>
      <c r="B279" s="42"/>
      <c r="C279" s="43"/>
      <c r="D279" s="43"/>
      <c r="E279" s="42"/>
      <c r="F279" s="42"/>
      <c r="G279" s="44"/>
      <c r="H279" s="42"/>
      <c r="I279" s="42"/>
      <c r="J279" s="42"/>
      <c r="K279" s="42"/>
      <c r="L279" s="20"/>
      <c r="M279" s="20"/>
      <c r="N279" s="20"/>
      <c r="O279" s="20"/>
      <c r="P279" s="20"/>
      <c r="Q279" s="20"/>
      <c r="R279" s="20"/>
      <c r="S279" s="20"/>
      <c r="T279" s="20"/>
      <c r="U279" s="20"/>
      <c r="V279" s="20"/>
      <c r="W279" s="20"/>
      <c r="X279" s="20"/>
      <c r="Y279" s="20"/>
      <c r="Z279" s="21"/>
      <c r="AA279" s="22"/>
      <c r="AB279" s="22"/>
    </row>
    <row r="280" spans="1:28" ht="15.75" customHeight="1" x14ac:dyDescent="0.25">
      <c r="A280" s="42"/>
      <c r="B280" s="42"/>
      <c r="C280" s="43"/>
      <c r="D280" s="43"/>
      <c r="E280" s="42"/>
      <c r="F280" s="42"/>
      <c r="G280" s="44"/>
      <c r="H280" s="42"/>
      <c r="I280" s="42"/>
      <c r="J280" s="42"/>
      <c r="K280" s="42"/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0"/>
      <c r="W280" s="20"/>
      <c r="X280" s="20"/>
      <c r="Y280" s="20"/>
      <c r="Z280" s="21"/>
      <c r="AA280" s="22"/>
      <c r="AB280" s="22"/>
    </row>
    <row r="281" spans="1:28" ht="15.75" customHeight="1" x14ac:dyDescent="0.25">
      <c r="A281" s="42"/>
      <c r="B281" s="42"/>
      <c r="C281" s="43"/>
      <c r="D281" s="43"/>
      <c r="E281" s="42"/>
      <c r="F281" s="42"/>
      <c r="G281" s="44"/>
      <c r="H281" s="42"/>
      <c r="I281" s="42"/>
      <c r="J281" s="42"/>
      <c r="K281" s="42"/>
      <c r="L281" s="20"/>
      <c r="M281" s="20"/>
      <c r="N281" s="20"/>
      <c r="O281" s="20"/>
      <c r="P281" s="20"/>
      <c r="Q281" s="20"/>
      <c r="R281" s="20"/>
      <c r="S281" s="20"/>
      <c r="T281" s="20"/>
      <c r="U281" s="20"/>
      <c r="V281" s="20"/>
      <c r="W281" s="20"/>
      <c r="X281" s="20"/>
      <c r="Y281" s="20"/>
      <c r="Z281" s="21"/>
      <c r="AA281" s="22"/>
      <c r="AB281" s="22"/>
    </row>
    <row r="282" spans="1:28" ht="15.75" customHeight="1" x14ac:dyDescent="0.25">
      <c r="A282" s="42"/>
      <c r="B282" s="42"/>
      <c r="C282" s="43"/>
      <c r="D282" s="43"/>
      <c r="E282" s="42"/>
      <c r="F282" s="42"/>
      <c r="G282" s="44"/>
      <c r="H282" s="42"/>
      <c r="I282" s="42"/>
      <c r="J282" s="42"/>
      <c r="K282" s="42"/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0"/>
      <c r="W282" s="20"/>
      <c r="X282" s="20"/>
      <c r="Y282" s="20"/>
      <c r="Z282" s="21"/>
      <c r="AA282" s="22"/>
      <c r="AB282" s="22"/>
    </row>
    <row r="283" spans="1:28" ht="15.75" customHeight="1" x14ac:dyDescent="0.25">
      <c r="A283" s="42"/>
      <c r="B283" s="42"/>
      <c r="C283" s="43"/>
      <c r="D283" s="43"/>
      <c r="E283" s="42"/>
      <c r="F283" s="42"/>
      <c r="G283" s="44"/>
      <c r="H283" s="42"/>
      <c r="I283" s="42"/>
      <c r="J283" s="42"/>
      <c r="K283" s="42"/>
      <c r="L283" s="20"/>
      <c r="M283" s="20"/>
      <c r="N283" s="20"/>
      <c r="O283" s="20"/>
      <c r="P283" s="20"/>
      <c r="Q283" s="20"/>
      <c r="R283" s="20"/>
      <c r="S283" s="20"/>
      <c r="T283" s="20"/>
      <c r="U283" s="20"/>
      <c r="V283" s="20"/>
      <c r="W283" s="20"/>
      <c r="X283" s="20"/>
      <c r="Y283" s="20"/>
      <c r="Z283" s="21"/>
      <c r="AA283" s="22"/>
      <c r="AB283" s="22"/>
    </row>
    <row r="284" spans="1:28" ht="15.75" customHeight="1" x14ac:dyDescent="0.25">
      <c r="A284" s="42"/>
      <c r="B284" s="42"/>
      <c r="C284" s="43"/>
      <c r="D284" s="43"/>
      <c r="E284" s="42"/>
      <c r="F284" s="42"/>
      <c r="G284" s="44"/>
      <c r="H284" s="42"/>
      <c r="I284" s="42"/>
      <c r="J284" s="42"/>
      <c r="K284" s="42"/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0"/>
      <c r="W284" s="20"/>
      <c r="X284" s="20"/>
      <c r="Y284" s="20"/>
      <c r="Z284" s="21"/>
      <c r="AA284" s="22"/>
      <c r="AB284" s="22"/>
    </row>
    <row r="285" spans="1:28" ht="15.75" customHeight="1" x14ac:dyDescent="0.25">
      <c r="A285" s="42"/>
      <c r="B285" s="42"/>
      <c r="C285" s="43"/>
      <c r="D285" s="43"/>
      <c r="E285" s="42"/>
      <c r="F285" s="42"/>
      <c r="G285" s="44"/>
      <c r="H285" s="42"/>
      <c r="I285" s="42"/>
      <c r="J285" s="42"/>
      <c r="K285" s="42"/>
      <c r="L285" s="20"/>
      <c r="M285" s="20"/>
      <c r="N285" s="20"/>
      <c r="O285" s="20"/>
      <c r="P285" s="20"/>
      <c r="Q285" s="20"/>
      <c r="R285" s="20"/>
      <c r="S285" s="20"/>
      <c r="T285" s="20"/>
      <c r="U285" s="20"/>
      <c r="V285" s="20"/>
      <c r="W285" s="20"/>
      <c r="X285" s="20"/>
      <c r="Y285" s="20"/>
      <c r="Z285" s="21"/>
      <c r="AA285" s="22"/>
      <c r="AB285" s="22"/>
    </row>
    <row r="286" spans="1:28" ht="15.75" customHeight="1" x14ac:dyDescent="0.25">
      <c r="A286" s="42"/>
      <c r="B286" s="42"/>
      <c r="C286" s="43"/>
      <c r="D286" s="43"/>
      <c r="E286" s="42"/>
      <c r="F286" s="42"/>
      <c r="G286" s="44"/>
      <c r="H286" s="42"/>
      <c r="I286" s="42"/>
      <c r="J286" s="42"/>
      <c r="K286" s="42"/>
      <c r="L286" s="20"/>
      <c r="M286" s="20"/>
      <c r="N286" s="20"/>
      <c r="O286" s="20"/>
      <c r="P286" s="20"/>
      <c r="Q286" s="20"/>
      <c r="R286" s="20"/>
      <c r="S286" s="20"/>
      <c r="T286" s="20"/>
      <c r="U286" s="20"/>
      <c r="V286" s="20"/>
      <c r="W286" s="20"/>
      <c r="X286" s="20"/>
      <c r="Y286" s="20"/>
      <c r="Z286" s="21"/>
      <c r="AA286" s="22"/>
      <c r="AB286" s="22"/>
    </row>
    <row r="287" spans="1:28" ht="15.75" customHeight="1" x14ac:dyDescent="0.25">
      <c r="A287" s="42"/>
      <c r="B287" s="42"/>
      <c r="C287" s="43"/>
      <c r="D287" s="43"/>
      <c r="E287" s="42"/>
      <c r="F287" s="42"/>
      <c r="G287" s="44"/>
      <c r="H287" s="42"/>
      <c r="I287" s="42"/>
      <c r="J287" s="42"/>
      <c r="K287" s="42"/>
      <c r="L287" s="20"/>
      <c r="M287" s="20"/>
      <c r="N287" s="20"/>
      <c r="O287" s="20"/>
      <c r="P287" s="20"/>
      <c r="Q287" s="20"/>
      <c r="R287" s="20"/>
      <c r="S287" s="20"/>
      <c r="T287" s="20"/>
      <c r="U287" s="20"/>
      <c r="V287" s="20"/>
      <c r="W287" s="20"/>
      <c r="X287" s="20"/>
      <c r="Y287" s="20"/>
      <c r="Z287" s="21"/>
      <c r="AA287" s="22"/>
      <c r="AB287" s="22"/>
    </row>
    <row r="288" spans="1:28" ht="15.75" customHeight="1" x14ac:dyDescent="0.25">
      <c r="A288" s="42"/>
      <c r="B288" s="42"/>
      <c r="C288" s="43"/>
      <c r="D288" s="43"/>
      <c r="E288" s="42"/>
      <c r="F288" s="42"/>
      <c r="G288" s="44"/>
      <c r="H288" s="42"/>
      <c r="I288" s="42"/>
      <c r="J288" s="42"/>
      <c r="K288" s="42"/>
      <c r="L288" s="20"/>
      <c r="M288" s="20"/>
      <c r="N288" s="20"/>
      <c r="O288" s="20"/>
      <c r="P288" s="20"/>
      <c r="Q288" s="20"/>
      <c r="R288" s="20"/>
      <c r="S288" s="20"/>
      <c r="T288" s="20"/>
      <c r="U288" s="20"/>
      <c r="V288" s="20"/>
      <c r="W288" s="20"/>
      <c r="X288" s="20"/>
      <c r="Y288" s="20"/>
      <c r="Z288" s="21"/>
      <c r="AA288" s="22"/>
      <c r="AB288" s="22"/>
    </row>
    <row r="289" spans="1:28" ht="15.75" customHeight="1" x14ac:dyDescent="0.25">
      <c r="A289" s="42"/>
      <c r="B289" s="42"/>
      <c r="C289" s="43"/>
      <c r="D289" s="43"/>
      <c r="E289" s="42"/>
      <c r="F289" s="42"/>
      <c r="G289" s="44"/>
      <c r="H289" s="42"/>
      <c r="I289" s="42"/>
      <c r="J289" s="42"/>
      <c r="K289" s="42"/>
      <c r="L289" s="20"/>
      <c r="M289" s="20"/>
      <c r="N289" s="20"/>
      <c r="O289" s="20"/>
      <c r="P289" s="20"/>
      <c r="Q289" s="20"/>
      <c r="R289" s="20"/>
      <c r="S289" s="20"/>
      <c r="T289" s="20"/>
      <c r="U289" s="20"/>
      <c r="V289" s="20"/>
      <c r="W289" s="20"/>
      <c r="X289" s="20"/>
      <c r="Y289" s="20"/>
      <c r="Z289" s="21"/>
      <c r="AA289" s="22"/>
      <c r="AB289" s="22"/>
    </row>
    <row r="290" spans="1:28" ht="15.75" customHeight="1" x14ac:dyDescent="0.25">
      <c r="A290" s="42"/>
      <c r="B290" s="42"/>
      <c r="C290" s="43"/>
      <c r="D290" s="43"/>
      <c r="E290" s="42"/>
      <c r="F290" s="42"/>
      <c r="G290" s="44"/>
      <c r="H290" s="42"/>
      <c r="I290" s="42"/>
      <c r="J290" s="42"/>
      <c r="K290" s="42"/>
      <c r="L290" s="20"/>
      <c r="M290" s="20"/>
      <c r="N290" s="20"/>
      <c r="O290" s="20"/>
      <c r="P290" s="20"/>
      <c r="Q290" s="20"/>
      <c r="R290" s="20"/>
      <c r="S290" s="20"/>
      <c r="T290" s="20"/>
      <c r="U290" s="20"/>
      <c r="V290" s="20"/>
      <c r="W290" s="20"/>
      <c r="X290" s="20"/>
      <c r="Y290" s="20"/>
      <c r="Z290" s="21"/>
      <c r="AA290" s="22"/>
      <c r="AB290" s="22"/>
    </row>
    <row r="291" spans="1:28" ht="15.75" customHeight="1" x14ac:dyDescent="0.25">
      <c r="A291" s="42"/>
      <c r="B291" s="42"/>
      <c r="C291" s="43"/>
      <c r="D291" s="43"/>
      <c r="E291" s="42"/>
      <c r="F291" s="42"/>
      <c r="G291" s="44"/>
      <c r="H291" s="42"/>
      <c r="I291" s="42"/>
      <c r="J291" s="42"/>
      <c r="K291" s="42"/>
      <c r="L291" s="20"/>
      <c r="M291" s="20"/>
      <c r="N291" s="20"/>
      <c r="O291" s="20"/>
      <c r="P291" s="20"/>
      <c r="Q291" s="20"/>
      <c r="R291" s="20"/>
      <c r="S291" s="20"/>
      <c r="T291" s="20"/>
      <c r="U291" s="20"/>
      <c r="V291" s="20"/>
      <c r="W291" s="20"/>
      <c r="X291" s="20"/>
      <c r="Y291" s="20"/>
      <c r="Z291" s="21"/>
      <c r="AA291" s="22"/>
      <c r="AB291" s="22"/>
    </row>
    <row r="292" spans="1:28" ht="15.75" customHeight="1" x14ac:dyDescent="0.25">
      <c r="A292" s="42"/>
      <c r="B292" s="42"/>
      <c r="C292" s="43"/>
      <c r="D292" s="43"/>
      <c r="E292" s="42"/>
      <c r="F292" s="42"/>
      <c r="G292" s="44"/>
      <c r="H292" s="42"/>
      <c r="I292" s="42"/>
      <c r="J292" s="42"/>
      <c r="K292" s="42"/>
      <c r="L292" s="20"/>
      <c r="M292" s="20"/>
      <c r="N292" s="20"/>
      <c r="O292" s="20"/>
      <c r="P292" s="20"/>
      <c r="Q292" s="20"/>
      <c r="R292" s="20"/>
      <c r="S292" s="20"/>
      <c r="T292" s="20"/>
      <c r="U292" s="20"/>
      <c r="V292" s="20"/>
      <c r="W292" s="20"/>
      <c r="X292" s="20"/>
      <c r="Y292" s="20"/>
      <c r="Z292" s="21"/>
      <c r="AA292" s="22"/>
      <c r="AB292" s="22"/>
    </row>
    <row r="293" spans="1:28" ht="15.75" customHeight="1" x14ac:dyDescent="0.25">
      <c r="A293" s="42"/>
      <c r="B293" s="42"/>
      <c r="C293" s="43"/>
      <c r="D293" s="43"/>
      <c r="E293" s="42"/>
      <c r="F293" s="42"/>
      <c r="G293" s="44"/>
      <c r="H293" s="42"/>
      <c r="I293" s="42"/>
      <c r="J293" s="42"/>
      <c r="K293" s="42"/>
      <c r="L293" s="20"/>
      <c r="M293" s="20"/>
      <c r="N293" s="20"/>
      <c r="O293" s="20"/>
      <c r="P293" s="20"/>
      <c r="Q293" s="20"/>
      <c r="R293" s="20"/>
      <c r="S293" s="20"/>
      <c r="T293" s="20"/>
      <c r="U293" s="20"/>
      <c r="V293" s="20"/>
      <c r="W293" s="20"/>
      <c r="X293" s="20"/>
      <c r="Y293" s="20"/>
      <c r="Z293" s="21"/>
      <c r="AA293" s="22"/>
      <c r="AB293" s="22"/>
    </row>
    <row r="294" spans="1:28" ht="15.75" customHeight="1" x14ac:dyDescent="0.25">
      <c r="A294" s="42"/>
      <c r="B294" s="42"/>
      <c r="C294" s="43"/>
      <c r="D294" s="43"/>
      <c r="E294" s="42"/>
      <c r="F294" s="42"/>
      <c r="G294" s="44"/>
      <c r="H294" s="42"/>
      <c r="I294" s="42"/>
      <c r="J294" s="42"/>
      <c r="K294" s="42"/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0"/>
      <c r="W294" s="20"/>
      <c r="X294" s="20"/>
      <c r="Y294" s="20"/>
      <c r="Z294" s="21"/>
      <c r="AA294" s="22"/>
      <c r="AB294" s="22"/>
    </row>
    <row r="295" spans="1:28" ht="15.75" customHeight="1" x14ac:dyDescent="0.25">
      <c r="A295" s="42"/>
      <c r="B295" s="42"/>
      <c r="C295" s="43"/>
      <c r="D295" s="43"/>
      <c r="E295" s="42"/>
      <c r="F295" s="42"/>
      <c r="G295" s="44"/>
      <c r="H295" s="42"/>
      <c r="I295" s="42"/>
      <c r="J295" s="42"/>
      <c r="K295" s="42"/>
      <c r="L295" s="20"/>
      <c r="M295" s="20"/>
      <c r="N295" s="20"/>
      <c r="O295" s="20"/>
      <c r="P295" s="20"/>
      <c r="Q295" s="20"/>
      <c r="R295" s="20"/>
      <c r="S295" s="20"/>
      <c r="T295" s="20"/>
      <c r="U295" s="20"/>
      <c r="V295" s="20"/>
      <c r="W295" s="20"/>
      <c r="X295" s="20"/>
      <c r="Y295" s="20"/>
      <c r="Z295" s="21"/>
      <c r="AA295" s="22"/>
      <c r="AB295" s="22"/>
    </row>
    <row r="296" spans="1:28" ht="15.75" customHeight="1" x14ac:dyDescent="0.25">
      <c r="A296" s="42"/>
      <c r="B296" s="42"/>
      <c r="C296" s="43"/>
      <c r="D296" s="43"/>
      <c r="E296" s="42"/>
      <c r="F296" s="42"/>
      <c r="G296" s="44"/>
      <c r="H296" s="42"/>
      <c r="I296" s="42"/>
      <c r="J296" s="42"/>
      <c r="K296" s="42"/>
      <c r="L296" s="20"/>
      <c r="M296" s="20"/>
      <c r="N296" s="20"/>
      <c r="O296" s="20"/>
      <c r="P296" s="20"/>
      <c r="Q296" s="20"/>
      <c r="R296" s="20"/>
      <c r="S296" s="20"/>
      <c r="T296" s="20"/>
      <c r="U296" s="20"/>
      <c r="V296" s="20"/>
      <c r="W296" s="20"/>
      <c r="X296" s="20"/>
      <c r="Y296" s="20"/>
      <c r="Z296" s="21"/>
      <c r="AA296" s="22"/>
      <c r="AB296" s="22"/>
    </row>
    <row r="297" spans="1:28" ht="15.75" customHeight="1" x14ac:dyDescent="0.25">
      <c r="A297" s="42"/>
      <c r="B297" s="42"/>
      <c r="C297" s="43"/>
      <c r="D297" s="43"/>
      <c r="E297" s="42"/>
      <c r="F297" s="42"/>
      <c r="G297" s="44"/>
      <c r="H297" s="42"/>
      <c r="I297" s="42"/>
      <c r="J297" s="42"/>
      <c r="K297" s="42"/>
      <c r="L297" s="20"/>
      <c r="M297" s="20"/>
      <c r="N297" s="20"/>
      <c r="O297" s="20"/>
      <c r="P297" s="20"/>
      <c r="Q297" s="20"/>
      <c r="R297" s="20"/>
      <c r="S297" s="20"/>
      <c r="T297" s="20"/>
      <c r="U297" s="20"/>
      <c r="V297" s="20"/>
      <c r="W297" s="20"/>
      <c r="X297" s="20"/>
      <c r="Y297" s="20"/>
      <c r="Z297" s="21"/>
      <c r="AA297" s="22"/>
      <c r="AB297" s="22"/>
    </row>
    <row r="298" spans="1:28" ht="15.75" customHeight="1" x14ac:dyDescent="0.25">
      <c r="A298" s="42"/>
      <c r="B298" s="42"/>
      <c r="C298" s="43"/>
      <c r="D298" s="43"/>
      <c r="E298" s="42"/>
      <c r="F298" s="42"/>
      <c r="G298" s="44"/>
      <c r="H298" s="42"/>
      <c r="I298" s="42"/>
      <c r="J298" s="42"/>
      <c r="K298" s="42"/>
      <c r="L298" s="20"/>
      <c r="M298" s="20"/>
      <c r="N298" s="20"/>
      <c r="O298" s="20"/>
      <c r="P298" s="20"/>
      <c r="Q298" s="20"/>
      <c r="R298" s="20"/>
      <c r="S298" s="20"/>
      <c r="T298" s="20"/>
      <c r="U298" s="20"/>
      <c r="V298" s="20"/>
      <c r="W298" s="20"/>
      <c r="X298" s="20"/>
      <c r="Y298" s="20"/>
      <c r="Z298" s="21"/>
      <c r="AA298" s="22"/>
      <c r="AB298" s="22"/>
    </row>
    <row r="299" spans="1:28" ht="15.75" customHeight="1" x14ac:dyDescent="0.25">
      <c r="A299" s="42"/>
      <c r="B299" s="42"/>
      <c r="C299" s="43"/>
      <c r="D299" s="43"/>
      <c r="E299" s="42"/>
      <c r="F299" s="42"/>
      <c r="G299" s="44"/>
      <c r="H299" s="42"/>
      <c r="I299" s="42"/>
      <c r="J299" s="42"/>
      <c r="K299" s="42"/>
      <c r="L299" s="20"/>
      <c r="M299" s="20"/>
      <c r="N299" s="20"/>
      <c r="O299" s="20"/>
      <c r="P299" s="20"/>
      <c r="Q299" s="20"/>
      <c r="R299" s="20"/>
      <c r="S299" s="20"/>
      <c r="T299" s="20"/>
      <c r="U299" s="20"/>
      <c r="V299" s="20"/>
      <c r="W299" s="20"/>
      <c r="X299" s="20"/>
      <c r="Y299" s="20"/>
      <c r="Z299" s="21"/>
      <c r="AA299" s="22"/>
      <c r="AB299" s="22"/>
    </row>
    <row r="300" spans="1:28" ht="15.75" customHeight="1" x14ac:dyDescent="0.25">
      <c r="A300" s="42"/>
      <c r="B300" s="42"/>
      <c r="C300" s="43"/>
      <c r="D300" s="43"/>
      <c r="E300" s="42"/>
      <c r="F300" s="42"/>
      <c r="G300" s="44"/>
      <c r="H300" s="42"/>
      <c r="I300" s="42"/>
      <c r="J300" s="42"/>
      <c r="K300" s="42"/>
      <c r="L300" s="20"/>
      <c r="M300" s="20"/>
      <c r="N300" s="20"/>
      <c r="O300" s="20"/>
      <c r="P300" s="20"/>
      <c r="Q300" s="20"/>
      <c r="R300" s="20"/>
      <c r="S300" s="20"/>
      <c r="T300" s="20"/>
      <c r="U300" s="20"/>
      <c r="V300" s="20"/>
      <c r="W300" s="20"/>
      <c r="X300" s="20"/>
      <c r="Y300" s="20"/>
      <c r="Z300" s="21"/>
      <c r="AA300" s="22"/>
      <c r="AB300" s="22"/>
    </row>
    <row r="301" spans="1:28" ht="15.75" customHeight="1" x14ac:dyDescent="0.25">
      <c r="A301" s="42"/>
      <c r="B301" s="42"/>
      <c r="C301" s="43"/>
      <c r="D301" s="43"/>
      <c r="E301" s="42"/>
      <c r="F301" s="42"/>
      <c r="G301" s="44"/>
      <c r="H301" s="42"/>
      <c r="I301" s="42"/>
      <c r="J301" s="42"/>
      <c r="K301" s="42"/>
      <c r="L301" s="20"/>
      <c r="M301" s="20"/>
      <c r="N301" s="20"/>
      <c r="O301" s="20"/>
      <c r="P301" s="20"/>
      <c r="Q301" s="20"/>
      <c r="R301" s="20"/>
      <c r="S301" s="20"/>
      <c r="T301" s="20"/>
      <c r="U301" s="20"/>
      <c r="V301" s="20"/>
      <c r="W301" s="20"/>
      <c r="X301" s="20"/>
      <c r="Y301" s="20"/>
      <c r="Z301" s="21"/>
      <c r="AA301" s="22"/>
      <c r="AB301" s="22"/>
    </row>
    <row r="302" spans="1:28" ht="15.75" customHeight="1" x14ac:dyDescent="0.25">
      <c r="A302" s="42"/>
      <c r="B302" s="42"/>
      <c r="C302" s="43"/>
      <c r="D302" s="43"/>
      <c r="E302" s="42"/>
      <c r="F302" s="42"/>
      <c r="G302" s="44"/>
      <c r="H302" s="42"/>
      <c r="I302" s="42"/>
      <c r="J302" s="42"/>
      <c r="K302" s="42"/>
      <c r="L302" s="20"/>
      <c r="M302" s="20"/>
      <c r="N302" s="20"/>
      <c r="O302" s="20"/>
      <c r="P302" s="20"/>
      <c r="Q302" s="20"/>
      <c r="R302" s="20"/>
      <c r="S302" s="20"/>
      <c r="T302" s="20"/>
      <c r="U302" s="20"/>
      <c r="V302" s="20"/>
      <c r="W302" s="20"/>
      <c r="X302" s="20"/>
      <c r="Y302" s="20"/>
      <c r="Z302" s="21"/>
      <c r="AA302" s="22"/>
      <c r="AB302" s="22"/>
    </row>
    <row r="303" spans="1:28" ht="15.75" customHeight="1" x14ac:dyDescent="0.25">
      <c r="A303" s="42"/>
      <c r="B303" s="42"/>
      <c r="C303" s="43"/>
      <c r="D303" s="43"/>
      <c r="E303" s="42"/>
      <c r="F303" s="42"/>
      <c r="G303" s="44"/>
      <c r="H303" s="42"/>
      <c r="I303" s="42"/>
      <c r="J303" s="42"/>
      <c r="K303" s="42"/>
      <c r="L303" s="20"/>
      <c r="M303" s="20"/>
      <c r="N303" s="20"/>
      <c r="O303" s="20"/>
      <c r="P303" s="20"/>
      <c r="Q303" s="20"/>
      <c r="R303" s="20"/>
      <c r="S303" s="20"/>
      <c r="T303" s="20"/>
      <c r="U303" s="20"/>
      <c r="V303" s="20"/>
      <c r="W303" s="20"/>
      <c r="X303" s="20"/>
      <c r="Y303" s="20"/>
      <c r="Z303" s="21"/>
      <c r="AA303" s="22"/>
      <c r="AB303" s="22"/>
    </row>
    <row r="304" spans="1:28" ht="15.75" customHeight="1" x14ac:dyDescent="0.25">
      <c r="A304" s="42"/>
      <c r="B304" s="42"/>
      <c r="C304" s="43"/>
      <c r="D304" s="43"/>
      <c r="E304" s="42"/>
      <c r="F304" s="42"/>
      <c r="G304" s="44"/>
      <c r="H304" s="42"/>
      <c r="I304" s="42"/>
      <c r="J304" s="42"/>
      <c r="K304" s="42"/>
      <c r="L304" s="20"/>
      <c r="M304" s="20"/>
      <c r="N304" s="20"/>
      <c r="O304" s="20"/>
      <c r="P304" s="20"/>
      <c r="Q304" s="20"/>
      <c r="R304" s="20"/>
      <c r="S304" s="20"/>
      <c r="T304" s="20"/>
      <c r="U304" s="20"/>
      <c r="V304" s="20"/>
      <c r="W304" s="20"/>
      <c r="X304" s="20"/>
      <c r="Y304" s="20"/>
      <c r="Z304" s="21"/>
      <c r="AA304" s="22"/>
      <c r="AB304" s="22"/>
    </row>
    <row r="305" spans="1:28" ht="15.75" customHeight="1" x14ac:dyDescent="0.25">
      <c r="A305" s="42"/>
      <c r="B305" s="42"/>
      <c r="C305" s="43"/>
      <c r="D305" s="43"/>
      <c r="E305" s="42"/>
      <c r="F305" s="42"/>
      <c r="G305" s="44"/>
      <c r="H305" s="42"/>
      <c r="I305" s="42"/>
      <c r="J305" s="42"/>
      <c r="K305" s="42"/>
      <c r="L305" s="20"/>
      <c r="M305" s="20"/>
      <c r="N305" s="20"/>
      <c r="O305" s="20"/>
      <c r="P305" s="20"/>
      <c r="Q305" s="20"/>
      <c r="R305" s="20"/>
      <c r="S305" s="20"/>
      <c r="T305" s="20"/>
      <c r="U305" s="20"/>
      <c r="V305" s="20"/>
      <c r="W305" s="20"/>
      <c r="X305" s="20"/>
      <c r="Y305" s="20"/>
      <c r="Z305" s="21"/>
      <c r="AA305" s="22"/>
      <c r="AB305" s="22"/>
    </row>
    <row r="306" spans="1:28" ht="15.75" customHeight="1" x14ac:dyDescent="0.25">
      <c r="A306" s="42"/>
      <c r="B306" s="42"/>
      <c r="C306" s="43"/>
      <c r="D306" s="43"/>
      <c r="E306" s="42"/>
      <c r="F306" s="42"/>
      <c r="G306" s="44"/>
      <c r="H306" s="42"/>
      <c r="I306" s="42"/>
      <c r="J306" s="42"/>
      <c r="K306" s="42"/>
      <c r="L306" s="20"/>
      <c r="M306" s="20"/>
      <c r="N306" s="20"/>
      <c r="O306" s="20"/>
      <c r="P306" s="20"/>
      <c r="Q306" s="20"/>
      <c r="R306" s="20"/>
      <c r="S306" s="20"/>
      <c r="T306" s="20"/>
      <c r="U306" s="20"/>
      <c r="V306" s="20"/>
      <c r="W306" s="20"/>
      <c r="X306" s="20"/>
      <c r="Y306" s="20"/>
      <c r="Z306" s="21"/>
      <c r="AA306" s="22"/>
      <c r="AB306" s="22"/>
    </row>
    <row r="307" spans="1:28" ht="15.75" customHeight="1" x14ac:dyDescent="0.25">
      <c r="A307" s="42"/>
      <c r="B307" s="42"/>
      <c r="C307" s="43"/>
      <c r="D307" s="43"/>
      <c r="E307" s="42"/>
      <c r="F307" s="42"/>
      <c r="G307" s="44"/>
      <c r="H307" s="42"/>
      <c r="I307" s="42"/>
      <c r="J307" s="42"/>
      <c r="K307" s="42"/>
      <c r="L307" s="20"/>
      <c r="M307" s="20"/>
      <c r="N307" s="20"/>
      <c r="O307" s="20"/>
      <c r="P307" s="20"/>
      <c r="Q307" s="20"/>
      <c r="R307" s="20"/>
      <c r="S307" s="20"/>
      <c r="T307" s="20"/>
      <c r="U307" s="20"/>
      <c r="V307" s="20"/>
      <c r="W307" s="20"/>
      <c r="X307" s="20"/>
      <c r="Y307" s="20"/>
      <c r="Z307" s="21"/>
      <c r="AA307" s="22"/>
      <c r="AB307" s="22"/>
    </row>
    <row r="308" spans="1:28" ht="15.75" customHeight="1" x14ac:dyDescent="0.25">
      <c r="A308" s="42"/>
      <c r="B308" s="42"/>
      <c r="C308" s="43"/>
      <c r="D308" s="43"/>
      <c r="E308" s="42"/>
      <c r="F308" s="42"/>
      <c r="G308" s="44"/>
      <c r="H308" s="42"/>
      <c r="I308" s="42"/>
      <c r="J308" s="42"/>
      <c r="K308" s="42"/>
      <c r="L308" s="20"/>
      <c r="M308" s="20"/>
      <c r="N308" s="20"/>
      <c r="O308" s="20"/>
      <c r="P308" s="20"/>
      <c r="Q308" s="20"/>
      <c r="R308" s="20"/>
      <c r="S308" s="20"/>
      <c r="T308" s="20"/>
      <c r="U308" s="20"/>
      <c r="V308" s="20"/>
      <c r="W308" s="20"/>
      <c r="X308" s="20"/>
      <c r="Y308" s="20"/>
      <c r="Z308" s="21"/>
      <c r="AA308" s="22"/>
      <c r="AB308" s="22"/>
    </row>
    <row r="309" spans="1:28" ht="15.75" customHeight="1" x14ac:dyDescent="0.25">
      <c r="A309" s="45"/>
      <c r="B309" s="45"/>
      <c r="C309" s="46"/>
      <c r="D309" s="46"/>
      <c r="E309" s="45"/>
      <c r="F309" s="45"/>
      <c r="G309" s="47"/>
      <c r="H309" s="45"/>
      <c r="I309" s="45"/>
      <c r="J309" s="45"/>
      <c r="K309" s="45"/>
      <c r="L309" s="20"/>
      <c r="M309" s="20"/>
      <c r="N309" s="20"/>
      <c r="O309" s="20"/>
      <c r="P309" s="20"/>
      <c r="Q309" s="20"/>
      <c r="R309" s="20"/>
      <c r="S309" s="20"/>
      <c r="T309" s="20"/>
      <c r="U309" s="20"/>
      <c r="V309" s="20"/>
      <c r="W309" s="20"/>
      <c r="X309" s="20"/>
      <c r="Y309" s="20"/>
      <c r="Z309" s="21"/>
      <c r="AA309" s="22"/>
      <c r="AB309" s="23"/>
    </row>
    <row r="310" spans="1:28" ht="15.75" customHeight="1" x14ac:dyDescent="0.25">
      <c r="A310" s="45"/>
      <c r="B310" s="45"/>
      <c r="C310" s="46"/>
      <c r="D310" s="46"/>
      <c r="E310" s="45"/>
      <c r="F310" s="45"/>
      <c r="G310" s="47"/>
      <c r="H310" s="45"/>
      <c r="I310" s="45"/>
      <c r="J310" s="45"/>
      <c r="K310" s="45"/>
      <c r="L310" s="20"/>
      <c r="M310" s="20"/>
      <c r="N310" s="20"/>
      <c r="O310" s="20"/>
      <c r="P310" s="20"/>
      <c r="Q310" s="20"/>
      <c r="R310" s="20"/>
      <c r="S310" s="20"/>
      <c r="T310" s="20"/>
      <c r="U310" s="20"/>
      <c r="V310" s="20"/>
      <c r="W310" s="20"/>
      <c r="X310" s="20"/>
      <c r="Y310" s="20"/>
      <c r="Z310" s="21"/>
      <c r="AA310" s="22"/>
      <c r="AB310" s="23"/>
    </row>
    <row r="311" spans="1:28" ht="15.75" customHeight="1" x14ac:dyDescent="0.25">
      <c r="A311" s="45"/>
      <c r="B311" s="45"/>
      <c r="C311" s="46"/>
      <c r="D311" s="46"/>
      <c r="E311" s="45"/>
      <c r="F311" s="45"/>
      <c r="G311" s="47"/>
      <c r="H311" s="45"/>
      <c r="I311" s="45"/>
      <c r="J311" s="45"/>
      <c r="K311" s="45"/>
      <c r="L311" s="20"/>
      <c r="M311" s="20"/>
      <c r="N311" s="20"/>
      <c r="O311" s="20"/>
      <c r="P311" s="20"/>
      <c r="Q311" s="20"/>
      <c r="R311" s="20"/>
      <c r="S311" s="20"/>
      <c r="T311" s="20"/>
      <c r="U311" s="20"/>
      <c r="V311" s="20"/>
      <c r="W311" s="20"/>
      <c r="X311" s="20"/>
      <c r="Y311" s="20"/>
      <c r="Z311" s="21"/>
      <c r="AA311" s="22"/>
      <c r="AB311" s="23"/>
    </row>
    <row r="312" spans="1:28" ht="15.75" customHeight="1" x14ac:dyDescent="0.25">
      <c r="A312" s="45"/>
      <c r="B312" s="45"/>
      <c r="C312" s="46"/>
      <c r="D312" s="46"/>
      <c r="E312" s="45"/>
      <c r="F312" s="45"/>
      <c r="G312" s="47"/>
      <c r="H312" s="45"/>
      <c r="I312" s="45"/>
      <c r="J312" s="45"/>
      <c r="K312" s="45"/>
      <c r="L312" s="20"/>
      <c r="M312" s="20"/>
      <c r="N312" s="20"/>
      <c r="O312" s="20"/>
      <c r="P312" s="20"/>
      <c r="Q312" s="20"/>
      <c r="R312" s="20"/>
      <c r="S312" s="20"/>
      <c r="T312" s="20"/>
      <c r="U312" s="20"/>
      <c r="V312" s="20"/>
      <c r="W312" s="20"/>
      <c r="X312" s="20"/>
      <c r="Y312" s="20"/>
      <c r="Z312" s="21"/>
      <c r="AA312" s="22"/>
      <c r="AB312" s="23"/>
    </row>
    <row r="313" spans="1:28" ht="15.75" customHeight="1" x14ac:dyDescent="0.25">
      <c r="A313" s="45"/>
      <c r="B313" s="45"/>
      <c r="C313" s="46"/>
      <c r="D313" s="46"/>
      <c r="E313" s="45"/>
      <c r="F313" s="45"/>
      <c r="G313" s="47"/>
      <c r="H313" s="45"/>
      <c r="I313" s="45"/>
      <c r="J313" s="45"/>
      <c r="K313" s="45"/>
      <c r="L313" s="20"/>
      <c r="M313" s="20"/>
      <c r="N313" s="20"/>
      <c r="O313" s="20"/>
      <c r="P313" s="20"/>
      <c r="Q313" s="20"/>
      <c r="R313" s="20"/>
      <c r="S313" s="20"/>
      <c r="T313" s="20"/>
      <c r="U313" s="20"/>
      <c r="V313" s="20"/>
      <c r="W313" s="20"/>
      <c r="X313" s="20"/>
      <c r="Y313" s="20"/>
      <c r="Z313" s="21"/>
      <c r="AA313" s="22"/>
      <c r="AB313" s="23"/>
    </row>
    <row r="314" spans="1:28" ht="15.75" customHeight="1" x14ac:dyDescent="0.25">
      <c r="A314" s="45"/>
      <c r="B314" s="45"/>
      <c r="C314" s="46"/>
      <c r="D314" s="46"/>
      <c r="E314" s="45"/>
      <c r="F314" s="45"/>
      <c r="G314" s="47"/>
      <c r="H314" s="45"/>
      <c r="I314" s="45"/>
      <c r="J314" s="45"/>
      <c r="K314" s="45"/>
      <c r="L314" s="20"/>
      <c r="M314" s="20"/>
      <c r="N314" s="20"/>
      <c r="O314" s="20"/>
      <c r="P314" s="20"/>
      <c r="Q314" s="20"/>
      <c r="R314" s="20"/>
      <c r="S314" s="20"/>
      <c r="T314" s="20"/>
      <c r="U314" s="20"/>
      <c r="V314" s="20"/>
      <c r="W314" s="20"/>
      <c r="X314" s="20"/>
      <c r="Y314" s="20"/>
      <c r="Z314" s="21"/>
      <c r="AA314" s="22"/>
      <c r="AB314" s="23"/>
    </row>
    <row r="315" spans="1:28" ht="15.75" customHeight="1" x14ac:dyDescent="0.25">
      <c r="A315" s="45"/>
      <c r="B315" s="45"/>
      <c r="C315" s="46"/>
      <c r="D315" s="46"/>
      <c r="E315" s="45"/>
      <c r="F315" s="45"/>
      <c r="G315" s="47"/>
      <c r="H315" s="45"/>
      <c r="I315" s="45"/>
      <c r="J315" s="45"/>
      <c r="K315" s="45"/>
      <c r="L315" s="20"/>
      <c r="M315" s="20"/>
      <c r="N315" s="20"/>
      <c r="O315" s="20"/>
      <c r="P315" s="20"/>
      <c r="Q315" s="20"/>
      <c r="R315" s="20"/>
      <c r="S315" s="20"/>
      <c r="T315" s="20"/>
      <c r="U315" s="20"/>
      <c r="V315" s="20"/>
      <c r="W315" s="20"/>
      <c r="X315" s="20"/>
      <c r="Y315" s="20"/>
      <c r="Z315" s="21"/>
      <c r="AA315" s="22"/>
      <c r="AB315" s="23"/>
    </row>
    <row r="316" spans="1:28" ht="15.75" customHeight="1" x14ac:dyDescent="0.25">
      <c r="A316" s="45"/>
      <c r="B316" s="45"/>
      <c r="C316" s="46"/>
      <c r="D316" s="46"/>
      <c r="E316" s="45"/>
      <c r="F316" s="45"/>
      <c r="G316" s="47"/>
      <c r="H316" s="45"/>
      <c r="I316" s="45"/>
      <c r="J316" s="45"/>
      <c r="K316" s="45"/>
      <c r="L316" s="20"/>
      <c r="M316" s="20"/>
      <c r="N316" s="20"/>
      <c r="O316" s="20"/>
      <c r="P316" s="20"/>
      <c r="Q316" s="20"/>
      <c r="R316" s="20"/>
      <c r="S316" s="20"/>
      <c r="T316" s="20"/>
      <c r="U316" s="20"/>
      <c r="V316" s="20"/>
      <c r="W316" s="20"/>
      <c r="X316" s="20"/>
      <c r="Y316" s="20"/>
      <c r="Z316" s="21"/>
      <c r="AA316" s="22"/>
      <c r="AB316" s="23"/>
    </row>
    <row r="317" spans="1:28" ht="15.75" customHeight="1" x14ac:dyDescent="0.25">
      <c r="A317" s="45"/>
      <c r="B317" s="45"/>
      <c r="C317" s="46"/>
      <c r="D317" s="46"/>
      <c r="E317" s="45"/>
      <c r="F317" s="45"/>
      <c r="G317" s="47"/>
      <c r="H317" s="45"/>
      <c r="I317" s="45"/>
      <c r="J317" s="45"/>
      <c r="K317" s="45"/>
      <c r="L317" s="20"/>
      <c r="M317" s="20"/>
      <c r="N317" s="20"/>
      <c r="O317" s="20"/>
      <c r="P317" s="20"/>
      <c r="Q317" s="20"/>
      <c r="R317" s="20"/>
      <c r="S317" s="20"/>
      <c r="T317" s="20"/>
      <c r="U317" s="20"/>
      <c r="V317" s="20"/>
      <c r="W317" s="20"/>
      <c r="X317" s="20"/>
      <c r="Y317" s="20"/>
      <c r="Z317" s="21"/>
      <c r="AA317" s="22"/>
      <c r="AB317" s="23"/>
    </row>
    <row r="318" spans="1:28" ht="15.75" customHeight="1" x14ac:dyDescent="0.25">
      <c r="A318" s="45"/>
      <c r="B318" s="45"/>
      <c r="C318" s="46"/>
      <c r="D318" s="46"/>
      <c r="E318" s="45"/>
      <c r="F318" s="45"/>
      <c r="G318" s="47"/>
      <c r="H318" s="45"/>
      <c r="I318" s="45"/>
      <c r="J318" s="45"/>
      <c r="K318" s="45"/>
      <c r="L318" s="20"/>
      <c r="M318" s="20"/>
      <c r="N318" s="20"/>
      <c r="O318" s="20"/>
      <c r="P318" s="20"/>
      <c r="Q318" s="20"/>
      <c r="R318" s="20"/>
      <c r="S318" s="20"/>
      <c r="T318" s="20"/>
      <c r="U318" s="20"/>
      <c r="V318" s="20"/>
      <c r="W318" s="20"/>
      <c r="X318" s="20"/>
      <c r="Y318" s="20"/>
      <c r="Z318" s="21"/>
      <c r="AA318" s="22"/>
      <c r="AB318" s="23"/>
    </row>
    <row r="319" spans="1:28" ht="15.75" customHeight="1" x14ac:dyDescent="0.25">
      <c r="A319" s="45"/>
      <c r="B319" s="45"/>
      <c r="C319" s="46"/>
      <c r="D319" s="46"/>
      <c r="E319" s="45"/>
      <c r="F319" s="45"/>
      <c r="G319" s="47"/>
      <c r="H319" s="45"/>
      <c r="I319" s="45"/>
      <c r="J319" s="45"/>
      <c r="K319" s="45"/>
      <c r="L319" s="20"/>
      <c r="M319" s="20"/>
      <c r="N319" s="20"/>
      <c r="O319" s="20"/>
      <c r="P319" s="20"/>
      <c r="Q319" s="20"/>
      <c r="R319" s="20"/>
      <c r="S319" s="20"/>
      <c r="T319" s="20"/>
      <c r="U319" s="20"/>
      <c r="V319" s="20"/>
      <c r="W319" s="20"/>
      <c r="X319" s="20"/>
      <c r="Y319" s="20"/>
      <c r="Z319" s="21"/>
      <c r="AA319" s="22"/>
      <c r="AB319" s="23"/>
    </row>
    <row r="320" spans="1:28" ht="15.75" customHeight="1" x14ac:dyDescent="0.25">
      <c r="A320" s="45"/>
      <c r="B320" s="45"/>
      <c r="C320" s="46"/>
      <c r="D320" s="46"/>
      <c r="E320" s="45"/>
      <c r="F320" s="45"/>
      <c r="G320" s="47"/>
      <c r="H320" s="45"/>
      <c r="I320" s="45"/>
      <c r="J320" s="45"/>
      <c r="K320" s="45"/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1"/>
      <c r="AA320" s="22"/>
      <c r="AB320" s="23"/>
    </row>
    <row r="321" spans="1:28" ht="15.75" customHeight="1" x14ac:dyDescent="0.25">
      <c r="A321" s="45"/>
      <c r="B321" s="45"/>
      <c r="C321" s="46"/>
      <c r="D321" s="46"/>
      <c r="E321" s="45"/>
      <c r="F321" s="45"/>
      <c r="G321" s="47"/>
      <c r="H321" s="45"/>
      <c r="I321" s="45"/>
      <c r="J321" s="45"/>
      <c r="K321" s="45"/>
      <c r="L321" s="20"/>
      <c r="M321" s="20"/>
      <c r="N321" s="20"/>
      <c r="O321" s="20"/>
      <c r="P321" s="20"/>
      <c r="Q321" s="20"/>
      <c r="R321" s="20"/>
      <c r="S321" s="20"/>
      <c r="T321" s="20"/>
      <c r="U321" s="20"/>
      <c r="V321" s="20"/>
      <c r="W321" s="20"/>
      <c r="X321" s="20"/>
      <c r="Y321" s="20"/>
      <c r="Z321" s="21"/>
      <c r="AA321" s="22"/>
      <c r="AB321" s="23"/>
    </row>
    <row r="322" spans="1:28" ht="15.75" customHeight="1" x14ac:dyDescent="0.25">
      <c r="A322" s="45"/>
      <c r="B322" s="45"/>
      <c r="C322" s="46"/>
      <c r="D322" s="46"/>
      <c r="E322" s="45"/>
      <c r="F322" s="45"/>
      <c r="G322" s="47"/>
      <c r="H322" s="45"/>
      <c r="I322" s="45"/>
      <c r="J322" s="45"/>
      <c r="K322" s="45"/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0"/>
      <c r="W322" s="20"/>
      <c r="X322" s="20"/>
      <c r="Y322" s="20"/>
      <c r="Z322" s="21"/>
      <c r="AA322" s="22"/>
      <c r="AB322" s="23"/>
    </row>
    <row r="323" spans="1:28" ht="15.75" customHeight="1" x14ac:dyDescent="0.25">
      <c r="A323" s="45"/>
      <c r="B323" s="45"/>
      <c r="C323" s="46"/>
      <c r="D323" s="46"/>
      <c r="E323" s="45"/>
      <c r="F323" s="45"/>
      <c r="G323" s="47"/>
      <c r="H323" s="45"/>
      <c r="I323" s="45"/>
      <c r="J323" s="45"/>
      <c r="K323" s="45"/>
      <c r="L323" s="20"/>
      <c r="M323" s="20"/>
      <c r="N323" s="20"/>
      <c r="O323" s="20"/>
      <c r="P323" s="20"/>
      <c r="Q323" s="20"/>
      <c r="R323" s="20"/>
      <c r="S323" s="20"/>
      <c r="T323" s="20"/>
      <c r="U323" s="20"/>
      <c r="V323" s="20"/>
      <c r="W323" s="20"/>
      <c r="X323" s="20"/>
      <c r="Y323" s="20"/>
      <c r="Z323" s="21"/>
      <c r="AA323" s="22"/>
      <c r="AB323" s="23"/>
    </row>
    <row r="324" spans="1:28" ht="15.75" customHeight="1" x14ac:dyDescent="0.25">
      <c r="A324" s="45"/>
      <c r="B324" s="45"/>
      <c r="C324" s="46"/>
      <c r="D324" s="46"/>
      <c r="E324" s="45"/>
      <c r="F324" s="45"/>
      <c r="G324" s="47"/>
      <c r="H324" s="45"/>
      <c r="I324" s="45"/>
      <c r="J324" s="45"/>
      <c r="K324" s="45"/>
      <c r="L324" s="20"/>
      <c r="M324" s="20"/>
      <c r="N324" s="20"/>
      <c r="O324" s="20"/>
      <c r="P324" s="20"/>
      <c r="Q324" s="20"/>
      <c r="R324" s="20"/>
      <c r="S324" s="20"/>
      <c r="T324" s="20"/>
      <c r="U324" s="20"/>
      <c r="V324" s="20"/>
      <c r="W324" s="20"/>
      <c r="X324" s="20"/>
      <c r="Y324" s="20"/>
      <c r="Z324" s="21"/>
      <c r="AA324" s="22"/>
      <c r="AB324" s="23"/>
    </row>
    <row r="325" spans="1:28" ht="15.75" customHeight="1" x14ac:dyDescent="0.25">
      <c r="A325" s="45"/>
      <c r="B325" s="45"/>
      <c r="C325" s="46"/>
      <c r="D325" s="46"/>
      <c r="E325" s="45"/>
      <c r="F325" s="45"/>
      <c r="G325" s="47"/>
      <c r="H325" s="45"/>
      <c r="I325" s="45"/>
      <c r="J325" s="45"/>
      <c r="K325" s="45"/>
      <c r="L325" s="20"/>
      <c r="M325" s="20"/>
      <c r="N325" s="20"/>
      <c r="O325" s="20"/>
      <c r="P325" s="20"/>
      <c r="Q325" s="20"/>
      <c r="R325" s="20"/>
      <c r="S325" s="20"/>
      <c r="T325" s="20"/>
      <c r="U325" s="20"/>
      <c r="V325" s="20"/>
      <c r="W325" s="20"/>
      <c r="X325" s="20"/>
      <c r="Y325" s="20"/>
      <c r="Z325" s="21"/>
      <c r="AA325" s="22"/>
      <c r="AB325" s="23"/>
    </row>
    <row r="326" spans="1:28" ht="15.75" customHeight="1" x14ac:dyDescent="0.25">
      <c r="A326" s="45"/>
      <c r="B326" s="45"/>
      <c r="C326" s="46"/>
      <c r="D326" s="46"/>
      <c r="E326" s="45"/>
      <c r="F326" s="45"/>
      <c r="G326" s="47"/>
      <c r="H326" s="45"/>
      <c r="I326" s="45"/>
      <c r="J326" s="45"/>
      <c r="K326" s="45"/>
      <c r="L326" s="20"/>
      <c r="M326" s="20"/>
      <c r="N326" s="20"/>
      <c r="O326" s="20"/>
      <c r="P326" s="20"/>
      <c r="Q326" s="20"/>
      <c r="R326" s="20"/>
      <c r="S326" s="20"/>
      <c r="T326" s="20"/>
      <c r="U326" s="20"/>
      <c r="V326" s="20"/>
      <c r="W326" s="20"/>
      <c r="X326" s="20"/>
      <c r="Y326" s="20"/>
      <c r="Z326" s="21"/>
      <c r="AA326" s="22"/>
      <c r="AB326" s="23"/>
    </row>
    <row r="327" spans="1:28" ht="15.75" customHeight="1" x14ac:dyDescent="0.25">
      <c r="A327" s="45"/>
      <c r="B327" s="45"/>
      <c r="C327" s="46"/>
      <c r="D327" s="46"/>
      <c r="E327" s="45"/>
      <c r="F327" s="45"/>
      <c r="G327" s="47"/>
      <c r="H327" s="45"/>
      <c r="I327" s="45"/>
      <c r="J327" s="45"/>
      <c r="K327" s="45"/>
      <c r="L327" s="20"/>
      <c r="M327" s="20"/>
      <c r="N327" s="20"/>
      <c r="O327" s="20"/>
      <c r="P327" s="20"/>
      <c r="Q327" s="20"/>
      <c r="R327" s="20"/>
      <c r="S327" s="20"/>
      <c r="T327" s="20"/>
      <c r="U327" s="20"/>
      <c r="V327" s="20"/>
      <c r="W327" s="20"/>
      <c r="X327" s="20"/>
      <c r="Y327" s="20"/>
      <c r="Z327" s="21"/>
      <c r="AA327" s="22"/>
      <c r="AB327" s="23"/>
    </row>
    <row r="328" spans="1:28" ht="15.75" customHeight="1" x14ac:dyDescent="0.25">
      <c r="A328" s="45"/>
      <c r="B328" s="45"/>
      <c r="C328" s="46"/>
      <c r="D328" s="46"/>
      <c r="E328" s="45"/>
      <c r="F328" s="45"/>
      <c r="G328" s="47"/>
      <c r="H328" s="45"/>
      <c r="I328" s="45"/>
      <c r="J328" s="45"/>
      <c r="K328" s="45"/>
      <c r="L328" s="20"/>
      <c r="M328" s="20"/>
      <c r="N328" s="20"/>
      <c r="O328" s="20"/>
      <c r="P328" s="20"/>
      <c r="Q328" s="20"/>
      <c r="R328" s="20"/>
      <c r="S328" s="20"/>
      <c r="T328" s="20"/>
      <c r="U328" s="20"/>
      <c r="V328" s="20"/>
      <c r="W328" s="20"/>
      <c r="X328" s="20"/>
      <c r="Y328" s="20"/>
      <c r="Z328" s="21"/>
      <c r="AA328" s="22"/>
      <c r="AB328" s="23"/>
    </row>
    <row r="329" spans="1:28" ht="15.75" customHeight="1" x14ac:dyDescent="0.25">
      <c r="A329" s="45"/>
      <c r="B329" s="45"/>
      <c r="C329" s="46"/>
      <c r="D329" s="46"/>
      <c r="E329" s="45"/>
      <c r="F329" s="45"/>
      <c r="G329" s="47"/>
      <c r="H329" s="45"/>
      <c r="I329" s="45"/>
      <c r="J329" s="45"/>
      <c r="K329" s="45"/>
      <c r="L329" s="20"/>
      <c r="M329" s="20"/>
      <c r="N329" s="20"/>
      <c r="O329" s="20"/>
      <c r="P329" s="20"/>
      <c r="Q329" s="20"/>
      <c r="R329" s="20"/>
      <c r="S329" s="20"/>
      <c r="T329" s="20"/>
      <c r="U329" s="20"/>
      <c r="V329" s="20"/>
      <c r="W329" s="20"/>
      <c r="X329" s="20"/>
      <c r="Y329" s="20"/>
      <c r="Z329" s="21"/>
      <c r="AA329" s="22"/>
      <c r="AB329" s="23"/>
    </row>
    <row r="330" spans="1:28" ht="15.75" customHeight="1" x14ac:dyDescent="0.25">
      <c r="A330" s="45"/>
      <c r="B330" s="45"/>
      <c r="C330" s="46"/>
      <c r="D330" s="46"/>
      <c r="E330" s="45"/>
      <c r="F330" s="45"/>
      <c r="G330" s="47"/>
      <c r="H330" s="45"/>
      <c r="I330" s="45"/>
      <c r="J330" s="45"/>
      <c r="K330" s="45"/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0"/>
      <c r="W330" s="20"/>
      <c r="X330" s="20"/>
      <c r="Y330" s="20"/>
      <c r="Z330" s="21"/>
      <c r="AA330" s="22"/>
      <c r="AB330" s="23"/>
    </row>
    <row r="331" spans="1:28" ht="15.75" customHeight="1" x14ac:dyDescent="0.25">
      <c r="A331" s="45"/>
      <c r="B331" s="45"/>
      <c r="C331" s="46"/>
      <c r="D331" s="46"/>
      <c r="E331" s="45"/>
      <c r="F331" s="45"/>
      <c r="G331" s="47"/>
      <c r="H331" s="45"/>
      <c r="I331" s="45"/>
      <c r="J331" s="45"/>
      <c r="K331" s="45"/>
      <c r="L331" s="20"/>
      <c r="M331" s="20"/>
      <c r="N331" s="20"/>
      <c r="O331" s="20"/>
      <c r="P331" s="20"/>
      <c r="Q331" s="20"/>
      <c r="R331" s="20"/>
      <c r="S331" s="20"/>
      <c r="T331" s="20"/>
      <c r="U331" s="20"/>
      <c r="V331" s="20"/>
      <c r="W331" s="20"/>
      <c r="X331" s="20"/>
      <c r="Y331" s="20"/>
      <c r="Z331" s="21"/>
      <c r="AA331" s="22"/>
      <c r="AB331" s="23"/>
    </row>
    <row r="332" spans="1:28" ht="15.75" customHeight="1" x14ac:dyDescent="0.25">
      <c r="A332" s="45"/>
      <c r="B332" s="45"/>
      <c r="C332" s="46"/>
      <c r="D332" s="46"/>
      <c r="E332" s="45"/>
      <c r="F332" s="45"/>
      <c r="G332" s="47"/>
      <c r="H332" s="45"/>
      <c r="I332" s="45"/>
      <c r="J332" s="45"/>
      <c r="K332" s="45"/>
      <c r="L332" s="20"/>
      <c r="M332" s="20"/>
      <c r="N332" s="20"/>
      <c r="O332" s="20"/>
      <c r="P332" s="20"/>
      <c r="Q332" s="20"/>
      <c r="R332" s="20"/>
      <c r="S332" s="20"/>
      <c r="T332" s="20"/>
      <c r="U332" s="20"/>
      <c r="V332" s="20"/>
      <c r="W332" s="20"/>
      <c r="X332" s="20"/>
      <c r="Y332" s="20"/>
      <c r="Z332" s="21"/>
      <c r="AA332" s="22"/>
      <c r="AB332" s="23"/>
    </row>
    <row r="333" spans="1:28" ht="15.75" customHeight="1" x14ac:dyDescent="0.25">
      <c r="A333" s="45"/>
      <c r="B333" s="45"/>
      <c r="C333" s="46"/>
      <c r="D333" s="46"/>
      <c r="E333" s="45"/>
      <c r="F333" s="45"/>
      <c r="G333" s="47"/>
      <c r="H333" s="45"/>
      <c r="I333" s="45"/>
      <c r="J333" s="45"/>
      <c r="K333" s="45"/>
      <c r="L333" s="20"/>
      <c r="M333" s="20"/>
      <c r="N333" s="20"/>
      <c r="O333" s="20"/>
      <c r="P333" s="20"/>
      <c r="Q333" s="20"/>
      <c r="R333" s="20"/>
      <c r="S333" s="20"/>
      <c r="T333" s="20"/>
      <c r="U333" s="20"/>
      <c r="V333" s="20"/>
      <c r="W333" s="20"/>
      <c r="X333" s="20"/>
      <c r="Y333" s="20"/>
      <c r="Z333" s="21"/>
      <c r="AA333" s="22"/>
      <c r="AB333" s="23"/>
    </row>
    <row r="334" spans="1:28" ht="15.75" customHeight="1" x14ac:dyDescent="0.25">
      <c r="A334" s="45"/>
      <c r="B334" s="45"/>
      <c r="C334" s="46"/>
      <c r="D334" s="46"/>
      <c r="E334" s="45"/>
      <c r="F334" s="45"/>
      <c r="G334" s="47"/>
      <c r="H334" s="45"/>
      <c r="I334" s="45"/>
      <c r="J334" s="45"/>
      <c r="K334" s="45"/>
      <c r="L334" s="20"/>
      <c r="M334" s="20"/>
      <c r="N334" s="20"/>
      <c r="O334" s="20"/>
      <c r="P334" s="20"/>
      <c r="Q334" s="20"/>
      <c r="R334" s="20"/>
      <c r="S334" s="20"/>
      <c r="T334" s="20"/>
      <c r="U334" s="20"/>
      <c r="V334" s="20"/>
      <c r="W334" s="20"/>
      <c r="X334" s="20"/>
      <c r="Y334" s="20"/>
      <c r="Z334" s="21"/>
      <c r="AA334" s="22"/>
      <c r="AB334" s="23"/>
    </row>
    <row r="335" spans="1:28" ht="15.75" customHeight="1" x14ac:dyDescent="0.25">
      <c r="A335" s="45"/>
      <c r="B335" s="45"/>
      <c r="C335" s="46"/>
      <c r="D335" s="46"/>
      <c r="E335" s="45"/>
      <c r="F335" s="45"/>
      <c r="G335" s="47"/>
      <c r="H335" s="45"/>
      <c r="I335" s="45"/>
      <c r="J335" s="45"/>
      <c r="K335" s="45"/>
      <c r="L335" s="20"/>
      <c r="M335" s="20"/>
      <c r="N335" s="20"/>
      <c r="O335" s="20"/>
      <c r="P335" s="20"/>
      <c r="Q335" s="20"/>
      <c r="R335" s="20"/>
      <c r="S335" s="20"/>
      <c r="T335" s="20"/>
      <c r="U335" s="20"/>
      <c r="V335" s="20"/>
      <c r="W335" s="20"/>
      <c r="X335" s="20"/>
      <c r="Y335" s="20"/>
      <c r="Z335" s="21"/>
      <c r="AA335" s="22"/>
      <c r="AB335" s="23"/>
    </row>
    <row r="336" spans="1:28" ht="15.75" customHeight="1" x14ac:dyDescent="0.25">
      <c r="A336" s="45"/>
      <c r="B336" s="45"/>
      <c r="C336" s="46"/>
      <c r="D336" s="46"/>
      <c r="E336" s="45"/>
      <c r="F336" s="45"/>
      <c r="G336" s="47"/>
      <c r="H336" s="45"/>
      <c r="I336" s="45"/>
      <c r="J336" s="45"/>
      <c r="K336" s="45"/>
      <c r="L336" s="20"/>
      <c r="M336" s="20"/>
      <c r="N336" s="20"/>
      <c r="O336" s="20"/>
      <c r="P336" s="20"/>
      <c r="Q336" s="20"/>
      <c r="R336" s="20"/>
      <c r="S336" s="20"/>
      <c r="T336" s="20"/>
      <c r="U336" s="20"/>
      <c r="V336" s="20"/>
      <c r="W336" s="20"/>
      <c r="X336" s="20"/>
      <c r="Y336" s="20"/>
      <c r="Z336" s="21"/>
      <c r="AA336" s="22"/>
      <c r="AB336" s="23"/>
    </row>
    <row r="337" spans="1:28" ht="15.75" customHeight="1" x14ac:dyDescent="0.25">
      <c r="A337" s="45"/>
      <c r="B337" s="45"/>
      <c r="C337" s="46"/>
      <c r="D337" s="46"/>
      <c r="E337" s="45"/>
      <c r="F337" s="45"/>
      <c r="G337" s="47"/>
      <c r="H337" s="45"/>
      <c r="I337" s="45"/>
      <c r="J337" s="45"/>
      <c r="K337" s="45"/>
      <c r="L337" s="20"/>
      <c r="M337" s="20"/>
      <c r="N337" s="20"/>
      <c r="O337" s="20"/>
      <c r="P337" s="20"/>
      <c r="Q337" s="20"/>
      <c r="R337" s="20"/>
      <c r="S337" s="20"/>
      <c r="T337" s="20"/>
      <c r="U337" s="20"/>
      <c r="V337" s="20"/>
      <c r="W337" s="20"/>
      <c r="X337" s="20"/>
      <c r="Y337" s="20"/>
      <c r="Z337" s="21"/>
      <c r="AA337" s="22"/>
      <c r="AB337" s="23"/>
    </row>
    <row r="338" spans="1:28" ht="15.75" customHeight="1" x14ac:dyDescent="0.25">
      <c r="A338" s="45"/>
      <c r="B338" s="45"/>
      <c r="C338" s="46"/>
      <c r="D338" s="46"/>
      <c r="E338" s="45"/>
      <c r="F338" s="45"/>
      <c r="G338" s="47"/>
      <c r="H338" s="45"/>
      <c r="I338" s="45"/>
      <c r="J338" s="45"/>
      <c r="K338" s="45"/>
      <c r="L338" s="20"/>
      <c r="M338" s="20"/>
      <c r="N338" s="20"/>
      <c r="O338" s="20"/>
      <c r="P338" s="20"/>
      <c r="Q338" s="20"/>
      <c r="R338" s="20"/>
      <c r="S338" s="20"/>
      <c r="T338" s="20"/>
      <c r="U338" s="20"/>
      <c r="V338" s="20"/>
      <c r="W338" s="20"/>
      <c r="X338" s="20"/>
      <c r="Y338" s="20"/>
      <c r="Z338" s="21"/>
      <c r="AA338" s="22"/>
      <c r="AB338" s="23"/>
    </row>
    <row r="339" spans="1:28" ht="15.75" customHeight="1" x14ac:dyDescent="0.25">
      <c r="A339" s="45"/>
      <c r="B339" s="45"/>
      <c r="C339" s="46"/>
      <c r="D339" s="46"/>
      <c r="E339" s="45"/>
      <c r="F339" s="45"/>
      <c r="G339" s="47"/>
      <c r="H339" s="45"/>
      <c r="I339" s="45"/>
      <c r="J339" s="45"/>
      <c r="K339" s="45"/>
      <c r="L339" s="20"/>
      <c r="M339" s="20"/>
      <c r="N339" s="20"/>
      <c r="O339" s="20"/>
      <c r="P339" s="20"/>
      <c r="Q339" s="20"/>
      <c r="R339" s="20"/>
      <c r="S339" s="20"/>
      <c r="T339" s="20"/>
      <c r="U339" s="20"/>
      <c r="V339" s="20"/>
      <c r="W339" s="20"/>
      <c r="X339" s="20"/>
      <c r="Y339" s="20"/>
      <c r="Z339" s="21"/>
      <c r="AA339" s="22"/>
      <c r="AB339" s="23"/>
    </row>
    <row r="340" spans="1:28" ht="15.75" customHeight="1" x14ac:dyDescent="0.25">
      <c r="A340" s="45"/>
      <c r="B340" s="45"/>
      <c r="C340" s="46"/>
      <c r="D340" s="46"/>
      <c r="E340" s="45"/>
      <c r="F340" s="45"/>
      <c r="G340" s="47"/>
      <c r="H340" s="45"/>
      <c r="I340" s="45"/>
      <c r="J340" s="45"/>
      <c r="K340" s="45"/>
      <c r="L340" s="20"/>
      <c r="M340" s="20"/>
      <c r="N340" s="20"/>
      <c r="O340" s="20"/>
      <c r="P340" s="20"/>
      <c r="Q340" s="20"/>
      <c r="R340" s="20"/>
      <c r="S340" s="20"/>
      <c r="T340" s="20"/>
      <c r="U340" s="20"/>
      <c r="V340" s="20"/>
      <c r="W340" s="20"/>
      <c r="X340" s="20"/>
      <c r="Y340" s="20"/>
      <c r="Z340" s="21"/>
      <c r="AA340" s="22"/>
      <c r="AB340" s="23"/>
    </row>
    <row r="341" spans="1:28" ht="15.75" customHeight="1" x14ac:dyDescent="0.25">
      <c r="A341" s="45"/>
      <c r="B341" s="45"/>
      <c r="C341" s="46"/>
      <c r="D341" s="46"/>
      <c r="E341" s="45"/>
      <c r="F341" s="45"/>
      <c r="G341" s="47"/>
      <c r="H341" s="45"/>
      <c r="I341" s="45"/>
      <c r="J341" s="45"/>
      <c r="K341" s="45"/>
      <c r="L341" s="20"/>
      <c r="M341" s="20"/>
      <c r="N341" s="20"/>
      <c r="O341" s="20"/>
      <c r="P341" s="20"/>
      <c r="Q341" s="20"/>
      <c r="R341" s="20"/>
      <c r="S341" s="20"/>
      <c r="T341" s="20"/>
      <c r="U341" s="20"/>
      <c r="V341" s="20"/>
      <c r="W341" s="20"/>
      <c r="X341" s="20"/>
      <c r="Y341" s="20"/>
      <c r="Z341" s="21"/>
      <c r="AA341" s="22"/>
      <c r="AB341" s="23"/>
    </row>
    <row r="342" spans="1:28" ht="15.75" customHeight="1" x14ac:dyDescent="0.25">
      <c r="A342" s="45"/>
      <c r="B342" s="45"/>
      <c r="C342" s="46"/>
      <c r="D342" s="46"/>
      <c r="E342" s="45"/>
      <c r="F342" s="45"/>
      <c r="G342" s="47"/>
      <c r="H342" s="45"/>
      <c r="I342" s="45"/>
      <c r="J342" s="45"/>
      <c r="K342" s="45"/>
      <c r="L342" s="20"/>
      <c r="M342" s="20"/>
      <c r="N342" s="20"/>
      <c r="O342" s="20"/>
      <c r="P342" s="20"/>
      <c r="Q342" s="20"/>
      <c r="R342" s="20"/>
      <c r="S342" s="20"/>
      <c r="T342" s="20"/>
      <c r="U342" s="20"/>
      <c r="V342" s="20"/>
      <c r="W342" s="20"/>
      <c r="X342" s="20"/>
      <c r="Y342" s="20"/>
      <c r="Z342" s="21"/>
      <c r="AA342" s="22"/>
      <c r="AB342" s="23"/>
    </row>
    <row r="343" spans="1:28" ht="15.75" customHeight="1" x14ac:dyDescent="0.25">
      <c r="A343" s="45"/>
      <c r="B343" s="45"/>
      <c r="C343" s="46"/>
      <c r="D343" s="46"/>
      <c r="E343" s="45"/>
      <c r="F343" s="45"/>
      <c r="G343" s="47"/>
      <c r="H343" s="45"/>
      <c r="I343" s="45"/>
      <c r="J343" s="45"/>
      <c r="K343" s="45"/>
      <c r="L343" s="20"/>
      <c r="M343" s="20"/>
      <c r="N343" s="20"/>
      <c r="O343" s="20"/>
      <c r="P343" s="20"/>
      <c r="Q343" s="20"/>
      <c r="R343" s="20"/>
      <c r="S343" s="20"/>
      <c r="T343" s="20"/>
      <c r="U343" s="20"/>
      <c r="V343" s="20"/>
      <c r="W343" s="20"/>
      <c r="X343" s="20"/>
      <c r="Y343" s="20"/>
      <c r="Z343" s="21"/>
      <c r="AA343" s="22"/>
      <c r="AB343" s="23"/>
    </row>
    <row r="344" spans="1:28" ht="15.75" customHeight="1" x14ac:dyDescent="0.25">
      <c r="A344" s="45"/>
      <c r="B344" s="45"/>
      <c r="C344" s="46"/>
      <c r="D344" s="46"/>
      <c r="E344" s="45"/>
      <c r="F344" s="45"/>
      <c r="G344" s="47"/>
      <c r="H344" s="45"/>
      <c r="I344" s="45"/>
      <c r="J344" s="45"/>
      <c r="K344" s="45"/>
      <c r="L344" s="20"/>
      <c r="M344" s="20"/>
      <c r="N344" s="20"/>
      <c r="O344" s="20"/>
      <c r="P344" s="20"/>
      <c r="Q344" s="20"/>
      <c r="R344" s="20"/>
      <c r="S344" s="20"/>
      <c r="T344" s="20"/>
      <c r="U344" s="20"/>
      <c r="V344" s="20"/>
      <c r="W344" s="20"/>
      <c r="X344" s="20"/>
      <c r="Y344" s="20"/>
      <c r="Z344" s="21"/>
      <c r="AA344" s="22"/>
      <c r="AB344" s="23"/>
    </row>
    <row r="345" spans="1:28" ht="15.75" customHeight="1" x14ac:dyDescent="0.25">
      <c r="A345" s="45"/>
      <c r="B345" s="45"/>
      <c r="C345" s="46"/>
      <c r="D345" s="46"/>
      <c r="E345" s="45"/>
      <c r="F345" s="45"/>
      <c r="G345" s="47"/>
      <c r="H345" s="45"/>
      <c r="I345" s="45"/>
      <c r="J345" s="45"/>
      <c r="K345" s="45"/>
      <c r="L345" s="20"/>
      <c r="M345" s="20"/>
      <c r="N345" s="20"/>
      <c r="O345" s="20"/>
      <c r="P345" s="20"/>
      <c r="Q345" s="20"/>
      <c r="R345" s="20"/>
      <c r="S345" s="20"/>
      <c r="T345" s="20"/>
      <c r="U345" s="20"/>
      <c r="V345" s="20"/>
      <c r="W345" s="20"/>
      <c r="X345" s="20"/>
      <c r="Y345" s="20"/>
      <c r="Z345" s="21"/>
      <c r="AA345" s="22"/>
      <c r="AB345" s="23"/>
    </row>
    <row r="346" spans="1:28" ht="15.75" customHeight="1" x14ac:dyDescent="0.25">
      <c r="A346" s="45"/>
      <c r="B346" s="45"/>
      <c r="C346" s="46"/>
      <c r="D346" s="46"/>
      <c r="E346" s="45"/>
      <c r="F346" s="45"/>
      <c r="G346" s="47"/>
      <c r="H346" s="45"/>
      <c r="I346" s="45"/>
      <c r="J346" s="45"/>
      <c r="K346" s="45"/>
      <c r="L346" s="20"/>
      <c r="M346" s="20"/>
      <c r="N346" s="20"/>
      <c r="O346" s="20"/>
      <c r="P346" s="20"/>
      <c r="Q346" s="20"/>
      <c r="R346" s="20"/>
      <c r="S346" s="20"/>
      <c r="T346" s="20"/>
      <c r="U346" s="20"/>
      <c r="V346" s="20"/>
      <c r="W346" s="20"/>
      <c r="X346" s="20"/>
      <c r="Y346" s="20"/>
      <c r="Z346" s="21"/>
      <c r="AA346" s="22"/>
      <c r="AB346" s="23"/>
    </row>
    <row r="347" spans="1:28" ht="15.75" customHeight="1" x14ac:dyDescent="0.25">
      <c r="A347" s="45"/>
      <c r="B347" s="45"/>
      <c r="C347" s="46"/>
      <c r="D347" s="46"/>
      <c r="E347" s="45"/>
      <c r="F347" s="45"/>
      <c r="G347" s="47"/>
      <c r="H347" s="45"/>
      <c r="I347" s="45"/>
      <c r="J347" s="45"/>
      <c r="K347" s="45"/>
      <c r="L347" s="20"/>
      <c r="M347" s="20"/>
      <c r="N347" s="20"/>
      <c r="O347" s="20"/>
      <c r="P347" s="20"/>
      <c r="Q347" s="20"/>
      <c r="R347" s="20"/>
      <c r="S347" s="20"/>
      <c r="T347" s="20"/>
      <c r="U347" s="20"/>
      <c r="V347" s="20"/>
      <c r="W347" s="20"/>
      <c r="X347" s="20"/>
      <c r="Y347" s="20"/>
      <c r="Z347" s="21"/>
      <c r="AA347" s="22"/>
      <c r="AB347" s="23"/>
    </row>
    <row r="348" spans="1:28" ht="15.75" customHeight="1" x14ac:dyDescent="0.25">
      <c r="A348" s="45"/>
      <c r="B348" s="45"/>
      <c r="C348" s="46"/>
      <c r="D348" s="46"/>
      <c r="E348" s="45"/>
      <c r="F348" s="45"/>
      <c r="G348" s="47"/>
      <c r="H348" s="45"/>
      <c r="I348" s="45"/>
      <c r="J348" s="45"/>
      <c r="K348" s="45"/>
      <c r="L348" s="20"/>
      <c r="M348" s="20"/>
      <c r="N348" s="20"/>
      <c r="O348" s="20"/>
      <c r="P348" s="20"/>
      <c r="Q348" s="20"/>
      <c r="R348" s="20"/>
      <c r="S348" s="20"/>
      <c r="T348" s="20"/>
      <c r="U348" s="20"/>
      <c r="V348" s="20"/>
      <c r="W348" s="20"/>
      <c r="X348" s="20"/>
      <c r="Y348" s="20"/>
      <c r="Z348" s="21"/>
      <c r="AA348" s="22"/>
      <c r="AB348" s="23"/>
    </row>
    <row r="349" spans="1:28" ht="15.75" customHeight="1" x14ac:dyDescent="0.25">
      <c r="A349" s="45"/>
      <c r="B349" s="45"/>
      <c r="C349" s="46"/>
      <c r="D349" s="46"/>
      <c r="E349" s="45"/>
      <c r="F349" s="45"/>
      <c r="G349" s="47"/>
      <c r="H349" s="45"/>
      <c r="I349" s="45"/>
      <c r="J349" s="45"/>
      <c r="K349" s="45"/>
      <c r="L349" s="20"/>
      <c r="M349" s="20"/>
      <c r="N349" s="20"/>
      <c r="O349" s="20"/>
      <c r="P349" s="20"/>
      <c r="Q349" s="20"/>
      <c r="R349" s="20"/>
      <c r="S349" s="20"/>
      <c r="T349" s="20"/>
      <c r="U349" s="20"/>
      <c r="V349" s="20"/>
      <c r="W349" s="20"/>
      <c r="X349" s="20"/>
      <c r="Y349" s="20"/>
      <c r="Z349" s="21"/>
      <c r="AA349" s="22"/>
      <c r="AB349" s="23"/>
    </row>
    <row r="350" spans="1:28" ht="15.75" customHeight="1" x14ac:dyDescent="0.25">
      <c r="A350" s="45"/>
      <c r="B350" s="45"/>
      <c r="C350" s="46"/>
      <c r="D350" s="46"/>
      <c r="E350" s="45"/>
      <c r="F350" s="45"/>
      <c r="G350" s="47"/>
      <c r="H350" s="45"/>
      <c r="I350" s="45"/>
      <c r="J350" s="45"/>
      <c r="K350" s="45"/>
      <c r="L350" s="20"/>
      <c r="M350" s="20"/>
      <c r="N350" s="20"/>
      <c r="O350" s="20"/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1"/>
      <c r="AA350" s="22"/>
      <c r="AB350" s="23"/>
    </row>
    <row r="351" spans="1:28" ht="15.75" customHeight="1" x14ac:dyDescent="0.25">
      <c r="A351" s="45"/>
      <c r="B351" s="45"/>
      <c r="C351" s="46"/>
      <c r="D351" s="46"/>
      <c r="E351" s="45"/>
      <c r="F351" s="45"/>
      <c r="G351" s="47"/>
      <c r="H351" s="45"/>
      <c r="I351" s="45"/>
      <c r="J351" s="45"/>
      <c r="K351" s="45"/>
      <c r="L351" s="20"/>
      <c r="M351" s="20"/>
      <c r="N351" s="20"/>
      <c r="O351" s="20"/>
      <c r="P351" s="20"/>
      <c r="Q351" s="20"/>
      <c r="R351" s="20"/>
      <c r="S351" s="20"/>
      <c r="T351" s="20"/>
      <c r="U351" s="20"/>
      <c r="V351" s="20"/>
      <c r="W351" s="20"/>
      <c r="X351" s="20"/>
      <c r="Y351" s="20"/>
      <c r="Z351" s="21"/>
      <c r="AA351" s="22"/>
      <c r="AB351" s="23"/>
    </row>
    <row r="352" spans="1:28" ht="15.75" customHeight="1" x14ac:dyDescent="0.25">
      <c r="A352" s="45"/>
      <c r="B352" s="45"/>
      <c r="C352" s="46"/>
      <c r="D352" s="46"/>
      <c r="E352" s="45"/>
      <c r="F352" s="45"/>
      <c r="G352" s="47"/>
      <c r="H352" s="45"/>
      <c r="I352" s="45"/>
      <c r="J352" s="45"/>
      <c r="K352" s="45"/>
      <c r="L352" s="20"/>
      <c r="M352" s="20"/>
      <c r="N352" s="20"/>
      <c r="O352" s="20"/>
      <c r="P352" s="20"/>
      <c r="Q352" s="20"/>
      <c r="R352" s="20"/>
      <c r="S352" s="20"/>
      <c r="T352" s="20"/>
      <c r="U352" s="20"/>
      <c r="V352" s="20"/>
      <c r="W352" s="20"/>
      <c r="X352" s="20"/>
      <c r="Y352" s="20"/>
      <c r="Z352" s="21"/>
      <c r="AA352" s="22"/>
      <c r="AB352" s="23"/>
    </row>
    <row r="353" spans="1:28" ht="15.75" customHeight="1" x14ac:dyDescent="0.25">
      <c r="A353" s="45"/>
      <c r="B353" s="45"/>
      <c r="C353" s="46"/>
      <c r="D353" s="46"/>
      <c r="E353" s="45"/>
      <c r="F353" s="45"/>
      <c r="G353" s="47"/>
      <c r="H353" s="45"/>
      <c r="I353" s="45"/>
      <c r="J353" s="45"/>
      <c r="K353" s="45"/>
      <c r="L353" s="20"/>
      <c r="M353" s="20"/>
      <c r="N353" s="20"/>
      <c r="O353" s="20"/>
      <c r="P353" s="20"/>
      <c r="Q353" s="20"/>
      <c r="R353" s="20"/>
      <c r="S353" s="20"/>
      <c r="T353" s="20"/>
      <c r="U353" s="20"/>
      <c r="V353" s="20"/>
      <c r="W353" s="20"/>
      <c r="X353" s="20"/>
      <c r="Y353" s="20"/>
      <c r="Z353" s="21"/>
      <c r="AA353" s="22"/>
      <c r="AB353" s="23"/>
    </row>
    <row r="354" spans="1:28" ht="15.75" customHeight="1" x14ac:dyDescent="0.25">
      <c r="A354" s="45"/>
      <c r="B354" s="45"/>
      <c r="C354" s="46"/>
      <c r="D354" s="46"/>
      <c r="E354" s="45"/>
      <c r="F354" s="45"/>
      <c r="G354" s="47"/>
      <c r="H354" s="45"/>
      <c r="I354" s="45"/>
      <c r="J354" s="45"/>
      <c r="K354" s="45"/>
      <c r="L354" s="20"/>
      <c r="M354" s="20"/>
      <c r="N354" s="20"/>
      <c r="O354" s="20"/>
      <c r="P354" s="20"/>
      <c r="Q354" s="20"/>
      <c r="R354" s="20"/>
      <c r="S354" s="20"/>
      <c r="T354" s="20"/>
      <c r="U354" s="20"/>
      <c r="V354" s="20"/>
      <c r="W354" s="20"/>
      <c r="X354" s="20"/>
      <c r="Y354" s="20"/>
      <c r="Z354" s="21"/>
      <c r="AA354" s="22"/>
      <c r="AB354" s="23"/>
    </row>
    <row r="355" spans="1:28" ht="15.75" customHeight="1" x14ac:dyDescent="0.25">
      <c r="A355" s="45"/>
      <c r="B355" s="45"/>
      <c r="C355" s="46"/>
      <c r="D355" s="46"/>
      <c r="E355" s="45"/>
      <c r="F355" s="45"/>
      <c r="G355" s="47"/>
      <c r="H355" s="45"/>
      <c r="I355" s="45"/>
      <c r="J355" s="45"/>
      <c r="K355" s="45"/>
      <c r="L355" s="20"/>
      <c r="M355" s="20"/>
      <c r="N355" s="20"/>
      <c r="O355" s="20"/>
      <c r="P355" s="20"/>
      <c r="Q355" s="20"/>
      <c r="R355" s="20"/>
      <c r="S355" s="20"/>
      <c r="T355" s="20"/>
      <c r="U355" s="20"/>
      <c r="V355" s="20"/>
      <c r="W355" s="20"/>
      <c r="X355" s="20"/>
      <c r="Y355" s="20"/>
      <c r="Z355" s="21"/>
      <c r="AA355" s="22"/>
      <c r="AB355" s="23"/>
    </row>
    <row r="356" spans="1:28" ht="15.75" customHeight="1" x14ac:dyDescent="0.25">
      <c r="A356" s="45"/>
      <c r="B356" s="45"/>
      <c r="C356" s="46"/>
      <c r="D356" s="46"/>
      <c r="E356" s="45"/>
      <c r="F356" s="45"/>
      <c r="G356" s="47"/>
      <c r="H356" s="45"/>
      <c r="I356" s="45"/>
      <c r="J356" s="45"/>
      <c r="K356" s="45"/>
      <c r="L356" s="20"/>
      <c r="M356" s="20"/>
      <c r="N356" s="20"/>
      <c r="O356" s="20"/>
      <c r="P356" s="20"/>
      <c r="Q356" s="20"/>
      <c r="R356" s="20"/>
      <c r="S356" s="20"/>
      <c r="T356" s="20"/>
      <c r="U356" s="20"/>
      <c r="V356" s="20"/>
      <c r="W356" s="20"/>
      <c r="X356" s="20"/>
      <c r="Y356" s="20"/>
      <c r="Z356" s="21"/>
      <c r="AA356" s="22"/>
      <c r="AB356" s="23"/>
    </row>
    <row r="357" spans="1:28" ht="15.75" customHeight="1" x14ac:dyDescent="0.25">
      <c r="A357" s="45"/>
      <c r="B357" s="45"/>
      <c r="C357" s="46"/>
      <c r="D357" s="46"/>
      <c r="E357" s="45"/>
      <c r="F357" s="45"/>
      <c r="G357" s="47"/>
      <c r="H357" s="45"/>
      <c r="I357" s="45"/>
      <c r="J357" s="45"/>
      <c r="K357" s="45"/>
      <c r="L357" s="20"/>
      <c r="M357" s="20"/>
      <c r="N357" s="20"/>
      <c r="O357" s="20"/>
      <c r="P357" s="20"/>
      <c r="Q357" s="20"/>
      <c r="R357" s="20"/>
      <c r="S357" s="20"/>
      <c r="T357" s="20"/>
      <c r="U357" s="20"/>
      <c r="V357" s="20"/>
      <c r="W357" s="20"/>
      <c r="X357" s="20"/>
      <c r="Y357" s="20"/>
      <c r="Z357" s="21"/>
      <c r="AA357" s="22"/>
      <c r="AB357" s="23"/>
    </row>
    <row r="358" spans="1:28" ht="15.75" customHeight="1" x14ac:dyDescent="0.25">
      <c r="A358" s="45"/>
      <c r="B358" s="45"/>
      <c r="C358" s="46"/>
      <c r="D358" s="46"/>
      <c r="E358" s="45"/>
      <c r="F358" s="45"/>
      <c r="G358" s="47"/>
      <c r="H358" s="45"/>
      <c r="I358" s="45"/>
      <c r="J358" s="45"/>
      <c r="K358" s="45"/>
      <c r="L358" s="20"/>
      <c r="M358" s="20"/>
      <c r="N358" s="20"/>
      <c r="O358" s="20"/>
      <c r="P358" s="20"/>
      <c r="Q358" s="20"/>
      <c r="R358" s="20"/>
      <c r="S358" s="20"/>
      <c r="T358" s="20"/>
      <c r="U358" s="20"/>
      <c r="V358" s="20"/>
      <c r="W358" s="20"/>
      <c r="X358" s="20"/>
      <c r="Y358" s="20"/>
      <c r="Z358" s="21"/>
      <c r="AA358" s="22"/>
      <c r="AB358" s="23"/>
    </row>
    <row r="359" spans="1:28" ht="15.75" customHeight="1" x14ac:dyDescent="0.25">
      <c r="A359" s="45"/>
      <c r="B359" s="45"/>
      <c r="C359" s="46"/>
      <c r="D359" s="46"/>
      <c r="E359" s="45"/>
      <c r="F359" s="45"/>
      <c r="G359" s="47"/>
      <c r="H359" s="45"/>
      <c r="I359" s="45"/>
      <c r="J359" s="45"/>
      <c r="K359" s="45"/>
      <c r="L359" s="20"/>
      <c r="M359" s="20"/>
      <c r="N359" s="20"/>
      <c r="O359" s="20"/>
      <c r="P359" s="20"/>
      <c r="Q359" s="20"/>
      <c r="R359" s="20"/>
      <c r="S359" s="20"/>
      <c r="T359" s="20"/>
      <c r="U359" s="20"/>
      <c r="V359" s="20"/>
      <c r="W359" s="20"/>
      <c r="X359" s="20"/>
      <c r="Y359" s="20"/>
      <c r="Z359" s="21"/>
      <c r="AA359" s="22"/>
      <c r="AB359" s="23"/>
    </row>
    <row r="360" spans="1:28" ht="15.75" customHeight="1" x14ac:dyDescent="0.25">
      <c r="A360" s="45"/>
      <c r="B360" s="45"/>
      <c r="C360" s="46"/>
      <c r="D360" s="46"/>
      <c r="E360" s="45"/>
      <c r="F360" s="45"/>
      <c r="G360" s="47"/>
      <c r="H360" s="45"/>
      <c r="I360" s="45"/>
      <c r="J360" s="45"/>
      <c r="K360" s="45"/>
      <c r="L360" s="20"/>
      <c r="M360" s="20"/>
      <c r="N360" s="20"/>
      <c r="O360" s="20"/>
      <c r="P360" s="20"/>
      <c r="Q360" s="20"/>
      <c r="R360" s="20"/>
      <c r="S360" s="20"/>
      <c r="T360" s="20"/>
      <c r="U360" s="20"/>
      <c r="V360" s="20"/>
      <c r="W360" s="20"/>
      <c r="X360" s="20"/>
      <c r="Y360" s="20"/>
      <c r="Z360" s="21"/>
      <c r="AA360" s="22"/>
      <c r="AB360" s="23"/>
    </row>
    <row r="361" spans="1:28" ht="15.75" customHeight="1" x14ac:dyDescent="0.25">
      <c r="A361" s="45"/>
      <c r="B361" s="45"/>
      <c r="C361" s="46"/>
      <c r="D361" s="46"/>
      <c r="E361" s="45"/>
      <c r="F361" s="45"/>
      <c r="G361" s="47"/>
      <c r="H361" s="45"/>
      <c r="I361" s="45"/>
      <c r="J361" s="45"/>
      <c r="K361" s="45"/>
      <c r="L361" s="20"/>
      <c r="M361" s="20"/>
      <c r="N361" s="20"/>
      <c r="O361" s="20"/>
      <c r="P361" s="20"/>
      <c r="Q361" s="20"/>
      <c r="R361" s="20"/>
      <c r="S361" s="20"/>
      <c r="T361" s="20"/>
      <c r="U361" s="20"/>
      <c r="V361" s="20"/>
      <c r="W361" s="20"/>
      <c r="X361" s="20"/>
      <c r="Y361" s="20"/>
      <c r="Z361" s="21"/>
      <c r="AA361" s="22"/>
      <c r="AB361" s="23"/>
    </row>
    <row r="362" spans="1:28" ht="15.75" customHeight="1" x14ac:dyDescent="0.25">
      <c r="A362" s="45"/>
      <c r="B362" s="45"/>
      <c r="C362" s="46"/>
      <c r="D362" s="46"/>
      <c r="E362" s="45"/>
      <c r="F362" s="45"/>
      <c r="G362" s="47"/>
      <c r="H362" s="45"/>
      <c r="I362" s="45"/>
      <c r="J362" s="45"/>
      <c r="K362" s="45"/>
      <c r="L362" s="20"/>
      <c r="M362" s="20"/>
      <c r="N362" s="20"/>
      <c r="O362" s="20"/>
      <c r="P362" s="20"/>
      <c r="Q362" s="20"/>
      <c r="R362" s="20"/>
      <c r="S362" s="20"/>
      <c r="T362" s="20"/>
      <c r="U362" s="20"/>
      <c r="V362" s="20"/>
      <c r="W362" s="20"/>
      <c r="X362" s="20"/>
      <c r="Y362" s="20"/>
      <c r="Z362" s="21"/>
      <c r="AA362" s="22"/>
      <c r="AB362" s="23"/>
    </row>
    <row r="363" spans="1:28" ht="15.75" customHeight="1" x14ac:dyDescent="0.25">
      <c r="A363" s="45"/>
      <c r="B363" s="45"/>
      <c r="C363" s="46"/>
      <c r="D363" s="46"/>
      <c r="E363" s="45"/>
      <c r="F363" s="45"/>
      <c r="G363" s="47"/>
      <c r="H363" s="45"/>
      <c r="I363" s="45"/>
      <c r="J363" s="45"/>
      <c r="K363" s="45"/>
      <c r="L363" s="20"/>
      <c r="M363" s="20"/>
      <c r="N363" s="20"/>
      <c r="O363" s="20"/>
      <c r="P363" s="20"/>
      <c r="Q363" s="20"/>
      <c r="R363" s="20"/>
      <c r="S363" s="20"/>
      <c r="T363" s="20"/>
      <c r="U363" s="20"/>
      <c r="V363" s="20"/>
      <c r="W363" s="20"/>
      <c r="X363" s="20"/>
      <c r="Y363" s="20"/>
      <c r="Z363" s="21"/>
      <c r="AA363" s="22"/>
      <c r="AB363" s="23"/>
    </row>
    <row r="364" spans="1:28" ht="15.75" customHeight="1" x14ac:dyDescent="0.25">
      <c r="A364" s="45"/>
      <c r="B364" s="45"/>
      <c r="C364" s="46"/>
      <c r="D364" s="46"/>
      <c r="E364" s="45"/>
      <c r="F364" s="45"/>
      <c r="G364" s="47"/>
      <c r="H364" s="45"/>
      <c r="I364" s="45"/>
      <c r="J364" s="45"/>
      <c r="K364" s="45"/>
      <c r="L364" s="20"/>
      <c r="M364" s="20"/>
      <c r="N364" s="20"/>
      <c r="O364" s="20"/>
      <c r="P364" s="20"/>
      <c r="Q364" s="20"/>
      <c r="R364" s="20"/>
      <c r="S364" s="20"/>
      <c r="T364" s="20"/>
      <c r="U364" s="20"/>
      <c r="V364" s="20"/>
      <c r="W364" s="20"/>
      <c r="X364" s="20"/>
      <c r="Y364" s="20"/>
      <c r="Z364" s="21"/>
      <c r="AA364" s="22"/>
      <c r="AB364" s="23"/>
    </row>
    <row r="365" spans="1:28" ht="15.75" customHeight="1" x14ac:dyDescent="0.25">
      <c r="A365" s="45"/>
      <c r="B365" s="45"/>
      <c r="C365" s="46"/>
      <c r="D365" s="46"/>
      <c r="E365" s="45"/>
      <c r="F365" s="45"/>
      <c r="G365" s="47"/>
      <c r="H365" s="45"/>
      <c r="I365" s="45"/>
      <c r="J365" s="45"/>
      <c r="K365" s="45"/>
      <c r="L365" s="20"/>
      <c r="M365" s="20"/>
      <c r="N365" s="20"/>
      <c r="O365" s="20"/>
      <c r="P365" s="20"/>
      <c r="Q365" s="20"/>
      <c r="R365" s="20"/>
      <c r="S365" s="20"/>
      <c r="T365" s="20"/>
      <c r="U365" s="20"/>
      <c r="V365" s="20"/>
      <c r="W365" s="20"/>
      <c r="X365" s="20"/>
      <c r="Y365" s="20"/>
      <c r="Z365" s="21"/>
      <c r="AA365" s="22"/>
      <c r="AB365" s="23"/>
    </row>
    <row r="366" spans="1:28" ht="15.75" customHeight="1" x14ac:dyDescent="0.25">
      <c r="A366" s="45"/>
      <c r="B366" s="45"/>
      <c r="C366" s="46"/>
      <c r="D366" s="46"/>
      <c r="E366" s="45"/>
      <c r="F366" s="45"/>
      <c r="G366" s="47"/>
      <c r="H366" s="45"/>
      <c r="I366" s="45"/>
      <c r="J366" s="45"/>
      <c r="K366" s="45"/>
      <c r="L366" s="20"/>
      <c r="M366" s="20"/>
      <c r="N366" s="20"/>
      <c r="O366" s="20"/>
      <c r="P366" s="20"/>
      <c r="Q366" s="20"/>
      <c r="R366" s="20"/>
      <c r="S366" s="20"/>
      <c r="T366" s="20"/>
      <c r="U366" s="20"/>
      <c r="V366" s="20"/>
      <c r="W366" s="20"/>
      <c r="X366" s="20"/>
      <c r="Y366" s="20"/>
      <c r="Z366" s="21"/>
      <c r="AA366" s="22"/>
      <c r="AB366" s="23"/>
    </row>
    <row r="367" spans="1:28" ht="15.75" customHeight="1" x14ac:dyDescent="0.25">
      <c r="A367" s="45"/>
      <c r="B367" s="45"/>
      <c r="C367" s="46"/>
      <c r="D367" s="46"/>
      <c r="E367" s="45"/>
      <c r="F367" s="45"/>
      <c r="G367" s="47"/>
      <c r="H367" s="45"/>
      <c r="I367" s="45"/>
      <c r="J367" s="45"/>
      <c r="K367" s="45"/>
      <c r="L367" s="20"/>
      <c r="M367" s="20"/>
      <c r="N367" s="20"/>
      <c r="O367" s="20"/>
      <c r="P367" s="20"/>
      <c r="Q367" s="20"/>
      <c r="R367" s="20"/>
      <c r="S367" s="20"/>
      <c r="T367" s="20"/>
      <c r="U367" s="20"/>
      <c r="V367" s="20"/>
      <c r="W367" s="20"/>
      <c r="X367" s="20"/>
      <c r="Y367" s="20"/>
      <c r="Z367" s="21"/>
      <c r="AA367" s="22"/>
      <c r="AB367" s="23"/>
    </row>
    <row r="368" spans="1:28" ht="15.75" customHeight="1" x14ac:dyDescent="0.25">
      <c r="A368" s="45"/>
      <c r="B368" s="45"/>
      <c r="C368" s="46"/>
      <c r="D368" s="46"/>
      <c r="E368" s="45"/>
      <c r="F368" s="45"/>
      <c r="G368" s="47"/>
      <c r="H368" s="45"/>
      <c r="I368" s="45"/>
      <c r="J368" s="45"/>
      <c r="K368" s="45"/>
      <c r="L368" s="20"/>
      <c r="M368" s="20"/>
      <c r="N368" s="20"/>
      <c r="O368" s="20"/>
      <c r="P368" s="20"/>
      <c r="Q368" s="20"/>
      <c r="R368" s="20"/>
      <c r="S368" s="20"/>
      <c r="T368" s="20"/>
      <c r="U368" s="20"/>
      <c r="V368" s="20"/>
      <c r="W368" s="20"/>
      <c r="X368" s="20"/>
      <c r="Y368" s="20"/>
      <c r="Z368" s="21"/>
      <c r="AA368" s="22"/>
      <c r="AB368" s="23"/>
    </row>
    <row r="369" spans="1:28" ht="15.75" customHeight="1" x14ac:dyDescent="0.25">
      <c r="A369" s="45"/>
      <c r="B369" s="45"/>
      <c r="C369" s="46"/>
      <c r="D369" s="46"/>
      <c r="E369" s="45"/>
      <c r="F369" s="45"/>
      <c r="G369" s="47"/>
      <c r="H369" s="45"/>
      <c r="I369" s="45"/>
      <c r="J369" s="45"/>
      <c r="K369" s="45"/>
      <c r="L369" s="20"/>
      <c r="M369" s="20"/>
      <c r="N369" s="20"/>
      <c r="O369" s="20"/>
      <c r="P369" s="20"/>
      <c r="Q369" s="20"/>
      <c r="R369" s="20"/>
      <c r="S369" s="20"/>
      <c r="T369" s="20"/>
      <c r="U369" s="20"/>
      <c r="V369" s="20"/>
      <c r="W369" s="20"/>
      <c r="X369" s="20"/>
      <c r="Y369" s="20"/>
      <c r="Z369" s="21"/>
      <c r="AA369" s="22"/>
      <c r="AB369" s="23"/>
    </row>
    <row r="370" spans="1:28" ht="15.75" customHeight="1" x14ac:dyDescent="0.25">
      <c r="A370" s="45"/>
      <c r="B370" s="45"/>
      <c r="C370" s="46"/>
      <c r="D370" s="46"/>
      <c r="E370" s="45"/>
      <c r="F370" s="45"/>
      <c r="G370" s="47"/>
      <c r="H370" s="45"/>
      <c r="I370" s="45"/>
      <c r="J370" s="45"/>
      <c r="K370" s="45"/>
      <c r="L370" s="20"/>
      <c r="M370" s="20"/>
      <c r="N370" s="20"/>
      <c r="O370" s="20"/>
      <c r="P370" s="20"/>
      <c r="Q370" s="20"/>
      <c r="R370" s="20"/>
      <c r="S370" s="20"/>
      <c r="T370" s="20"/>
      <c r="U370" s="20"/>
      <c r="V370" s="20"/>
      <c r="W370" s="20"/>
      <c r="X370" s="20"/>
      <c r="Y370" s="20"/>
      <c r="Z370" s="21"/>
      <c r="AA370" s="22"/>
      <c r="AB370" s="23"/>
    </row>
    <row r="371" spans="1:28" ht="15.75" customHeight="1" x14ac:dyDescent="0.25">
      <c r="A371" s="45"/>
      <c r="B371" s="45"/>
      <c r="C371" s="46"/>
      <c r="D371" s="46"/>
      <c r="E371" s="45"/>
      <c r="F371" s="45"/>
      <c r="G371" s="47"/>
      <c r="H371" s="45"/>
      <c r="I371" s="45"/>
      <c r="J371" s="45"/>
      <c r="K371" s="45"/>
      <c r="L371" s="20"/>
      <c r="M371" s="20"/>
      <c r="N371" s="20"/>
      <c r="O371" s="20"/>
      <c r="P371" s="20"/>
      <c r="Q371" s="20"/>
      <c r="R371" s="20"/>
      <c r="S371" s="20"/>
      <c r="T371" s="20"/>
      <c r="U371" s="20"/>
      <c r="V371" s="20"/>
      <c r="W371" s="20"/>
      <c r="X371" s="20"/>
      <c r="Y371" s="20"/>
      <c r="Z371" s="21"/>
      <c r="AA371" s="22"/>
      <c r="AB371" s="23"/>
    </row>
    <row r="372" spans="1:28" ht="15.75" customHeight="1" x14ac:dyDescent="0.25">
      <c r="A372" s="45"/>
      <c r="B372" s="45"/>
      <c r="C372" s="46"/>
      <c r="D372" s="46"/>
      <c r="E372" s="45"/>
      <c r="F372" s="45"/>
      <c r="G372" s="47"/>
      <c r="H372" s="45"/>
      <c r="I372" s="45"/>
      <c r="J372" s="45"/>
      <c r="K372" s="45"/>
      <c r="L372" s="20"/>
      <c r="M372" s="20"/>
      <c r="N372" s="20"/>
      <c r="O372" s="20"/>
      <c r="P372" s="20"/>
      <c r="Q372" s="20"/>
      <c r="R372" s="20"/>
      <c r="S372" s="20"/>
      <c r="T372" s="20"/>
      <c r="U372" s="20"/>
      <c r="V372" s="20"/>
      <c r="W372" s="20"/>
      <c r="X372" s="20"/>
      <c r="Y372" s="20"/>
      <c r="Z372" s="21"/>
      <c r="AA372" s="22"/>
      <c r="AB372" s="23"/>
    </row>
    <row r="373" spans="1:28" ht="15.75" customHeight="1" x14ac:dyDescent="0.25">
      <c r="A373" s="45"/>
      <c r="B373" s="45"/>
      <c r="C373" s="46"/>
      <c r="D373" s="46"/>
      <c r="E373" s="45"/>
      <c r="F373" s="45"/>
      <c r="G373" s="47"/>
      <c r="H373" s="45"/>
      <c r="I373" s="45"/>
      <c r="J373" s="45"/>
      <c r="K373" s="45"/>
      <c r="L373" s="20"/>
      <c r="M373" s="20"/>
      <c r="N373" s="20"/>
      <c r="O373" s="20"/>
      <c r="P373" s="20"/>
      <c r="Q373" s="20"/>
      <c r="R373" s="20"/>
      <c r="S373" s="20"/>
      <c r="T373" s="20"/>
      <c r="U373" s="20"/>
      <c r="V373" s="20"/>
      <c r="W373" s="20"/>
      <c r="X373" s="20"/>
      <c r="Y373" s="20"/>
      <c r="Z373" s="21"/>
      <c r="AA373" s="22"/>
      <c r="AB373" s="23"/>
    </row>
    <row r="374" spans="1:28" ht="15.75" customHeight="1" x14ac:dyDescent="0.25">
      <c r="A374" s="45"/>
      <c r="B374" s="45"/>
      <c r="C374" s="46"/>
      <c r="D374" s="46"/>
      <c r="E374" s="45"/>
      <c r="F374" s="45"/>
      <c r="G374" s="47"/>
      <c r="H374" s="45"/>
      <c r="I374" s="45"/>
      <c r="J374" s="45"/>
      <c r="K374" s="45"/>
      <c r="L374" s="20"/>
      <c r="M374" s="20"/>
      <c r="N374" s="20"/>
      <c r="O374" s="20"/>
      <c r="P374" s="20"/>
      <c r="Q374" s="20"/>
      <c r="R374" s="20"/>
      <c r="S374" s="20"/>
      <c r="T374" s="20"/>
      <c r="U374" s="20"/>
      <c r="V374" s="20"/>
      <c r="W374" s="20"/>
      <c r="X374" s="20"/>
      <c r="Y374" s="20"/>
      <c r="Z374" s="21"/>
      <c r="AA374" s="22"/>
      <c r="AB374" s="23"/>
    </row>
    <row r="375" spans="1:28" ht="15.75" customHeight="1" x14ac:dyDescent="0.25">
      <c r="A375" s="45"/>
      <c r="B375" s="45"/>
      <c r="C375" s="46"/>
      <c r="D375" s="46"/>
      <c r="E375" s="45"/>
      <c r="F375" s="45"/>
      <c r="G375" s="47"/>
      <c r="H375" s="45"/>
      <c r="I375" s="45"/>
      <c r="J375" s="45"/>
      <c r="K375" s="45"/>
      <c r="L375" s="20"/>
      <c r="M375" s="20"/>
      <c r="N375" s="20"/>
      <c r="O375" s="20"/>
      <c r="P375" s="20"/>
      <c r="Q375" s="20"/>
      <c r="R375" s="20"/>
      <c r="S375" s="20"/>
      <c r="T375" s="20"/>
      <c r="U375" s="20"/>
      <c r="V375" s="20"/>
      <c r="W375" s="20"/>
      <c r="X375" s="20"/>
      <c r="Y375" s="20"/>
      <c r="Z375" s="21"/>
      <c r="AA375" s="22"/>
      <c r="AB375" s="23"/>
    </row>
    <row r="376" spans="1:28" ht="15.75" customHeight="1" x14ac:dyDescent="0.25">
      <c r="A376" s="45"/>
      <c r="B376" s="45"/>
      <c r="C376" s="46"/>
      <c r="D376" s="46"/>
      <c r="E376" s="45"/>
      <c r="F376" s="45"/>
      <c r="G376" s="47"/>
      <c r="H376" s="45"/>
      <c r="I376" s="45"/>
      <c r="J376" s="45"/>
      <c r="K376" s="45"/>
      <c r="L376" s="20"/>
      <c r="M376" s="20"/>
      <c r="N376" s="20"/>
      <c r="O376" s="20"/>
      <c r="P376" s="20"/>
      <c r="Q376" s="20"/>
      <c r="R376" s="20"/>
      <c r="S376" s="20"/>
      <c r="T376" s="20"/>
      <c r="U376" s="20"/>
      <c r="V376" s="20"/>
      <c r="W376" s="20"/>
      <c r="X376" s="20"/>
      <c r="Y376" s="20"/>
      <c r="Z376" s="21"/>
      <c r="AA376" s="22"/>
      <c r="AB376" s="23"/>
    </row>
    <row r="377" spans="1:28" ht="15.75" customHeight="1" x14ac:dyDescent="0.25">
      <c r="A377" s="45"/>
      <c r="B377" s="45"/>
      <c r="C377" s="46"/>
      <c r="D377" s="46"/>
      <c r="E377" s="45"/>
      <c r="F377" s="45"/>
      <c r="G377" s="47"/>
      <c r="H377" s="45"/>
      <c r="I377" s="45"/>
      <c r="J377" s="45"/>
      <c r="K377" s="45"/>
      <c r="L377" s="20"/>
      <c r="M377" s="20"/>
      <c r="N377" s="20"/>
      <c r="O377" s="20"/>
      <c r="P377" s="20"/>
      <c r="Q377" s="20"/>
      <c r="R377" s="20"/>
      <c r="S377" s="20"/>
      <c r="T377" s="20"/>
      <c r="U377" s="20"/>
      <c r="V377" s="20"/>
      <c r="W377" s="20"/>
      <c r="X377" s="20"/>
      <c r="Y377" s="20"/>
      <c r="Z377" s="21"/>
      <c r="AA377" s="22"/>
      <c r="AB377" s="23"/>
    </row>
    <row r="378" spans="1:28" ht="15.75" customHeight="1" x14ac:dyDescent="0.25">
      <c r="A378" s="45"/>
      <c r="B378" s="45"/>
      <c r="C378" s="46"/>
      <c r="D378" s="46"/>
      <c r="E378" s="45"/>
      <c r="F378" s="45"/>
      <c r="G378" s="47"/>
      <c r="H378" s="45"/>
      <c r="I378" s="45"/>
      <c r="J378" s="45"/>
      <c r="K378" s="45"/>
      <c r="L378" s="20"/>
      <c r="M378" s="20"/>
      <c r="N378" s="20"/>
      <c r="O378" s="20"/>
      <c r="P378" s="20"/>
      <c r="Q378" s="20"/>
      <c r="R378" s="20"/>
      <c r="S378" s="20"/>
      <c r="T378" s="20"/>
      <c r="U378" s="20"/>
      <c r="V378" s="20"/>
      <c r="W378" s="20"/>
      <c r="X378" s="20"/>
      <c r="Y378" s="20"/>
      <c r="Z378" s="21"/>
      <c r="AA378" s="22"/>
      <c r="AB378" s="23"/>
    </row>
    <row r="379" spans="1:28" ht="15.75" customHeight="1" x14ac:dyDescent="0.25">
      <c r="A379" s="45"/>
      <c r="B379" s="45"/>
      <c r="C379" s="46"/>
      <c r="D379" s="46"/>
      <c r="E379" s="45"/>
      <c r="F379" s="45"/>
      <c r="G379" s="47"/>
      <c r="H379" s="45"/>
      <c r="I379" s="45"/>
      <c r="J379" s="45"/>
      <c r="K379" s="45"/>
      <c r="L379" s="20"/>
      <c r="M379" s="20"/>
      <c r="N379" s="20"/>
      <c r="O379" s="20"/>
      <c r="P379" s="20"/>
      <c r="Q379" s="20"/>
      <c r="R379" s="20"/>
      <c r="S379" s="20"/>
      <c r="T379" s="20"/>
      <c r="U379" s="20"/>
      <c r="V379" s="20"/>
      <c r="W379" s="20"/>
      <c r="X379" s="20"/>
      <c r="Y379" s="20"/>
      <c r="Z379" s="21"/>
      <c r="AA379" s="22"/>
      <c r="AB379" s="23"/>
    </row>
    <row r="380" spans="1:28" ht="15.75" customHeight="1" x14ac:dyDescent="0.25">
      <c r="A380" s="45"/>
      <c r="B380" s="45"/>
      <c r="C380" s="46"/>
      <c r="D380" s="46"/>
      <c r="E380" s="45"/>
      <c r="F380" s="45"/>
      <c r="G380" s="47"/>
      <c r="H380" s="45"/>
      <c r="I380" s="45"/>
      <c r="J380" s="45"/>
      <c r="K380" s="45"/>
      <c r="L380" s="20"/>
      <c r="M380" s="20"/>
      <c r="N380" s="20"/>
      <c r="O380" s="20"/>
      <c r="P380" s="20"/>
      <c r="Q380" s="20"/>
      <c r="R380" s="20"/>
      <c r="S380" s="20"/>
      <c r="T380" s="20"/>
      <c r="U380" s="20"/>
      <c r="V380" s="20"/>
      <c r="W380" s="20"/>
      <c r="X380" s="20"/>
      <c r="Y380" s="20"/>
      <c r="Z380" s="21"/>
      <c r="AA380" s="22"/>
      <c r="AB380" s="23"/>
    </row>
    <row r="381" spans="1:28" ht="15.75" customHeight="1" x14ac:dyDescent="0.25">
      <c r="G381" s="1"/>
    </row>
    <row r="382" spans="1:28" ht="15.75" customHeight="1" x14ac:dyDescent="0.25">
      <c r="G382" s="1"/>
    </row>
    <row r="383" spans="1:28" ht="15.75" customHeight="1" x14ac:dyDescent="0.25">
      <c r="G383" s="1"/>
    </row>
    <row r="384" spans="1:28" ht="15.75" customHeight="1" x14ac:dyDescent="0.25">
      <c r="G384" s="1"/>
    </row>
    <row r="385" spans="7:7" ht="15.75" customHeight="1" x14ac:dyDescent="0.25">
      <c r="G385" s="1"/>
    </row>
    <row r="386" spans="7:7" ht="15.75" customHeight="1" x14ac:dyDescent="0.25">
      <c r="G386" s="1"/>
    </row>
    <row r="387" spans="7:7" ht="15.75" customHeight="1" x14ac:dyDescent="0.25">
      <c r="G387" s="1"/>
    </row>
    <row r="388" spans="7:7" ht="15.75" customHeight="1" x14ac:dyDescent="0.25">
      <c r="G388" s="1"/>
    </row>
    <row r="389" spans="7:7" ht="15.75" customHeight="1" x14ac:dyDescent="0.25">
      <c r="G389" s="1"/>
    </row>
    <row r="390" spans="7:7" ht="15.75" customHeight="1" x14ac:dyDescent="0.25">
      <c r="G390" s="1"/>
    </row>
    <row r="391" spans="7:7" ht="15.75" customHeight="1" x14ac:dyDescent="0.25">
      <c r="G391" s="1"/>
    </row>
    <row r="392" spans="7:7" ht="15.75" customHeight="1" x14ac:dyDescent="0.25">
      <c r="G392" s="1"/>
    </row>
    <row r="393" spans="7:7" ht="15.75" customHeight="1" x14ac:dyDescent="0.25">
      <c r="G393" s="1"/>
    </row>
    <row r="394" spans="7:7" ht="15.75" customHeight="1" x14ac:dyDescent="0.25">
      <c r="G394" s="1"/>
    </row>
    <row r="395" spans="7:7" ht="15.75" customHeight="1" x14ac:dyDescent="0.25">
      <c r="G395" s="1"/>
    </row>
    <row r="396" spans="7:7" ht="15.75" customHeight="1" x14ac:dyDescent="0.25">
      <c r="G396" s="1"/>
    </row>
    <row r="397" spans="7:7" ht="15.75" customHeight="1" x14ac:dyDescent="0.25">
      <c r="G397" s="1"/>
    </row>
    <row r="398" spans="7:7" ht="15.75" customHeight="1" x14ac:dyDescent="0.25">
      <c r="G398" s="1"/>
    </row>
    <row r="399" spans="7:7" ht="15.75" customHeight="1" x14ac:dyDescent="0.25">
      <c r="G399" s="1"/>
    </row>
    <row r="400" spans="7:7" ht="15.75" customHeight="1" x14ac:dyDescent="0.25">
      <c r="G400" s="1"/>
    </row>
    <row r="401" spans="7:7" ht="15.75" customHeight="1" x14ac:dyDescent="0.25">
      <c r="G401" s="1"/>
    </row>
    <row r="402" spans="7:7" ht="15.75" customHeight="1" x14ac:dyDescent="0.25">
      <c r="G402" s="1"/>
    </row>
    <row r="403" spans="7:7" ht="15.75" customHeight="1" x14ac:dyDescent="0.25">
      <c r="G403" s="1"/>
    </row>
    <row r="404" spans="7:7" ht="15.75" customHeight="1" x14ac:dyDescent="0.25">
      <c r="G404" s="1"/>
    </row>
    <row r="405" spans="7:7" ht="15.75" customHeight="1" x14ac:dyDescent="0.25">
      <c r="G405" s="1"/>
    </row>
    <row r="406" spans="7:7" ht="15.75" customHeight="1" x14ac:dyDescent="0.25">
      <c r="G406" s="1"/>
    </row>
    <row r="407" spans="7:7" ht="15.75" customHeight="1" x14ac:dyDescent="0.25">
      <c r="G407" s="1"/>
    </row>
    <row r="408" spans="7:7" ht="15.75" customHeight="1" x14ac:dyDescent="0.25">
      <c r="G408" s="1"/>
    </row>
    <row r="409" spans="7:7" ht="15.75" customHeight="1" x14ac:dyDescent="0.25">
      <c r="G409" s="1"/>
    </row>
    <row r="410" spans="7:7" ht="15.75" customHeight="1" x14ac:dyDescent="0.25">
      <c r="G410" s="1"/>
    </row>
    <row r="411" spans="7:7" ht="15.75" customHeight="1" x14ac:dyDescent="0.25">
      <c r="G411" s="1"/>
    </row>
    <row r="412" spans="7:7" ht="15.75" customHeight="1" x14ac:dyDescent="0.25">
      <c r="G412" s="1"/>
    </row>
    <row r="413" spans="7:7" ht="15.75" customHeight="1" x14ac:dyDescent="0.25">
      <c r="G413" s="1"/>
    </row>
    <row r="414" spans="7:7" ht="15.75" customHeight="1" x14ac:dyDescent="0.25">
      <c r="G414" s="1"/>
    </row>
    <row r="415" spans="7:7" ht="15.75" customHeight="1" x14ac:dyDescent="0.25">
      <c r="G415" s="1"/>
    </row>
    <row r="416" spans="7:7" ht="15.75" customHeight="1" x14ac:dyDescent="0.25">
      <c r="G416" s="1"/>
    </row>
    <row r="417" spans="7:7" ht="15.75" customHeight="1" x14ac:dyDescent="0.25">
      <c r="G417" s="1"/>
    </row>
    <row r="418" spans="7:7" ht="15.75" customHeight="1" x14ac:dyDescent="0.25">
      <c r="G418" s="1"/>
    </row>
    <row r="419" spans="7:7" ht="15.75" customHeight="1" x14ac:dyDescent="0.25">
      <c r="G419" s="1"/>
    </row>
    <row r="420" spans="7:7" ht="15.75" customHeight="1" x14ac:dyDescent="0.25">
      <c r="G420" s="1"/>
    </row>
    <row r="421" spans="7:7" ht="15.75" customHeight="1" x14ac:dyDescent="0.25">
      <c r="G421" s="1"/>
    </row>
    <row r="422" spans="7:7" ht="15.75" customHeight="1" x14ac:dyDescent="0.25">
      <c r="G422" s="1"/>
    </row>
    <row r="423" spans="7:7" ht="15.75" customHeight="1" x14ac:dyDescent="0.25">
      <c r="G423" s="1"/>
    </row>
    <row r="424" spans="7:7" ht="15.75" customHeight="1" x14ac:dyDescent="0.25">
      <c r="G424" s="1"/>
    </row>
    <row r="425" spans="7:7" ht="15.75" customHeight="1" x14ac:dyDescent="0.25">
      <c r="G425" s="1"/>
    </row>
    <row r="426" spans="7:7" ht="15.75" customHeight="1" x14ac:dyDescent="0.25">
      <c r="G426" s="1"/>
    </row>
    <row r="427" spans="7:7" ht="15.75" customHeight="1" x14ac:dyDescent="0.25">
      <c r="G427" s="1"/>
    </row>
    <row r="428" spans="7:7" ht="15.75" customHeight="1" x14ac:dyDescent="0.25">
      <c r="G428" s="1"/>
    </row>
    <row r="429" spans="7:7" ht="15.75" customHeight="1" x14ac:dyDescent="0.25">
      <c r="G429" s="1"/>
    </row>
    <row r="430" spans="7:7" ht="15.75" customHeight="1" x14ac:dyDescent="0.25">
      <c r="G430" s="1"/>
    </row>
    <row r="431" spans="7:7" ht="15.75" customHeight="1" x14ac:dyDescent="0.25">
      <c r="G431" s="1"/>
    </row>
    <row r="432" spans="7:7" ht="15.75" customHeight="1" x14ac:dyDescent="0.25">
      <c r="G432" s="1"/>
    </row>
    <row r="433" spans="7:7" ht="15.75" customHeight="1" x14ac:dyDescent="0.25">
      <c r="G433" s="1"/>
    </row>
    <row r="434" spans="7:7" ht="15.75" customHeight="1" x14ac:dyDescent="0.25">
      <c r="G434" s="1"/>
    </row>
    <row r="435" spans="7:7" ht="15.75" customHeight="1" x14ac:dyDescent="0.25">
      <c r="G435" s="1"/>
    </row>
    <row r="436" spans="7:7" ht="15.75" customHeight="1" x14ac:dyDescent="0.25">
      <c r="G436" s="1"/>
    </row>
    <row r="437" spans="7:7" ht="15.75" customHeight="1" x14ac:dyDescent="0.25">
      <c r="G437" s="1"/>
    </row>
    <row r="438" spans="7:7" ht="15.75" customHeight="1" x14ac:dyDescent="0.25">
      <c r="G438" s="1"/>
    </row>
    <row r="439" spans="7:7" ht="15.75" customHeight="1" x14ac:dyDescent="0.25">
      <c r="G439" s="1"/>
    </row>
    <row r="440" spans="7:7" ht="15.75" customHeight="1" x14ac:dyDescent="0.25">
      <c r="G440" s="1"/>
    </row>
    <row r="441" spans="7:7" ht="15.75" customHeight="1" x14ac:dyDescent="0.25">
      <c r="G441" s="1"/>
    </row>
    <row r="442" spans="7:7" ht="15.75" customHeight="1" x14ac:dyDescent="0.25">
      <c r="G442" s="1"/>
    </row>
    <row r="443" spans="7:7" ht="15.75" customHeight="1" x14ac:dyDescent="0.25">
      <c r="G443" s="1"/>
    </row>
    <row r="444" spans="7:7" ht="15.75" customHeight="1" x14ac:dyDescent="0.25">
      <c r="G444" s="1"/>
    </row>
    <row r="445" spans="7:7" ht="15.75" customHeight="1" x14ac:dyDescent="0.25">
      <c r="G445" s="1"/>
    </row>
    <row r="446" spans="7:7" ht="15.75" customHeight="1" x14ac:dyDescent="0.25">
      <c r="G446" s="1"/>
    </row>
    <row r="447" spans="7:7" ht="15.75" customHeight="1" x14ac:dyDescent="0.25">
      <c r="G447" s="1"/>
    </row>
    <row r="448" spans="7:7" ht="15.75" customHeight="1" x14ac:dyDescent="0.25">
      <c r="G448" s="1"/>
    </row>
    <row r="449" spans="7:7" ht="15.75" customHeight="1" x14ac:dyDescent="0.25">
      <c r="G449" s="1"/>
    </row>
    <row r="450" spans="7:7" ht="15.75" customHeight="1" x14ac:dyDescent="0.25">
      <c r="G450" s="1"/>
    </row>
    <row r="451" spans="7:7" ht="15.75" customHeight="1" x14ac:dyDescent="0.25">
      <c r="G451" s="1"/>
    </row>
    <row r="452" spans="7:7" ht="15.75" customHeight="1" x14ac:dyDescent="0.25">
      <c r="G452" s="1"/>
    </row>
    <row r="453" spans="7:7" ht="15.75" customHeight="1" x14ac:dyDescent="0.25">
      <c r="G453" s="1"/>
    </row>
    <row r="454" spans="7:7" ht="15.75" customHeight="1" x14ac:dyDescent="0.25">
      <c r="G454" s="1"/>
    </row>
    <row r="455" spans="7:7" ht="15.75" customHeight="1" x14ac:dyDescent="0.25">
      <c r="G455" s="1"/>
    </row>
    <row r="456" spans="7:7" ht="15.75" customHeight="1" x14ac:dyDescent="0.25">
      <c r="G456" s="1"/>
    </row>
    <row r="457" spans="7:7" ht="15.75" customHeight="1" x14ac:dyDescent="0.25">
      <c r="G457" s="1"/>
    </row>
    <row r="458" spans="7:7" ht="15.75" customHeight="1" x14ac:dyDescent="0.25">
      <c r="G458" s="1"/>
    </row>
    <row r="459" spans="7:7" ht="15.75" customHeight="1" x14ac:dyDescent="0.25">
      <c r="G459" s="1"/>
    </row>
    <row r="460" spans="7:7" ht="15.75" customHeight="1" x14ac:dyDescent="0.25">
      <c r="G460" s="1"/>
    </row>
    <row r="461" spans="7:7" ht="15.75" customHeight="1" x14ac:dyDescent="0.25">
      <c r="G461" s="1"/>
    </row>
    <row r="462" spans="7:7" ht="15.75" customHeight="1" x14ac:dyDescent="0.25">
      <c r="G462" s="1"/>
    </row>
    <row r="463" spans="7:7" ht="15.75" customHeight="1" x14ac:dyDescent="0.25">
      <c r="G463" s="1"/>
    </row>
    <row r="464" spans="7:7" ht="15.75" customHeight="1" x14ac:dyDescent="0.25">
      <c r="G464" s="1"/>
    </row>
    <row r="465" spans="7:7" ht="15.75" customHeight="1" x14ac:dyDescent="0.25">
      <c r="G465" s="1"/>
    </row>
    <row r="466" spans="7:7" ht="15.75" customHeight="1" x14ac:dyDescent="0.25">
      <c r="G466" s="1"/>
    </row>
    <row r="467" spans="7:7" ht="15.75" customHeight="1" x14ac:dyDescent="0.25">
      <c r="G467" s="1"/>
    </row>
    <row r="468" spans="7:7" ht="15.75" customHeight="1" x14ac:dyDescent="0.25">
      <c r="G468" s="1"/>
    </row>
    <row r="469" spans="7:7" ht="15.75" customHeight="1" x14ac:dyDescent="0.25">
      <c r="G469" s="1"/>
    </row>
    <row r="470" spans="7:7" ht="15.75" customHeight="1" x14ac:dyDescent="0.25">
      <c r="G470" s="1"/>
    </row>
    <row r="471" spans="7:7" ht="15.75" customHeight="1" x14ac:dyDescent="0.25">
      <c r="G471" s="1"/>
    </row>
    <row r="472" spans="7:7" ht="15.75" customHeight="1" x14ac:dyDescent="0.25">
      <c r="G472" s="1"/>
    </row>
    <row r="473" spans="7:7" ht="15.75" customHeight="1" x14ac:dyDescent="0.25">
      <c r="G473" s="1"/>
    </row>
    <row r="474" spans="7:7" ht="15.75" customHeight="1" x14ac:dyDescent="0.25">
      <c r="G474" s="1"/>
    </row>
    <row r="475" spans="7:7" ht="15.75" customHeight="1" x14ac:dyDescent="0.25">
      <c r="G475" s="1"/>
    </row>
    <row r="476" spans="7:7" ht="15.75" customHeight="1" x14ac:dyDescent="0.25">
      <c r="G476" s="1"/>
    </row>
    <row r="477" spans="7:7" ht="15.75" customHeight="1" x14ac:dyDescent="0.25">
      <c r="G477" s="1"/>
    </row>
    <row r="478" spans="7:7" ht="15.75" customHeight="1" x14ac:dyDescent="0.25">
      <c r="G478" s="1"/>
    </row>
    <row r="479" spans="7:7" ht="15.75" customHeight="1" x14ac:dyDescent="0.25">
      <c r="G479" s="1"/>
    </row>
    <row r="480" spans="7:7" ht="15.75" customHeight="1" x14ac:dyDescent="0.25">
      <c r="G480" s="1"/>
    </row>
    <row r="481" spans="7:7" ht="15.75" customHeight="1" x14ac:dyDescent="0.25">
      <c r="G481" s="1"/>
    </row>
    <row r="482" spans="7:7" ht="15.75" customHeight="1" x14ac:dyDescent="0.25">
      <c r="G482" s="1"/>
    </row>
    <row r="483" spans="7:7" ht="15.75" customHeight="1" x14ac:dyDescent="0.25">
      <c r="G483" s="1"/>
    </row>
    <row r="484" spans="7:7" ht="15.75" customHeight="1" x14ac:dyDescent="0.25">
      <c r="G484" s="1"/>
    </row>
    <row r="485" spans="7:7" ht="15.75" customHeight="1" x14ac:dyDescent="0.25">
      <c r="G485" s="1"/>
    </row>
    <row r="486" spans="7:7" ht="15.75" customHeight="1" x14ac:dyDescent="0.25">
      <c r="G486" s="1"/>
    </row>
    <row r="487" spans="7:7" ht="15.75" customHeight="1" x14ac:dyDescent="0.25">
      <c r="G487" s="1"/>
    </row>
    <row r="488" spans="7:7" ht="15.75" customHeight="1" x14ac:dyDescent="0.25">
      <c r="G488" s="1"/>
    </row>
    <row r="489" spans="7:7" ht="15.75" customHeight="1" x14ac:dyDescent="0.25">
      <c r="G489" s="1"/>
    </row>
    <row r="490" spans="7:7" ht="15.75" customHeight="1" x14ac:dyDescent="0.25">
      <c r="G490" s="1"/>
    </row>
    <row r="491" spans="7:7" ht="15.75" customHeight="1" x14ac:dyDescent="0.25">
      <c r="G491" s="1"/>
    </row>
    <row r="492" spans="7:7" ht="15.75" customHeight="1" x14ac:dyDescent="0.25">
      <c r="G492" s="1"/>
    </row>
    <row r="493" spans="7:7" ht="15.75" customHeight="1" x14ac:dyDescent="0.25">
      <c r="G493" s="1"/>
    </row>
    <row r="494" spans="7:7" ht="15.75" customHeight="1" x14ac:dyDescent="0.25">
      <c r="G494" s="1"/>
    </row>
    <row r="495" spans="7:7" ht="15.75" customHeight="1" x14ac:dyDescent="0.25">
      <c r="G495" s="1"/>
    </row>
    <row r="496" spans="7:7" ht="15.75" customHeight="1" x14ac:dyDescent="0.25">
      <c r="G496" s="1"/>
    </row>
    <row r="497" spans="7:7" ht="15.75" customHeight="1" x14ac:dyDescent="0.25">
      <c r="G497" s="1"/>
    </row>
    <row r="498" spans="7:7" ht="15.75" customHeight="1" x14ac:dyDescent="0.25">
      <c r="G498" s="1"/>
    </row>
    <row r="499" spans="7:7" ht="15.75" customHeight="1" x14ac:dyDescent="0.25">
      <c r="G499" s="1"/>
    </row>
    <row r="500" spans="7:7" ht="15.75" customHeight="1" x14ac:dyDescent="0.25">
      <c r="G500" s="1"/>
    </row>
    <row r="501" spans="7:7" ht="15.75" customHeight="1" x14ac:dyDescent="0.25">
      <c r="G501" s="1"/>
    </row>
    <row r="502" spans="7:7" ht="15.75" customHeight="1" x14ac:dyDescent="0.25">
      <c r="G502" s="1"/>
    </row>
    <row r="503" spans="7:7" ht="15.75" customHeight="1" x14ac:dyDescent="0.25">
      <c r="G503" s="1"/>
    </row>
    <row r="504" spans="7:7" ht="15.75" customHeight="1" x14ac:dyDescent="0.25">
      <c r="G504" s="1"/>
    </row>
    <row r="505" spans="7:7" ht="15.75" customHeight="1" x14ac:dyDescent="0.25">
      <c r="G505" s="1"/>
    </row>
    <row r="506" spans="7:7" ht="15.75" customHeight="1" x14ac:dyDescent="0.25">
      <c r="G506" s="1"/>
    </row>
    <row r="507" spans="7:7" ht="15.75" customHeight="1" x14ac:dyDescent="0.25">
      <c r="G507" s="1"/>
    </row>
    <row r="508" spans="7:7" ht="15.75" customHeight="1" x14ac:dyDescent="0.25">
      <c r="G508" s="1"/>
    </row>
    <row r="509" spans="7:7" ht="15.75" customHeight="1" x14ac:dyDescent="0.25">
      <c r="G509" s="1"/>
    </row>
    <row r="510" spans="7:7" ht="15.75" customHeight="1" x14ac:dyDescent="0.25">
      <c r="G510" s="1"/>
    </row>
    <row r="511" spans="7:7" ht="15.75" customHeight="1" x14ac:dyDescent="0.25">
      <c r="G511" s="1"/>
    </row>
    <row r="512" spans="7:7" ht="15.75" customHeight="1" x14ac:dyDescent="0.25">
      <c r="G512" s="1"/>
    </row>
    <row r="513" spans="7:7" ht="15.75" customHeight="1" x14ac:dyDescent="0.25">
      <c r="G513" s="1"/>
    </row>
    <row r="514" spans="7:7" ht="15.75" customHeight="1" x14ac:dyDescent="0.25">
      <c r="G514" s="1"/>
    </row>
    <row r="515" spans="7:7" ht="15.75" customHeight="1" x14ac:dyDescent="0.25">
      <c r="G515" s="1"/>
    </row>
    <row r="516" spans="7:7" ht="15.75" customHeight="1" x14ac:dyDescent="0.25">
      <c r="G516" s="1"/>
    </row>
    <row r="517" spans="7:7" ht="15.75" customHeight="1" x14ac:dyDescent="0.25">
      <c r="G517" s="1"/>
    </row>
    <row r="518" spans="7:7" ht="15.75" customHeight="1" x14ac:dyDescent="0.25">
      <c r="G518" s="1"/>
    </row>
    <row r="519" spans="7:7" ht="15.75" customHeight="1" x14ac:dyDescent="0.25">
      <c r="G519" s="1"/>
    </row>
    <row r="520" spans="7:7" ht="15.75" customHeight="1" x14ac:dyDescent="0.25">
      <c r="G520" s="1"/>
    </row>
    <row r="521" spans="7:7" ht="15.75" customHeight="1" x14ac:dyDescent="0.25">
      <c r="G521" s="1"/>
    </row>
    <row r="522" spans="7:7" ht="15.75" customHeight="1" x14ac:dyDescent="0.25">
      <c r="G522" s="1"/>
    </row>
    <row r="523" spans="7:7" ht="15.75" customHeight="1" x14ac:dyDescent="0.25">
      <c r="G523" s="1"/>
    </row>
    <row r="524" spans="7:7" ht="15.75" customHeight="1" x14ac:dyDescent="0.25">
      <c r="G524" s="1"/>
    </row>
    <row r="525" spans="7:7" ht="15.75" customHeight="1" x14ac:dyDescent="0.25">
      <c r="G525" s="1"/>
    </row>
    <row r="526" spans="7:7" ht="15.75" customHeight="1" x14ac:dyDescent="0.25">
      <c r="G526" s="1"/>
    </row>
    <row r="527" spans="7:7" ht="15.75" customHeight="1" x14ac:dyDescent="0.25">
      <c r="G527" s="1"/>
    </row>
    <row r="528" spans="7:7" ht="15.75" customHeight="1" x14ac:dyDescent="0.25">
      <c r="G528" s="1"/>
    </row>
    <row r="529" spans="7:7" ht="15.75" customHeight="1" x14ac:dyDescent="0.25">
      <c r="G529" s="1"/>
    </row>
    <row r="530" spans="7:7" ht="15.75" customHeight="1" x14ac:dyDescent="0.25">
      <c r="G530" s="1"/>
    </row>
    <row r="531" spans="7:7" ht="15.75" customHeight="1" x14ac:dyDescent="0.25">
      <c r="G531" s="1"/>
    </row>
    <row r="532" spans="7:7" ht="15.75" customHeight="1" x14ac:dyDescent="0.25">
      <c r="G532" s="1"/>
    </row>
    <row r="533" spans="7:7" ht="15.75" customHeight="1" x14ac:dyDescent="0.25">
      <c r="G533" s="1"/>
    </row>
    <row r="534" spans="7:7" ht="15.75" customHeight="1" x14ac:dyDescent="0.25">
      <c r="G534" s="1"/>
    </row>
    <row r="535" spans="7:7" ht="15.75" customHeight="1" x14ac:dyDescent="0.25">
      <c r="G535" s="1"/>
    </row>
    <row r="536" spans="7:7" ht="15.75" customHeight="1" x14ac:dyDescent="0.25">
      <c r="G536" s="1"/>
    </row>
    <row r="537" spans="7:7" ht="15.75" customHeight="1" x14ac:dyDescent="0.25">
      <c r="G537" s="1"/>
    </row>
    <row r="538" spans="7:7" ht="15.75" customHeight="1" x14ac:dyDescent="0.25">
      <c r="G538" s="1"/>
    </row>
    <row r="539" spans="7:7" ht="15.75" customHeight="1" x14ac:dyDescent="0.25">
      <c r="G539" s="1"/>
    </row>
    <row r="540" spans="7:7" ht="15.75" customHeight="1" x14ac:dyDescent="0.25">
      <c r="G540" s="1"/>
    </row>
    <row r="541" spans="7:7" ht="15.75" customHeight="1" x14ac:dyDescent="0.25">
      <c r="G541" s="1"/>
    </row>
    <row r="542" spans="7:7" ht="15.75" customHeight="1" x14ac:dyDescent="0.25">
      <c r="G542" s="1"/>
    </row>
    <row r="543" spans="7:7" ht="15.75" customHeight="1" x14ac:dyDescent="0.25">
      <c r="G543" s="1"/>
    </row>
    <row r="544" spans="7:7" ht="15.75" customHeight="1" x14ac:dyDescent="0.25">
      <c r="G544" s="1"/>
    </row>
    <row r="545" spans="7:7" ht="15.75" customHeight="1" x14ac:dyDescent="0.25">
      <c r="G545" s="1"/>
    </row>
    <row r="546" spans="7:7" ht="15.75" customHeight="1" x14ac:dyDescent="0.25">
      <c r="G546" s="1"/>
    </row>
    <row r="547" spans="7:7" ht="15.75" customHeight="1" x14ac:dyDescent="0.25">
      <c r="G547" s="1"/>
    </row>
    <row r="548" spans="7:7" ht="15.75" customHeight="1" x14ac:dyDescent="0.25">
      <c r="G548" s="1"/>
    </row>
    <row r="549" spans="7:7" ht="15.75" customHeight="1" x14ac:dyDescent="0.25">
      <c r="G549" s="1"/>
    </row>
    <row r="550" spans="7:7" ht="15.75" customHeight="1" x14ac:dyDescent="0.25">
      <c r="G550" s="1"/>
    </row>
    <row r="551" spans="7:7" ht="15.75" customHeight="1" x14ac:dyDescent="0.25">
      <c r="G551" s="1"/>
    </row>
    <row r="552" spans="7:7" ht="15.75" customHeight="1" x14ac:dyDescent="0.25">
      <c r="G552" s="1"/>
    </row>
    <row r="553" spans="7:7" ht="15.75" customHeight="1" x14ac:dyDescent="0.25">
      <c r="G553" s="1"/>
    </row>
    <row r="554" spans="7:7" ht="15.75" customHeight="1" x14ac:dyDescent="0.25">
      <c r="G554" s="1"/>
    </row>
    <row r="555" spans="7:7" ht="15.75" customHeight="1" x14ac:dyDescent="0.25">
      <c r="G555" s="1"/>
    </row>
    <row r="556" spans="7:7" ht="15.75" customHeight="1" x14ac:dyDescent="0.25">
      <c r="G556" s="1"/>
    </row>
    <row r="557" spans="7:7" ht="15.75" customHeight="1" x14ac:dyDescent="0.25">
      <c r="G557" s="1"/>
    </row>
    <row r="558" spans="7:7" ht="15.75" customHeight="1" x14ac:dyDescent="0.25">
      <c r="G558" s="1"/>
    </row>
    <row r="559" spans="7:7" ht="15.75" customHeight="1" x14ac:dyDescent="0.25">
      <c r="G559" s="1"/>
    </row>
    <row r="560" spans="7:7" ht="15.75" customHeight="1" x14ac:dyDescent="0.25">
      <c r="G560" s="1"/>
    </row>
    <row r="561" spans="7:7" ht="15.75" customHeight="1" x14ac:dyDescent="0.25">
      <c r="G561" s="1"/>
    </row>
    <row r="562" spans="7:7" ht="15.75" customHeight="1" x14ac:dyDescent="0.25">
      <c r="G562" s="1"/>
    </row>
    <row r="563" spans="7:7" ht="15.75" customHeight="1" x14ac:dyDescent="0.25">
      <c r="G563" s="1"/>
    </row>
    <row r="564" spans="7:7" ht="15.75" customHeight="1" x14ac:dyDescent="0.25">
      <c r="G564" s="1"/>
    </row>
    <row r="565" spans="7:7" ht="15.75" customHeight="1" x14ac:dyDescent="0.25">
      <c r="G565" s="1"/>
    </row>
    <row r="566" spans="7:7" ht="15.75" customHeight="1" x14ac:dyDescent="0.25">
      <c r="G566" s="1"/>
    </row>
    <row r="567" spans="7:7" ht="15.75" customHeight="1" x14ac:dyDescent="0.25">
      <c r="G567" s="1"/>
    </row>
    <row r="568" spans="7:7" ht="15.75" customHeight="1" x14ac:dyDescent="0.25">
      <c r="G568" s="1"/>
    </row>
    <row r="569" spans="7:7" ht="15.75" customHeight="1" x14ac:dyDescent="0.25">
      <c r="G569" s="1"/>
    </row>
    <row r="570" spans="7:7" ht="15.75" customHeight="1" x14ac:dyDescent="0.25">
      <c r="G570" s="1"/>
    </row>
    <row r="571" spans="7:7" ht="15.75" customHeight="1" x14ac:dyDescent="0.25">
      <c r="G571" s="1"/>
    </row>
    <row r="572" spans="7:7" ht="15.75" customHeight="1" x14ac:dyDescent="0.25">
      <c r="G572" s="1"/>
    </row>
    <row r="573" spans="7:7" ht="15.75" customHeight="1" x14ac:dyDescent="0.25">
      <c r="G573" s="1"/>
    </row>
    <row r="574" spans="7:7" ht="15.75" customHeight="1" x14ac:dyDescent="0.25">
      <c r="G574" s="1"/>
    </row>
    <row r="575" spans="7:7" ht="15.75" customHeight="1" x14ac:dyDescent="0.25">
      <c r="G575" s="1"/>
    </row>
    <row r="576" spans="7:7" ht="15.75" customHeight="1" x14ac:dyDescent="0.25">
      <c r="G576" s="1"/>
    </row>
    <row r="577" spans="7:7" ht="15.75" customHeight="1" x14ac:dyDescent="0.25">
      <c r="G577" s="1"/>
    </row>
    <row r="578" spans="7:7" ht="15.75" customHeight="1" x14ac:dyDescent="0.25">
      <c r="G578" s="1"/>
    </row>
    <row r="579" spans="7:7" ht="15.75" customHeight="1" x14ac:dyDescent="0.25">
      <c r="G579" s="1"/>
    </row>
    <row r="580" spans="7:7" ht="15.75" customHeight="1" x14ac:dyDescent="0.25">
      <c r="G580" s="1"/>
    </row>
    <row r="581" spans="7:7" ht="15.75" customHeight="1" x14ac:dyDescent="0.25">
      <c r="G581" s="1"/>
    </row>
    <row r="582" spans="7:7" ht="15.75" customHeight="1" x14ac:dyDescent="0.25">
      <c r="G582" s="1"/>
    </row>
    <row r="583" spans="7:7" ht="15.75" customHeight="1" x14ac:dyDescent="0.25">
      <c r="G583" s="1"/>
    </row>
    <row r="584" spans="7:7" ht="15.75" customHeight="1" x14ac:dyDescent="0.25">
      <c r="G584" s="1"/>
    </row>
    <row r="585" spans="7:7" ht="15.75" customHeight="1" x14ac:dyDescent="0.25">
      <c r="G585" s="1"/>
    </row>
    <row r="586" spans="7:7" ht="15.75" customHeight="1" x14ac:dyDescent="0.25">
      <c r="G586" s="1"/>
    </row>
    <row r="587" spans="7:7" ht="15.75" customHeight="1" x14ac:dyDescent="0.25">
      <c r="G587" s="1"/>
    </row>
    <row r="588" spans="7:7" ht="15.75" customHeight="1" x14ac:dyDescent="0.25">
      <c r="G588" s="1"/>
    </row>
    <row r="589" spans="7:7" ht="15.75" customHeight="1" x14ac:dyDescent="0.25">
      <c r="G589" s="1"/>
    </row>
    <row r="590" spans="7:7" ht="15.75" customHeight="1" x14ac:dyDescent="0.25">
      <c r="G590" s="1"/>
    </row>
    <row r="591" spans="7:7" ht="15.75" customHeight="1" x14ac:dyDescent="0.25">
      <c r="G591" s="1"/>
    </row>
    <row r="592" spans="7:7" ht="15.75" customHeight="1" x14ac:dyDescent="0.25">
      <c r="G592" s="1"/>
    </row>
    <row r="593" spans="7:7" ht="15.75" customHeight="1" x14ac:dyDescent="0.25">
      <c r="G593" s="1"/>
    </row>
    <row r="594" spans="7:7" ht="15.75" customHeight="1" x14ac:dyDescent="0.25">
      <c r="G594" s="1"/>
    </row>
    <row r="595" spans="7:7" ht="15.75" customHeight="1" x14ac:dyDescent="0.25">
      <c r="G595" s="1"/>
    </row>
    <row r="596" spans="7:7" ht="15.75" customHeight="1" x14ac:dyDescent="0.25">
      <c r="G596" s="1"/>
    </row>
    <row r="597" spans="7:7" ht="15.75" customHeight="1" x14ac:dyDescent="0.25">
      <c r="G597" s="1"/>
    </row>
    <row r="598" spans="7:7" ht="15.75" customHeight="1" x14ac:dyDescent="0.25">
      <c r="G598" s="1"/>
    </row>
    <row r="599" spans="7:7" ht="15.75" customHeight="1" x14ac:dyDescent="0.25">
      <c r="G599" s="1"/>
    </row>
    <row r="600" spans="7:7" ht="15.75" customHeight="1" x14ac:dyDescent="0.25">
      <c r="G600" s="1"/>
    </row>
    <row r="601" spans="7:7" ht="15.75" customHeight="1" x14ac:dyDescent="0.25">
      <c r="G601" s="1"/>
    </row>
    <row r="602" spans="7:7" ht="15.75" customHeight="1" x14ac:dyDescent="0.25">
      <c r="G602" s="1"/>
    </row>
    <row r="603" spans="7:7" ht="15.75" customHeight="1" x14ac:dyDescent="0.25">
      <c r="G603" s="1"/>
    </row>
    <row r="604" spans="7:7" ht="15.75" customHeight="1" x14ac:dyDescent="0.25">
      <c r="G604" s="1"/>
    </row>
    <row r="605" spans="7:7" ht="15.75" customHeight="1" x14ac:dyDescent="0.25">
      <c r="G605" s="1"/>
    </row>
    <row r="606" spans="7:7" ht="15.75" customHeight="1" x14ac:dyDescent="0.25">
      <c r="G606" s="1"/>
    </row>
    <row r="607" spans="7:7" ht="15.75" customHeight="1" x14ac:dyDescent="0.25">
      <c r="G607" s="1"/>
    </row>
    <row r="608" spans="7:7" ht="15.75" customHeight="1" x14ac:dyDescent="0.25">
      <c r="G608" s="1"/>
    </row>
    <row r="609" spans="7:7" ht="15.75" customHeight="1" x14ac:dyDescent="0.25">
      <c r="G609" s="1"/>
    </row>
    <row r="610" spans="7:7" ht="15.75" customHeight="1" x14ac:dyDescent="0.25">
      <c r="G610" s="1"/>
    </row>
    <row r="611" spans="7:7" ht="15.75" customHeight="1" x14ac:dyDescent="0.25">
      <c r="G611" s="1"/>
    </row>
    <row r="612" spans="7:7" ht="15.75" customHeight="1" x14ac:dyDescent="0.25">
      <c r="G612" s="1"/>
    </row>
    <row r="613" spans="7:7" ht="15.75" customHeight="1" x14ac:dyDescent="0.25">
      <c r="G613" s="1"/>
    </row>
    <row r="614" spans="7:7" ht="15.75" customHeight="1" x14ac:dyDescent="0.25">
      <c r="G614" s="1"/>
    </row>
    <row r="615" spans="7:7" ht="15.75" customHeight="1" x14ac:dyDescent="0.25">
      <c r="G615" s="1"/>
    </row>
    <row r="616" spans="7:7" ht="15.75" customHeight="1" x14ac:dyDescent="0.25">
      <c r="G616" s="1"/>
    </row>
    <row r="617" spans="7:7" ht="15.75" customHeight="1" x14ac:dyDescent="0.25">
      <c r="G617" s="1"/>
    </row>
    <row r="618" spans="7:7" ht="15.75" customHeight="1" x14ac:dyDescent="0.25">
      <c r="G618" s="1"/>
    </row>
    <row r="619" spans="7:7" ht="15.75" customHeight="1" x14ac:dyDescent="0.25">
      <c r="G619" s="1"/>
    </row>
    <row r="620" spans="7:7" ht="15.75" customHeight="1" x14ac:dyDescent="0.25">
      <c r="G620" s="1"/>
    </row>
    <row r="621" spans="7:7" ht="15.75" customHeight="1" x14ac:dyDescent="0.25">
      <c r="G621" s="1"/>
    </row>
    <row r="622" spans="7:7" ht="15.75" customHeight="1" x14ac:dyDescent="0.25">
      <c r="G622" s="1"/>
    </row>
    <row r="623" spans="7:7" ht="15.75" customHeight="1" x14ac:dyDescent="0.25">
      <c r="G623" s="1"/>
    </row>
    <row r="624" spans="7:7" ht="15.75" customHeight="1" x14ac:dyDescent="0.25">
      <c r="G624" s="1"/>
    </row>
    <row r="625" spans="7:7" ht="15.75" customHeight="1" x14ac:dyDescent="0.25">
      <c r="G625" s="1"/>
    </row>
    <row r="626" spans="7:7" ht="15.75" customHeight="1" x14ac:dyDescent="0.25">
      <c r="G626" s="1"/>
    </row>
    <row r="627" spans="7:7" ht="15.75" customHeight="1" x14ac:dyDescent="0.25">
      <c r="G627" s="1"/>
    </row>
    <row r="628" spans="7:7" ht="15.75" customHeight="1" x14ac:dyDescent="0.25">
      <c r="G628" s="1"/>
    </row>
    <row r="629" spans="7:7" ht="15.75" customHeight="1" x14ac:dyDescent="0.25">
      <c r="G629" s="1"/>
    </row>
    <row r="630" spans="7:7" ht="15.75" customHeight="1" x14ac:dyDescent="0.25">
      <c r="G630" s="1"/>
    </row>
    <row r="631" spans="7:7" ht="15.75" customHeight="1" x14ac:dyDescent="0.25">
      <c r="G631" s="1"/>
    </row>
    <row r="632" spans="7:7" ht="15.75" customHeight="1" x14ac:dyDescent="0.25">
      <c r="G632" s="1"/>
    </row>
    <row r="633" spans="7:7" ht="15.75" customHeight="1" x14ac:dyDescent="0.25">
      <c r="G633" s="1"/>
    </row>
    <row r="634" spans="7:7" ht="15.75" customHeight="1" x14ac:dyDescent="0.25">
      <c r="G634" s="1"/>
    </row>
    <row r="635" spans="7:7" ht="15.75" customHeight="1" x14ac:dyDescent="0.25">
      <c r="G635" s="1"/>
    </row>
    <row r="636" spans="7:7" ht="15.75" customHeight="1" x14ac:dyDescent="0.25">
      <c r="G636" s="1"/>
    </row>
    <row r="637" spans="7:7" ht="15.75" customHeight="1" x14ac:dyDescent="0.25">
      <c r="G637" s="1"/>
    </row>
    <row r="638" spans="7:7" ht="15.75" customHeight="1" x14ac:dyDescent="0.25">
      <c r="G638" s="1"/>
    </row>
    <row r="639" spans="7:7" ht="15.75" customHeight="1" x14ac:dyDescent="0.25">
      <c r="G639" s="1"/>
    </row>
    <row r="640" spans="7:7" ht="15.75" customHeight="1" x14ac:dyDescent="0.25">
      <c r="G640" s="1"/>
    </row>
    <row r="641" spans="7:7" ht="15.75" customHeight="1" x14ac:dyDescent="0.25">
      <c r="G641" s="1"/>
    </row>
    <row r="642" spans="7:7" ht="15.75" customHeight="1" x14ac:dyDescent="0.25">
      <c r="G642" s="1"/>
    </row>
    <row r="643" spans="7:7" ht="15.75" customHeight="1" x14ac:dyDescent="0.25">
      <c r="G643" s="1"/>
    </row>
    <row r="644" spans="7:7" ht="15.75" customHeight="1" x14ac:dyDescent="0.25">
      <c r="G644" s="1"/>
    </row>
    <row r="645" spans="7:7" ht="15.75" customHeight="1" x14ac:dyDescent="0.25">
      <c r="G645" s="1"/>
    </row>
    <row r="646" spans="7:7" ht="15.75" customHeight="1" x14ac:dyDescent="0.25">
      <c r="G646" s="1"/>
    </row>
    <row r="647" spans="7:7" ht="15.75" customHeight="1" x14ac:dyDescent="0.25">
      <c r="G647" s="1"/>
    </row>
    <row r="648" spans="7:7" ht="15.75" customHeight="1" x14ac:dyDescent="0.25">
      <c r="G648" s="1"/>
    </row>
    <row r="649" spans="7:7" ht="15.75" customHeight="1" x14ac:dyDescent="0.25">
      <c r="G649" s="1"/>
    </row>
    <row r="650" spans="7:7" ht="15.75" customHeight="1" x14ac:dyDescent="0.25">
      <c r="G650" s="1"/>
    </row>
    <row r="651" spans="7:7" ht="15.75" customHeight="1" x14ac:dyDescent="0.25">
      <c r="G651" s="1"/>
    </row>
    <row r="652" spans="7:7" ht="15.75" customHeight="1" x14ac:dyDescent="0.25">
      <c r="G652" s="1"/>
    </row>
    <row r="653" spans="7:7" ht="15.75" customHeight="1" x14ac:dyDescent="0.25">
      <c r="G653" s="1"/>
    </row>
    <row r="654" spans="7:7" ht="15.75" customHeight="1" x14ac:dyDescent="0.25">
      <c r="G654" s="1"/>
    </row>
    <row r="655" spans="7:7" ht="15.75" customHeight="1" x14ac:dyDescent="0.25">
      <c r="G655" s="1"/>
    </row>
    <row r="656" spans="7:7" ht="15.75" customHeight="1" x14ac:dyDescent="0.25">
      <c r="G656" s="1"/>
    </row>
    <row r="657" spans="7:7" ht="15.75" customHeight="1" x14ac:dyDescent="0.25">
      <c r="G657" s="1"/>
    </row>
    <row r="658" spans="7:7" ht="15.75" customHeight="1" x14ac:dyDescent="0.25">
      <c r="G658" s="1"/>
    </row>
    <row r="659" spans="7:7" ht="15.75" customHeight="1" x14ac:dyDescent="0.25">
      <c r="G659" s="1"/>
    </row>
    <row r="660" spans="7:7" ht="15.75" customHeight="1" x14ac:dyDescent="0.25">
      <c r="G660" s="1"/>
    </row>
    <row r="661" spans="7:7" ht="15.75" customHeight="1" x14ac:dyDescent="0.25">
      <c r="G661" s="1"/>
    </row>
    <row r="662" spans="7:7" ht="15.75" customHeight="1" x14ac:dyDescent="0.25">
      <c r="G662" s="1"/>
    </row>
    <row r="663" spans="7:7" ht="15.75" customHeight="1" x14ac:dyDescent="0.25">
      <c r="G663" s="1"/>
    </row>
    <row r="664" spans="7:7" ht="15.75" customHeight="1" x14ac:dyDescent="0.25">
      <c r="G664" s="1"/>
    </row>
    <row r="665" spans="7:7" ht="15.75" customHeight="1" x14ac:dyDescent="0.25">
      <c r="G665" s="1"/>
    </row>
    <row r="666" spans="7:7" ht="15.75" customHeight="1" x14ac:dyDescent="0.25">
      <c r="G666" s="1"/>
    </row>
    <row r="667" spans="7:7" ht="15.75" customHeight="1" x14ac:dyDescent="0.25">
      <c r="G667" s="1"/>
    </row>
    <row r="668" spans="7:7" ht="15.75" customHeight="1" x14ac:dyDescent="0.25">
      <c r="G668" s="1"/>
    </row>
    <row r="669" spans="7:7" ht="15.75" customHeight="1" x14ac:dyDescent="0.25">
      <c r="G669" s="1"/>
    </row>
    <row r="670" spans="7:7" ht="15.75" customHeight="1" x14ac:dyDescent="0.25">
      <c r="G670" s="1"/>
    </row>
    <row r="671" spans="7:7" ht="15.75" customHeight="1" x14ac:dyDescent="0.25">
      <c r="G671" s="1"/>
    </row>
    <row r="672" spans="7:7" ht="15.75" customHeight="1" x14ac:dyDescent="0.25">
      <c r="G672" s="1"/>
    </row>
    <row r="673" spans="7:7" ht="15.75" customHeight="1" x14ac:dyDescent="0.25">
      <c r="G673" s="1"/>
    </row>
    <row r="674" spans="7:7" ht="15.75" customHeight="1" x14ac:dyDescent="0.25">
      <c r="G674" s="1"/>
    </row>
    <row r="675" spans="7:7" ht="15.75" customHeight="1" x14ac:dyDescent="0.25">
      <c r="G675" s="1"/>
    </row>
    <row r="676" spans="7:7" ht="15.75" customHeight="1" x14ac:dyDescent="0.25">
      <c r="G676" s="1"/>
    </row>
    <row r="677" spans="7:7" ht="15.75" customHeight="1" x14ac:dyDescent="0.25">
      <c r="G677" s="1"/>
    </row>
    <row r="678" spans="7:7" ht="15.75" customHeight="1" x14ac:dyDescent="0.25">
      <c r="G678" s="1"/>
    </row>
    <row r="679" spans="7:7" ht="15.75" customHeight="1" x14ac:dyDescent="0.25">
      <c r="G679" s="1"/>
    </row>
    <row r="680" spans="7:7" ht="15.75" customHeight="1" x14ac:dyDescent="0.25">
      <c r="G680" s="1"/>
    </row>
    <row r="681" spans="7:7" ht="15.75" customHeight="1" x14ac:dyDescent="0.25">
      <c r="G681" s="1"/>
    </row>
    <row r="682" spans="7:7" ht="15.75" customHeight="1" x14ac:dyDescent="0.25">
      <c r="G682" s="1"/>
    </row>
    <row r="683" spans="7:7" ht="15.75" customHeight="1" x14ac:dyDescent="0.25">
      <c r="G683" s="1"/>
    </row>
    <row r="684" spans="7:7" ht="15.75" customHeight="1" x14ac:dyDescent="0.25">
      <c r="G684" s="1"/>
    </row>
    <row r="685" spans="7:7" ht="15.75" customHeight="1" x14ac:dyDescent="0.25">
      <c r="G685" s="1"/>
    </row>
    <row r="686" spans="7:7" ht="15.75" customHeight="1" x14ac:dyDescent="0.25">
      <c r="G686" s="1"/>
    </row>
    <row r="687" spans="7:7" ht="15.75" customHeight="1" x14ac:dyDescent="0.25">
      <c r="G687" s="1"/>
    </row>
    <row r="688" spans="7:7" ht="15.75" customHeight="1" x14ac:dyDescent="0.25">
      <c r="G688" s="1"/>
    </row>
    <row r="689" spans="7:7" ht="15.75" customHeight="1" x14ac:dyDescent="0.25">
      <c r="G689" s="1"/>
    </row>
    <row r="690" spans="7:7" ht="15.75" customHeight="1" x14ac:dyDescent="0.25">
      <c r="G690" s="1"/>
    </row>
    <row r="691" spans="7:7" ht="15.75" customHeight="1" x14ac:dyDescent="0.25">
      <c r="G691" s="1"/>
    </row>
    <row r="692" spans="7:7" ht="15.75" customHeight="1" x14ac:dyDescent="0.25">
      <c r="G692" s="1"/>
    </row>
    <row r="693" spans="7:7" ht="15.75" customHeight="1" x14ac:dyDescent="0.25">
      <c r="G693" s="1"/>
    </row>
    <row r="694" spans="7:7" ht="15.75" customHeight="1" x14ac:dyDescent="0.25">
      <c r="G694" s="1"/>
    </row>
    <row r="695" spans="7:7" ht="15.75" customHeight="1" x14ac:dyDescent="0.25">
      <c r="G695" s="1"/>
    </row>
    <row r="696" spans="7:7" ht="15.75" customHeight="1" x14ac:dyDescent="0.25">
      <c r="G696" s="1"/>
    </row>
    <row r="697" spans="7:7" ht="15.75" customHeight="1" x14ac:dyDescent="0.25">
      <c r="G697" s="1"/>
    </row>
    <row r="698" spans="7:7" ht="15.75" customHeight="1" x14ac:dyDescent="0.25">
      <c r="G698" s="1"/>
    </row>
    <row r="699" spans="7:7" ht="15.75" customHeight="1" x14ac:dyDescent="0.25">
      <c r="G699" s="1"/>
    </row>
    <row r="700" spans="7:7" ht="15.75" customHeight="1" x14ac:dyDescent="0.25">
      <c r="G700" s="1"/>
    </row>
    <row r="701" spans="7:7" ht="15.75" customHeight="1" x14ac:dyDescent="0.25">
      <c r="G701" s="1"/>
    </row>
    <row r="702" spans="7:7" ht="15.75" customHeight="1" x14ac:dyDescent="0.25">
      <c r="G702" s="1"/>
    </row>
    <row r="703" spans="7:7" ht="15.75" customHeight="1" x14ac:dyDescent="0.25">
      <c r="G703" s="1"/>
    </row>
    <row r="704" spans="7:7" ht="15.75" customHeight="1" x14ac:dyDescent="0.25">
      <c r="G704" s="1"/>
    </row>
    <row r="705" spans="7:7" ht="15.75" customHeight="1" x14ac:dyDescent="0.25">
      <c r="G705" s="1"/>
    </row>
    <row r="706" spans="7:7" ht="15.75" customHeight="1" x14ac:dyDescent="0.25">
      <c r="G706" s="1"/>
    </row>
    <row r="707" spans="7:7" ht="15.75" customHeight="1" x14ac:dyDescent="0.25">
      <c r="G707" s="1"/>
    </row>
    <row r="708" spans="7:7" ht="15.75" customHeight="1" x14ac:dyDescent="0.25">
      <c r="G708" s="1"/>
    </row>
    <row r="709" spans="7:7" ht="15.75" customHeight="1" x14ac:dyDescent="0.25">
      <c r="G709" s="1"/>
    </row>
    <row r="710" spans="7:7" ht="15.75" customHeight="1" x14ac:dyDescent="0.25">
      <c r="G710" s="1"/>
    </row>
    <row r="711" spans="7:7" ht="15.75" customHeight="1" x14ac:dyDescent="0.25">
      <c r="G711" s="1"/>
    </row>
    <row r="712" spans="7:7" ht="15.75" customHeight="1" x14ac:dyDescent="0.25">
      <c r="G712" s="1"/>
    </row>
    <row r="713" spans="7:7" ht="15.75" customHeight="1" x14ac:dyDescent="0.25">
      <c r="G713" s="1"/>
    </row>
    <row r="714" spans="7:7" ht="15.75" customHeight="1" x14ac:dyDescent="0.25">
      <c r="G714" s="1"/>
    </row>
    <row r="715" spans="7:7" ht="15.75" customHeight="1" x14ac:dyDescent="0.25">
      <c r="G715" s="1"/>
    </row>
    <row r="716" spans="7:7" ht="15.75" customHeight="1" x14ac:dyDescent="0.25">
      <c r="G716" s="1"/>
    </row>
    <row r="717" spans="7:7" ht="15.75" customHeight="1" x14ac:dyDescent="0.25">
      <c r="G717" s="1"/>
    </row>
    <row r="718" spans="7:7" ht="15.75" customHeight="1" x14ac:dyDescent="0.25">
      <c r="G718" s="1"/>
    </row>
    <row r="719" spans="7:7" ht="15.75" customHeight="1" x14ac:dyDescent="0.25">
      <c r="G719" s="1"/>
    </row>
    <row r="720" spans="7:7" ht="15.75" customHeight="1" x14ac:dyDescent="0.25">
      <c r="G720" s="1"/>
    </row>
    <row r="721" spans="7:7" ht="15.75" customHeight="1" x14ac:dyDescent="0.25">
      <c r="G721" s="1"/>
    </row>
    <row r="722" spans="7:7" ht="15.75" customHeight="1" x14ac:dyDescent="0.25">
      <c r="G722" s="1"/>
    </row>
    <row r="723" spans="7:7" ht="15.75" customHeight="1" x14ac:dyDescent="0.25">
      <c r="G723" s="1"/>
    </row>
    <row r="724" spans="7:7" ht="15.75" customHeight="1" x14ac:dyDescent="0.25">
      <c r="G724" s="1"/>
    </row>
    <row r="725" spans="7:7" ht="15.75" customHeight="1" x14ac:dyDescent="0.25">
      <c r="G725" s="1"/>
    </row>
    <row r="726" spans="7:7" ht="15.75" customHeight="1" x14ac:dyDescent="0.25">
      <c r="G726" s="1"/>
    </row>
    <row r="727" spans="7:7" ht="15.75" customHeight="1" x14ac:dyDescent="0.25">
      <c r="G727" s="1"/>
    </row>
    <row r="728" spans="7:7" ht="15.75" customHeight="1" x14ac:dyDescent="0.25">
      <c r="G728" s="1"/>
    </row>
    <row r="729" spans="7:7" ht="15.75" customHeight="1" x14ac:dyDescent="0.25">
      <c r="G729" s="1"/>
    </row>
    <row r="730" spans="7:7" ht="15.75" customHeight="1" x14ac:dyDescent="0.25">
      <c r="G730" s="1"/>
    </row>
    <row r="731" spans="7:7" ht="15.75" customHeight="1" x14ac:dyDescent="0.25">
      <c r="G731" s="1"/>
    </row>
    <row r="732" spans="7:7" ht="15.75" customHeight="1" x14ac:dyDescent="0.25">
      <c r="G732" s="1"/>
    </row>
    <row r="733" spans="7:7" ht="15.75" customHeight="1" x14ac:dyDescent="0.25">
      <c r="G733" s="1"/>
    </row>
    <row r="734" spans="7:7" ht="15.75" customHeight="1" x14ac:dyDescent="0.25">
      <c r="G734" s="1"/>
    </row>
    <row r="735" spans="7:7" ht="15.75" customHeight="1" x14ac:dyDescent="0.25">
      <c r="G735" s="1"/>
    </row>
    <row r="736" spans="7:7" ht="15.75" customHeight="1" x14ac:dyDescent="0.25">
      <c r="G736" s="1"/>
    </row>
    <row r="737" spans="7:7" ht="15.75" customHeight="1" x14ac:dyDescent="0.25">
      <c r="G737" s="1"/>
    </row>
    <row r="738" spans="7:7" ht="15.75" customHeight="1" x14ac:dyDescent="0.25">
      <c r="G738" s="1"/>
    </row>
    <row r="739" spans="7:7" ht="15.75" customHeight="1" x14ac:dyDescent="0.25">
      <c r="G739" s="1"/>
    </row>
    <row r="740" spans="7:7" ht="15.75" customHeight="1" x14ac:dyDescent="0.25">
      <c r="G740" s="1"/>
    </row>
    <row r="741" spans="7:7" ht="15.75" customHeight="1" x14ac:dyDescent="0.25">
      <c r="G741" s="1"/>
    </row>
    <row r="742" spans="7:7" ht="15.75" customHeight="1" x14ac:dyDescent="0.25">
      <c r="G742" s="1"/>
    </row>
    <row r="743" spans="7:7" ht="15.75" customHeight="1" x14ac:dyDescent="0.25">
      <c r="G743" s="1"/>
    </row>
    <row r="744" spans="7:7" ht="15.75" customHeight="1" x14ac:dyDescent="0.25">
      <c r="G744" s="1"/>
    </row>
    <row r="745" spans="7:7" ht="15.75" customHeight="1" x14ac:dyDescent="0.25">
      <c r="G745" s="1"/>
    </row>
    <row r="746" spans="7:7" ht="15.75" customHeight="1" x14ac:dyDescent="0.25">
      <c r="G746" s="1"/>
    </row>
    <row r="747" spans="7:7" ht="15.75" customHeight="1" x14ac:dyDescent="0.25">
      <c r="G747" s="1"/>
    </row>
    <row r="748" spans="7:7" ht="15.75" customHeight="1" x14ac:dyDescent="0.25">
      <c r="G748" s="1"/>
    </row>
    <row r="749" spans="7:7" ht="15.75" customHeight="1" x14ac:dyDescent="0.25">
      <c r="G749" s="1"/>
    </row>
    <row r="750" spans="7:7" ht="15.75" customHeight="1" x14ac:dyDescent="0.25">
      <c r="G750" s="1"/>
    </row>
    <row r="751" spans="7:7" ht="15.75" customHeight="1" x14ac:dyDescent="0.25">
      <c r="G751" s="1"/>
    </row>
    <row r="752" spans="7:7" ht="15.75" customHeight="1" x14ac:dyDescent="0.25">
      <c r="G752" s="1"/>
    </row>
    <row r="753" spans="7:7" ht="15.75" customHeight="1" x14ac:dyDescent="0.25">
      <c r="G753" s="1"/>
    </row>
    <row r="754" spans="7:7" ht="15.75" customHeight="1" x14ac:dyDescent="0.25">
      <c r="G754" s="1"/>
    </row>
    <row r="755" spans="7:7" ht="15.75" customHeight="1" x14ac:dyDescent="0.25">
      <c r="G755" s="1"/>
    </row>
    <row r="756" spans="7:7" ht="15.75" customHeight="1" x14ac:dyDescent="0.25">
      <c r="G756" s="1"/>
    </row>
    <row r="757" spans="7:7" ht="15.75" customHeight="1" x14ac:dyDescent="0.25">
      <c r="G757" s="1"/>
    </row>
    <row r="758" spans="7:7" ht="15.75" customHeight="1" x14ac:dyDescent="0.25">
      <c r="G758" s="1"/>
    </row>
    <row r="759" spans="7:7" ht="15.75" customHeight="1" x14ac:dyDescent="0.25">
      <c r="G759" s="1"/>
    </row>
    <row r="760" spans="7:7" ht="15.75" customHeight="1" x14ac:dyDescent="0.25">
      <c r="G760" s="1"/>
    </row>
    <row r="761" spans="7:7" ht="15.75" customHeight="1" x14ac:dyDescent="0.25">
      <c r="G761" s="1"/>
    </row>
    <row r="762" spans="7:7" ht="15.75" customHeight="1" x14ac:dyDescent="0.25">
      <c r="G762" s="1"/>
    </row>
    <row r="763" spans="7:7" ht="15.75" customHeight="1" x14ac:dyDescent="0.25">
      <c r="G763" s="1"/>
    </row>
    <row r="764" spans="7:7" ht="15.75" customHeight="1" x14ac:dyDescent="0.25">
      <c r="G764" s="1"/>
    </row>
    <row r="765" spans="7:7" ht="15.75" customHeight="1" x14ac:dyDescent="0.25">
      <c r="G765" s="1"/>
    </row>
    <row r="766" spans="7:7" ht="15.75" customHeight="1" x14ac:dyDescent="0.25">
      <c r="G766" s="1"/>
    </row>
    <row r="767" spans="7:7" ht="15.75" customHeight="1" x14ac:dyDescent="0.25">
      <c r="G767" s="1"/>
    </row>
    <row r="768" spans="7:7" ht="15.75" customHeight="1" x14ac:dyDescent="0.25">
      <c r="G768" s="1"/>
    </row>
    <row r="769" spans="7:7" ht="15.75" customHeight="1" x14ac:dyDescent="0.25">
      <c r="G769" s="1"/>
    </row>
    <row r="770" spans="7:7" ht="15.75" customHeight="1" x14ac:dyDescent="0.25">
      <c r="G770" s="1"/>
    </row>
    <row r="771" spans="7:7" ht="15.75" customHeight="1" x14ac:dyDescent="0.25">
      <c r="G771" s="1"/>
    </row>
    <row r="772" spans="7:7" ht="15.75" customHeight="1" x14ac:dyDescent="0.25">
      <c r="G772" s="1"/>
    </row>
    <row r="773" spans="7:7" ht="15.75" customHeight="1" x14ac:dyDescent="0.25">
      <c r="G773" s="1"/>
    </row>
    <row r="774" spans="7:7" ht="15.75" customHeight="1" x14ac:dyDescent="0.25">
      <c r="G774" s="1"/>
    </row>
    <row r="775" spans="7:7" ht="15.75" customHeight="1" x14ac:dyDescent="0.25">
      <c r="G775" s="1"/>
    </row>
    <row r="776" spans="7:7" ht="15.75" customHeight="1" x14ac:dyDescent="0.25">
      <c r="G776" s="1"/>
    </row>
    <row r="777" spans="7:7" ht="15.75" customHeight="1" x14ac:dyDescent="0.25">
      <c r="G777" s="1"/>
    </row>
    <row r="778" spans="7:7" ht="15.75" customHeight="1" x14ac:dyDescent="0.25">
      <c r="G778" s="1"/>
    </row>
    <row r="779" spans="7:7" ht="15.75" customHeight="1" x14ac:dyDescent="0.25">
      <c r="G779" s="1"/>
    </row>
    <row r="780" spans="7:7" ht="15.75" customHeight="1" x14ac:dyDescent="0.25">
      <c r="G780" s="1"/>
    </row>
    <row r="781" spans="7:7" ht="15.75" customHeight="1" x14ac:dyDescent="0.25">
      <c r="G781" s="1"/>
    </row>
    <row r="782" spans="7:7" ht="15.75" customHeight="1" x14ac:dyDescent="0.25">
      <c r="G782" s="1"/>
    </row>
    <row r="783" spans="7:7" ht="15.75" customHeight="1" x14ac:dyDescent="0.25">
      <c r="G783" s="1"/>
    </row>
    <row r="784" spans="7:7" ht="15.75" customHeight="1" x14ac:dyDescent="0.25">
      <c r="G784" s="1"/>
    </row>
    <row r="785" spans="7:7" ht="15.75" customHeight="1" x14ac:dyDescent="0.25">
      <c r="G785" s="1"/>
    </row>
    <row r="786" spans="7:7" ht="15.75" customHeight="1" x14ac:dyDescent="0.25">
      <c r="G786" s="1"/>
    </row>
    <row r="787" spans="7:7" ht="15.75" customHeight="1" x14ac:dyDescent="0.25">
      <c r="G787" s="1"/>
    </row>
    <row r="788" spans="7:7" ht="15.75" customHeight="1" x14ac:dyDescent="0.25">
      <c r="G788" s="1"/>
    </row>
    <row r="789" spans="7:7" ht="15.75" customHeight="1" x14ac:dyDescent="0.25">
      <c r="G789" s="1"/>
    </row>
    <row r="790" spans="7:7" ht="15.75" customHeight="1" x14ac:dyDescent="0.25">
      <c r="G790" s="1"/>
    </row>
    <row r="791" spans="7:7" ht="15.75" customHeight="1" x14ac:dyDescent="0.25">
      <c r="G791" s="1"/>
    </row>
    <row r="792" spans="7:7" ht="15.75" customHeight="1" x14ac:dyDescent="0.25">
      <c r="G792" s="1"/>
    </row>
    <row r="793" spans="7:7" ht="15.75" customHeight="1" x14ac:dyDescent="0.25">
      <c r="G793" s="1"/>
    </row>
    <row r="794" spans="7:7" ht="15.75" customHeight="1" x14ac:dyDescent="0.25">
      <c r="G794" s="1"/>
    </row>
    <row r="795" spans="7:7" ht="15.75" customHeight="1" x14ac:dyDescent="0.25">
      <c r="G795" s="1"/>
    </row>
    <row r="796" spans="7:7" ht="15.75" customHeight="1" x14ac:dyDescent="0.25">
      <c r="G796" s="1"/>
    </row>
    <row r="797" spans="7:7" ht="15.75" customHeight="1" x14ac:dyDescent="0.25">
      <c r="G797" s="1"/>
    </row>
    <row r="798" spans="7:7" ht="15.75" customHeight="1" x14ac:dyDescent="0.25">
      <c r="G798" s="1"/>
    </row>
    <row r="799" spans="7:7" ht="15.75" customHeight="1" x14ac:dyDescent="0.25">
      <c r="G799" s="1"/>
    </row>
    <row r="800" spans="7:7" ht="15.75" customHeight="1" x14ac:dyDescent="0.25">
      <c r="G800" s="1"/>
    </row>
    <row r="801" spans="7:7" ht="15.75" customHeight="1" x14ac:dyDescent="0.25">
      <c r="G801" s="1"/>
    </row>
    <row r="802" spans="7:7" ht="15.75" customHeight="1" x14ac:dyDescent="0.25">
      <c r="G802" s="1"/>
    </row>
    <row r="803" spans="7:7" ht="15.75" customHeight="1" x14ac:dyDescent="0.25">
      <c r="G803" s="1"/>
    </row>
    <row r="804" spans="7:7" ht="15.75" customHeight="1" x14ac:dyDescent="0.25">
      <c r="G804" s="1"/>
    </row>
    <row r="805" spans="7:7" ht="15.75" customHeight="1" x14ac:dyDescent="0.25">
      <c r="G805" s="1"/>
    </row>
    <row r="806" spans="7:7" ht="15.75" customHeight="1" x14ac:dyDescent="0.25">
      <c r="G806" s="1"/>
    </row>
    <row r="807" spans="7:7" ht="15.75" customHeight="1" x14ac:dyDescent="0.25">
      <c r="G807" s="1"/>
    </row>
    <row r="808" spans="7:7" ht="15.75" customHeight="1" x14ac:dyDescent="0.25">
      <c r="G808" s="1"/>
    </row>
    <row r="809" spans="7:7" ht="15.75" customHeight="1" x14ac:dyDescent="0.25">
      <c r="G809" s="1"/>
    </row>
    <row r="810" spans="7:7" ht="15.75" customHeight="1" x14ac:dyDescent="0.25">
      <c r="G810" s="1"/>
    </row>
    <row r="811" spans="7:7" ht="15.75" customHeight="1" x14ac:dyDescent="0.25">
      <c r="G811" s="1"/>
    </row>
    <row r="812" spans="7:7" ht="15.75" customHeight="1" x14ac:dyDescent="0.25">
      <c r="G812" s="1"/>
    </row>
    <row r="813" spans="7:7" ht="15.75" customHeight="1" x14ac:dyDescent="0.25">
      <c r="G813" s="1"/>
    </row>
    <row r="814" spans="7:7" ht="15.75" customHeight="1" x14ac:dyDescent="0.25">
      <c r="G814" s="1"/>
    </row>
    <row r="815" spans="7:7" ht="15.75" customHeight="1" x14ac:dyDescent="0.25">
      <c r="G815" s="1"/>
    </row>
    <row r="816" spans="7:7" ht="15.75" customHeight="1" x14ac:dyDescent="0.25">
      <c r="G816" s="1"/>
    </row>
    <row r="817" spans="7:7" ht="15.75" customHeight="1" x14ac:dyDescent="0.25">
      <c r="G817" s="1"/>
    </row>
    <row r="818" spans="7:7" ht="15.75" customHeight="1" x14ac:dyDescent="0.25">
      <c r="G818" s="1"/>
    </row>
    <row r="819" spans="7:7" ht="15.75" customHeight="1" x14ac:dyDescent="0.25">
      <c r="G819" s="1"/>
    </row>
    <row r="820" spans="7:7" ht="15.75" customHeight="1" x14ac:dyDescent="0.25">
      <c r="G820" s="1"/>
    </row>
    <row r="821" spans="7:7" ht="15.75" customHeight="1" x14ac:dyDescent="0.25">
      <c r="G821" s="1"/>
    </row>
    <row r="822" spans="7:7" ht="15.75" customHeight="1" x14ac:dyDescent="0.25">
      <c r="G822" s="1"/>
    </row>
    <row r="823" spans="7:7" ht="15.75" customHeight="1" x14ac:dyDescent="0.25">
      <c r="G823" s="1"/>
    </row>
    <row r="824" spans="7:7" ht="15.75" customHeight="1" x14ac:dyDescent="0.25">
      <c r="G824" s="1"/>
    </row>
    <row r="825" spans="7:7" ht="15.75" customHeight="1" x14ac:dyDescent="0.25">
      <c r="G825" s="1"/>
    </row>
    <row r="826" spans="7:7" ht="15.75" customHeight="1" x14ac:dyDescent="0.25">
      <c r="G826" s="1"/>
    </row>
    <row r="827" spans="7:7" ht="15.75" customHeight="1" x14ac:dyDescent="0.25">
      <c r="G827" s="1"/>
    </row>
    <row r="828" spans="7:7" ht="15.75" customHeight="1" x14ac:dyDescent="0.25">
      <c r="G828" s="1"/>
    </row>
    <row r="829" spans="7:7" ht="15.75" customHeight="1" x14ac:dyDescent="0.25">
      <c r="G829" s="1"/>
    </row>
    <row r="830" spans="7:7" ht="15.75" customHeight="1" x14ac:dyDescent="0.25">
      <c r="G830" s="1"/>
    </row>
    <row r="831" spans="7:7" ht="15.75" customHeight="1" x14ac:dyDescent="0.25">
      <c r="G831" s="1"/>
    </row>
    <row r="832" spans="7:7" ht="15.75" customHeight="1" x14ac:dyDescent="0.25">
      <c r="G832" s="1"/>
    </row>
    <row r="833" spans="7:7" ht="15.75" customHeight="1" x14ac:dyDescent="0.25">
      <c r="G833" s="1"/>
    </row>
    <row r="834" spans="7:7" ht="15.75" customHeight="1" x14ac:dyDescent="0.25">
      <c r="G834" s="1"/>
    </row>
    <row r="835" spans="7:7" ht="15.75" customHeight="1" x14ac:dyDescent="0.25">
      <c r="G835" s="1"/>
    </row>
    <row r="836" spans="7:7" ht="15.75" customHeight="1" x14ac:dyDescent="0.25">
      <c r="G836" s="1"/>
    </row>
    <row r="837" spans="7:7" ht="15.75" customHeight="1" x14ac:dyDescent="0.25">
      <c r="G837" s="1"/>
    </row>
    <row r="838" spans="7:7" ht="15.75" customHeight="1" x14ac:dyDescent="0.25">
      <c r="G838" s="1"/>
    </row>
    <row r="839" spans="7:7" ht="15.75" customHeight="1" x14ac:dyDescent="0.25">
      <c r="G839" s="1"/>
    </row>
    <row r="840" spans="7:7" ht="15.75" customHeight="1" x14ac:dyDescent="0.25">
      <c r="G840" s="1"/>
    </row>
    <row r="841" spans="7:7" ht="15.75" customHeight="1" x14ac:dyDescent="0.25">
      <c r="G841" s="1"/>
    </row>
    <row r="842" spans="7:7" ht="15.75" customHeight="1" x14ac:dyDescent="0.25">
      <c r="G842" s="1"/>
    </row>
    <row r="843" spans="7:7" ht="15.75" customHeight="1" x14ac:dyDescent="0.25">
      <c r="G843" s="1"/>
    </row>
    <row r="844" spans="7:7" ht="15.75" customHeight="1" x14ac:dyDescent="0.25">
      <c r="G844" s="1"/>
    </row>
    <row r="845" spans="7:7" ht="15.75" customHeight="1" x14ac:dyDescent="0.25">
      <c r="G845" s="1"/>
    </row>
    <row r="846" spans="7:7" ht="15.75" customHeight="1" x14ac:dyDescent="0.25">
      <c r="G846" s="1"/>
    </row>
    <row r="847" spans="7:7" ht="15.75" customHeight="1" x14ac:dyDescent="0.25">
      <c r="G847" s="1"/>
    </row>
    <row r="848" spans="7:7" ht="15.75" customHeight="1" x14ac:dyDescent="0.25">
      <c r="G848" s="1"/>
    </row>
    <row r="849" spans="7:7" ht="15.75" customHeight="1" x14ac:dyDescent="0.25">
      <c r="G849" s="1"/>
    </row>
    <row r="850" spans="7:7" ht="15.75" customHeight="1" x14ac:dyDescent="0.25">
      <c r="G850" s="1"/>
    </row>
    <row r="851" spans="7:7" ht="15.75" customHeight="1" x14ac:dyDescent="0.25">
      <c r="G851" s="1"/>
    </row>
    <row r="852" spans="7:7" ht="15.75" customHeight="1" x14ac:dyDescent="0.25">
      <c r="G852" s="1"/>
    </row>
    <row r="853" spans="7:7" ht="15.75" customHeight="1" x14ac:dyDescent="0.25">
      <c r="G853" s="1"/>
    </row>
    <row r="854" spans="7:7" ht="15.75" customHeight="1" x14ac:dyDescent="0.25">
      <c r="G854" s="1"/>
    </row>
    <row r="855" spans="7:7" ht="15.75" customHeight="1" x14ac:dyDescent="0.25">
      <c r="G855" s="1"/>
    </row>
    <row r="856" spans="7:7" ht="15.75" customHeight="1" x14ac:dyDescent="0.25">
      <c r="G856" s="1"/>
    </row>
    <row r="857" spans="7:7" ht="15.75" customHeight="1" x14ac:dyDescent="0.25">
      <c r="G857" s="1"/>
    </row>
    <row r="858" spans="7:7" ht="15.75" customHeight="1" x14ac:dyDescent="0.25">
      <c r="G858" s="1"/>
    </row>
    <row r="859" spans="7:7" ht="15.75" customHeight="1" x14ac:dyDescent="0.25">
      <c r="G859" s="1"/>
    </row>
    <row r="860" spans="7:7" ht="15.75" customHeight="1" x14ac:dyDescent="0.25">
      <c r="G860" s="1"/>
    </row>
    <row r="861" spans="7:7" ht="15.75" customHeight="1" x14ac:dyDescent="0.25">
      <c r="G861" s="1"/>
    </row>
    <row r="862" spans="7:7" ht="15.75" customHeight="1" x14ac:dyDescent="0.25">
      <c r="G862" s="1"/>
    </row>
    <row r="863" spans="7:7" ht="15.75" customHeight="1" x14ac:dyDescent="0.25">
      <c r="G863" s="1"/>
    </row>
    <row r="864" spans="7:7" ht="15.75" customHeight="1" x14ac:dyDescent="0.25">
      <c r="G864" s="1"/>
    </row>
    <row r="865" spans="7:7" ht="15.75" customHeight="1" x14ac:dyDescent="0.25">
      <c r="G865" s="1"/>
    </row>
    <row r="866" spans="7:7" ht="15.75" customHeight="1" x14ac:dyDescent="0.25">
      <c r="G866" s="1"/>
    </row>
    <row r="867" spans="7:7" ht="15.75" customHeight="1" x14ac:dyDescent="0.25">
      <c r="G867" s="1"/>
    </row>
    <row r="868" spans="7:7" ht="15.75" customHeight="1" x14ac:dyDescent="0.25">
      <c r="G868" s="1"/>
    </row>
    <row r="869" spans="7:7" ht="15.75" customHeight="1" x14ac:dyDescent="0.25">
      <c r="G869" s="1"/>
    </row>
    <row r="870" spans="7:7" ht="15.75" customHeight="1" x14ac:dyDescent="0.25">
      <c r="G870" s="1"/>
    </row>
    <row r="871" spans="7:7" ht="15.75" customHeight="1" x14ac:dyDescent="0.25">
      <c r="G871" s="1"/>
    </row>
    <row r="872" spans="7:7" ht="15.75" customHeight="1" x14ac:dyDescent="0.25">
      <c r="G872" s="1"/>
    </row>
    <row r="873" spans="7:7" ht="15.75" customHeight="1" x14ac:dyDescent="0.25">
      <c r="G873" s="1"/>
    </row>
    <row r="874" spans="7:7" ht="15.75" customHeight="1" x14ac:dyDescent="0.25">
      <c r="G874" s="1"/>
    </row>
    <row r="875" spans="7:7" ht="15.75" customHeight="1" x14ac:dyDescent="0.25">
      <c r="G875" s="1"/>
    </row>
    <row r="876" spans="7:7" ht="15.75" customHeight="1" x14ac:dyDescent="0.25">
      <c r="G876" s="1"/>
    </row>
    <row r="877" spans="7:7" ht="15.75" customHeight="1" x14ac:dyDescent="0.25">
      <c r="G877" s="1"/>
    </row>
    <row r="878" spans="7:7" ht="15.75" customHeight="1" x14ac:dyDescent="0.25">
      <c r="G878" s="1"/>
    </row>
    <row r="879" spans="7:7" ht="15.75" customHeight="1" x14ac:dyDescent="0.25">
      <c r="G879" s="1"/>
    </row>
    <row r="880" spans="7:7" ht="15.75" customHeight="1" x14ac:dyDescent="0.25">
      <c r="G880" s="1"/>
    </row>
    <row r="881" spans="7:7" ht="15.75" customHeight="1" x14ac:dyDescent="0.25">
      <c r="G881" s="1"/>
    </row>
    <row r="882" spans="7:7" ht="15.75" customHeight="1" x14ac:dyDescent="0.25">
      <c r="G882" s="1"/>
    </row>
    <row r="883" spans="7:7" ht="15.75" customHeight="1" x14ac:dyDescent="0.25">
      <c r="G883" s="1"/>
    </row>
    <row r="884" spans="7:7" ht="15.75" customHeight="1" x14ac:dyDescent="0.25">
      <c r="G884" s="1"/>
    </row>
    <row r="885" spans="7:7" ht="15.75" customHeight="1" x14ac:dyDescent="0.25">
      <c r="G885" s="1"/>
    </row>
    <row r="886" spans="7:7" ht="15.75" customHeight="1" x14ac:dyDescent="0.25">
      <c r="G886" s="1"/>
    </row>
    <row r="887" spans="7:7" ht="15.75" customHeight="1" x14ac:dyDescent="0.25">
      <c r="G887" s="1"/>
    </row>
    <row r="888" spans="7:7" ht="15.75" customHeight="1" x14ac:dyDescent="0.25">
      <c r="G888" s="1"/>
    </row>
    <row r="889" spans="7:7" ht="15.75" customHeight="1" x14ac:dyDescent="0.25">
      <c r="G889" s="1"/>
    </row>
    <row r="890" spans="7:7" ht="15.75" customHeight="1" x14ac:dyDescent="0.25">
      <c r="G890" s="1"/>
    </row>
    <row r="891" spans="7:7" ht="15.75" customHeight="1" x14ac:dyDescent="0.25">
      <c r="G891" s="1"/>
    </row>
    <row r="892" spans="7:7" ht="15.75" customHeight="1" x14ac:dyDescent="0.25">
      <c r="G892" s="1"/>
    </row>
    <row r="893" spans="7:7" ht="15.75" customHeight="1" x14ac:dyDescent="0.25">
      <c r="G893" s="1"/>
    </row>
    <row r="894" spans="7:7" ht="15.75" customHeight="1" x14ac:dyDescent="0.25">
      <c r="G894" s="1"/>
    </row>
    <row r="895" spans="7:7" ht="15.75" customHeight="1" x14ac:dyDescent="0.25">
      <c r="G895" s="1"/>
    </row>
    <row r="896" spans="7:7" ht="15.75" customHeight="1" x14ac:dyDescent="0.25">
      <c r="G896" s="1"/>
    </row>
    <row r="897" spans="7:7" ht="15.75" customHeight="1" x14ac:dyDescent="0.25">
      <c r="G897" s="1"/>
    </row>
    <row r="898" spans="7:7" ht="15.75" customHeight="1" x14ac:dyDescent="0.25">
      <c r="G898" s="1"/>
    </row>
    <row r="899" spans="7:7" ht="15.75" customHeight="1" x14ac:dyDescent="0.25">
      <c r="G899" s="1"/>
    </row>
    <row r="900" spans="7:7" ht="15.75" customHeight="1" x14ac:dyDescent="0.25">
      <c r="G900" s="1"/>
    </row>
    <row r="901" spans="7:7" ht="15.75" customHeight="1" x14ac:dyDescent="0.25">
      <c r="G901" s="1"/>
    </row>
    <row r="902" spans="7:7" ht="15.75" customHeight="1" x14ac:dyDescent="0.25">
      <c r="G902" s="1"/>
    </row>
    <row r="903" spans="7:7" ht="15.75" customHeight="1" x14ac:dyDescent="0.25">
      <c r="G903" s="1"/>
    </row>
    <row r="904" spans="7:7" ht="15.75" customHeight="1" x14ac:dyDescent="0.25">
      <c r="G904" s="1"/>
    </row>
    <row r="905" spans="7:7" ht="15.75" customHeight="1" x14ac:dyDescent="0.25">
      <c r="G905" s="1"/>
    </row>
    <row r="906" spans="7:7" ht="15.75" customHeight="1" x14ac:dyDescent="0.25">
      <c r="G906" s="1"/>
    </row>
    <row r="907" spans="7:7" ht="15.75" customHeight="1" x14ac:dyDescent="0.25">
      <c r="G907" s="1"/>
    </row>
    <row r="908" spans="7:7" ht="15.75" customHeight="1" x14ac:dyDescent="0.25">
      <c r="G908" s="1"/>
    </row>
    <row r="909" spans="7:7" ht="15.75" customHeight="1" x14ac:dyDescent="0.25">
      <c r="G909" s="1"/>
    </row>
    <row r="910" spans="7:7" ht="15.75" customHeight="1" x14ac:dyDescent="0.25">
      <c r="G910" s="1"/>
    </row>
    <row r="911" spans="7:7" ht="15.75" customHeight="1" x14ac:dyDescent="0.25">
      <c r="G911" s="1"/>
    </row>
    <row r="912" spans="7:7" ht="15.75" customHeight="1" x14ac:dyDescent="0.25">
      <c r="G912" s="1"/>
    </row>
    <row r="913" spans="7:7" ht="15.75" customHeight="1" x14ac:dyDescent="0.25">
      <c r="G913" s="1"/>
    </row>
    <row r="914" spans="7:7" ht="15.75" customHeight="1" x14ac:dyDescent="0.25">
      <c r="G914" s="1"/>
    </row>
    <row r="915" spans="7:7" ht="15.75" customHeight="1" x14ac:dyDescent="0.25">
      <c r="G915" s="1"/>
    </row>
    <row r="916" spans="7:7" ht="15.75" customHeight="1" x14ac:dyDescent="0.25">
      <c r="G916" s="1"/>
    </row>
    <row r="917" spans="7:7" ht="15.75" customHeight="1" x14ac:dyDescent="0.25">
      <c r="G917" s="1"/>
    </row>
    <row r="918" spans="7:7" ht="15.75" customHeight="1" x14ac:dyDescent="0.25">
      <c r="G918" s="1"/>
    </row>
    <row r="919" spans="7:7" ht="15.75" customHeight="1" x14ac:dyDescent="0.25">
      <c r="G919" s="1"/>
    </row>
    <row r="920" spans="7:7" ht="15.75" customHeight="1" x14ac:dyDescent="0.25">
      <c r="G920" s="1"/>
    </row>
    <row r="921" spans="7:7" ht="15.75" customHeight="1" x14ac:dyDescent="0.25">
      <c r="G921" s="1"/>
    </row>
    <row r="922" spans="7:7" ht="15.75" customHeight="1" x14ac:dyDescent="0.25">
      <c r="G922" s="1"/>
    </row>
    <row r="923" spans="7:7" ht="15.75" customHeight="1" x14ac:dyDescent="0.25">
      <c r="G923" s="1"/>
    </row>
    <row r="924" spans="7:7" ht="15.75" customHeight="1" x14ac:dyDescent="0.25">
      <c r="G924" s="1"/>
    </row>
    <row r="925" spans="7:7" ht="15.75" customHeight="1" x14ac:dyDescent="0.25">
      <c r="G925" s="1"/>
    </row>
    <row r="926" spans="7:7" ht="15.75" customHeight="1" x14ac:dyDescent="0.25">
      <c r="G926" s="1"/>
    </row>
    <row r="927" spans="7:7" ht="15.75" customHeight="1" x14ac:dyDescent="0.25">
      <c r="G927" s="1"/>
    </row>
    <row r="928" spans="7:7" ht="15.75" customHeight="1" x14ac:dyDescent="0.25">
      <c r="G928" s="1"/>
    </row>
    <row r="929" spans="7:7" ht="15.75" customHeight="1" x14ac:dyDescent="0.25">
      <c r="G929" s="1"/>
    </row>
    <row r="930" spans="7:7" ht="15.75" customHeight="1" x14ac:dyDescent="0.25">
      <c r="G930" s="1"/>
    </row>
    <row r="931" spans="7:7" ht="15.75" customHeight="1" x14ac:dyDescent="0.25">
      <c r="G931" s="1"/>
    </row>
    <row r="932" spans="7:7" ht="15.75" customHeight="1" x14ac:dyDescent="0.25">
      <c r="G932" s="1"/>
    </row>
    <row r="933" spans="7:7" ht="15.75" customHeight="1" x14ac:dyDescent="0.25">
      <c r="G933" s="1"/>
    </row>
    <row r="934" spans="7:7" ht="15.75" customHeight="1" x14ac:dyDescent="0.25">
      <c r="G934" s="1"/>
    </row>
    <row r="935" spans="7:7" ht="15.75" customHeight="1" x14ac:dyDescent="0.25">
      <c r="G935" s="1"/>
    </row>
    <row r="936" spans="7:7" ht="15.75" customHeight="1" x14ac:dyDescent="0.25">
      <c r="G936" s="1"/>
    </row>
    <row r="937" spans="7:7" ht="15.75" customHeight="1" x14ac:dyDescent="0.25">
      <c r="G937" s="1"/>
    </row>
    <row r="938" spans="7:7" ht="15.75" customHeight="1" x14ac:dyDescent="0.25">
      <c r="G938" s="1"/>
    </row>
    <row r="939" spans="7:7" ht="15.75" customHeight="1" x14ac:dyDescent="0.25">
      <c r="G939" s="1"/>
    </row>
    <row r="940" spans="7:7" ht="15.75" customHeight="1" x14ac:dyDescent="0.25">
      <c r="G940" s="1"/>
    </row>
    <row r="941" spans="7:7" ht="15.75" customHeight="1" x14ac:dyDescent="0.25">
      <c r="G941" s="1"/>
    </row>
    <row r="942" spans="7:7" ht="15.75" customHeight="1" x14ac:dyDescent="0.25">
      <c r="G942" s="1"/>
    </row>
    <row r="943" spans="7:7" ht="15.75" customHeight="1" x14ac:dyDescent="0.25">
      <c r="G943" s="1"/>
    </row>
    <row r="944" spans="7:7" ht="15.75" customHeight="1" x14ac:dyDescent="0.25">
      <c r="G944" s="1"/>
    </row>
    <row r="945" spans="7:7" ht="15.75" customHeight="1" x14ac:dyDescent="0.25">
      <c r="G945" s="1"/>
    </row>
    <row r="946" spans="7:7" ht="15.75" customHeight="1" x14ac:dyDescent="0.25">
      <c r="G946" s="1"/>
    </row>
    <row r="947" spans="7:7" ht="15.75" customHeight="1" x14ac:dyDescent="0.25">
      <c r="G947" s="1"/>
    </row>
    <row r="948" spans="7:7" ht="15.75" customHeight="1" x14ac:dyDescent="0.25">
      <c r="G948" s="1"/>
    </row>
    <row r="949" spans="7:7" ht="15.75" customHeight="1" x14ac:dyDescent="0.25">
      <c r="G949" s="1"/>
    </row>
    <row r="950" spans="7:7" ht="15.75" customHeight="1" x14ac:dyDescent="0.25">
      <c r="G950" s="1"/>
    </row>
    <row r="951" spans="7:7" ht="15.75" customHeight="1" x14ac:dyDescent="0.25">
      <c r="G951" s="1"/>
    </row>
    <row r="952" spans="7:7" ht="15.75" customHeight="1" x14ac:dyDescent="0.25">
      <c r="G952" s="1"/>
    </row>
    <row r="953" spans="7:7" ht="15.75" customHeight="1" x14ac:dyDescent="0.25">
      <c r="G953" s="1"/>
    </row>
    <row r="954" spans="7:7" ht="15.75" customHeight="1" x14ac:dyDescent="0.25">
      <c r="G954" s="1"/>
    </row>
    <row r="955" spans="7:7" ht="15.75" customHeight="1" x14ac:dyDescent="0.25">
      <c r="G955" s="1"/>
    </row>
    <row r="956" spans="7:7" ht="15.75" customHeight="1" x14ac:dyDescent="0.25">
      <c r="G956" s="1"/>
    </row>
    <row r="957" spans="7:7" ht="15.75" customHeight="1" x14ac:dyDescent="0.25">
      <c r="G957" s="1"/>
    </row>
    <row r="958" spans="7:7" ht="15.75" customHeight="1" x14ac:dyDescent="0.25">
      <c r="G958" s="1"/>
    </row>
    <row r="959" spans="7:7" ht="15.75" customHeight="1" x14ac:dyDescent="0.25">
      <c r="G959" s="1"/>
    </row>
    <row r="960" spans="7:7" ht="15.75" customHeight="1" x14ac:dyDescent="0.25">
      <c r="G960" s="1"/>
    </row>
    <row r="961" spans="7:7" ht="15.75" customHeight="1" x14ac:dyDescent="0.25">
      <c r="G961" s="1"/>
    </row>
    <row r="962" spans="7:7" ht="15.75" customHeight="1" x14ac:dyDescent="0.25">
      <c r="G962" s="1"/>
    </row>
    <row r="963" spans="7:7" ht="15.75" customHeight="1" x14ac:dyDescent="0.25">
      <c r="G963" s="1"/>
    </row>
    <row r="964" spans="7:7" ht="15.75" customHeight="1" x14ac:dyDescent="0.25">
      <c r="G964" s="1"/>
    </row>
    <row r="965" spans="7:7" ht="15.75" customHeight="1" x14ac:dyDescent="0.25">
      <c r="G965" s="1"/>
    </row>
    <row r="966" spans="7:7" ht="15.75" customHeight="1" x14ac:dyDescent="0.25">
      <c r="G966" s="1"/>
    </row>
    <row r="967" spans="7:7" ht="15.75" customHeight="1" x14ac:dyDescent="0.25">
      <c r="G967" s="1"/>
    </row>
    <row r="968" spans="7:7" ht="15.75" customHeight="1" x14ac:dyDescent="0.25">
      <c r="G968" s="1"/>
    </row>
    <row r="969" spans="7:7" ht="15.75" customHeight="1" x14ac:dyDescent="0.25">
      <c r="G969" s="1"/>
    </row>
    <row r="970" spans="7:7" ht="15.75" customHeight="1" x14ac:dyDescent="0.25">
      <c r="G970" s="1"/>
    </row>
    <row r="971" spans="7:7" ht="15.75" customHeight="1" x14ac:dyDescent="0.25">
      <c r="G971" s="1"/>
    </row>
    <row r="972" spans="7:7" ht="15.75" customHeight="1" x14ac:dyDescent="0.25">
      <c r="G972" s="1"/>
    </row>
    <row r="973" spans="7:7" ht="15.75" customHeight="1" x14ac:dyDescent="0.25">
      <c r="G973" s="1"/>
    </row>
    <row r="974" spans="7:7" ht="15.75" customHeight="1" x14ac:dyDescent="0.25">
      <c r="G974" s="1"/>
    </row>
    <row r="975" spans="7:7" ht="15.75" customHeight="1" x14ac:dyDescent="0.25">
      <c r="G975" s="1"/>
    </row>
    <row r="976" spans="7:7" ht="15.75" customHeight="1" x14ac:dyDescent="0.25">
      <c r="G976" s="1"/>
    </row>
    <row r="977" spans="7:7" ht="15.75" customHeight="1" x14ac:dyDescent="0.25">
      <c r="G977" s="1"/>
    </row>
    <row r="978" spans="7:7" ht="15.75" customHeight="1" x14ac:dyDescent="0.25">
      <c r="G978" s="1"/>
    </row>
    <row r="979" spans="7:7" ht="15.75" customHeight="1" x14ac:dyDescent="0.25">
      <c r="G979" s="1"/>
    </row>
    <row r="980" spans="7:7" ht="15.75" customHeight="1" x14ac:dyDescent="0.25">
      <c r="G980" s="1"/>
    </row>
    <row r="981" spans="7:7" ht="15.75" customHeight="1" x14ac:dyDescent="0.25">
      <c r="G981" s="1"/>
    </row>
    <row r="982" spans="7:7" ht="15.75" customHeight="1" x14ac:dyDescent="0.25">
      <c r="G982" s="1"/>
    </row>
    <row r="983" spans="7:7" ht="15.75" customHeight="1" x14ac:dyDescent="0.25">
      <c r="G983" s="1"/>
    </row>
    <row r="984" spans="7:7" ht="15.75" customHeight="1" x14ac:dyDescent="0.25">
      <c r="G984" s="1"/>
    </row>
    <row r="985" spans="7:7" ht="15.75" customHeight="1" x14ac:dyDescent="0.25">
      <c r="G985" s="1"/>
    </row>
    <row r="986" spans="7:7" ht="15.75" customHeight="1" x14ac:dyDescent="0.25">
      <c r="G986" s="1"/>
    </row>
    <row r="987" spans="7:7" ht="15.75" customHeight="1" x14ac:dyDescent="0.25">
      <c r="G987" s="1"/>
    </row>
    <row r="988" spans="7:7" ht="15.75" customHeight="1" x14ac:dyDescent="0.25">
      <c r="G988" s="1"/>
    </row>
    <row r="989" spans="7:7" ht="15.75" customHeight="1" x14ac:dyDescent="0.25">
      <c r="G989" s="1"/>
    </row>
    <row r="990" spans="7:7" ht="15.75" customHeight="1" x14ac:dyDescent="0.25">
      <c r="G990" s="1"/>
    </row>
    <row r="991" spans="7:7" ht="15.75" customHeight="1" x14ac:dyDescent="0.25">
      <c r="G991" s="1"/>
    </row>
    <row r="992" spans="7:7" ht="15.75" customHeight="1" x14ac:dyDescent="0.25">
      <c r="G992" s="1"/>
    </row>
    <row r="993" spans="7:7" ht="15.75" customHeight="1" x14ac:dyDescent="0.25">
      <c r="G993" s="1"/>
    </row>
    <row r="994" spans="7:7" ht="15.75" customHeight="1" x14ac:dyDescent="0.25">
      <c r="G994" s="1"/>
    </row>
    <row r="995" spans="7:7" ht="15.75" customHeight="1" x14ac:dyDescent="0.25">
      <c r="G995" s="1"/>
    </row>
    <row r="996" spans="7:7" ht="15.75" customHeight="1" x14ac:dyDescent="0.25">
      <c r="G996" s="1"/>
    </row>
    <row r="997" spans="7:7" ht="15.75" customHeight="1" x14ac:dyDescent="0.25">
      <c r="G997" s="1"/>
    </row>
    <row r="998" spans="7:7" ht="15.75" customHeight="1" x14ac:dyDescent="0.25">
      <c r="G998" s="1"/>
    </row>
    <row r="999" spans="7:7" ht="15.75" customHeight="1" x14ac:dyDescent="0.25">
      <c r="G999" s="1"/>
    </row>
    <row r="1000" spans="7:7" ht="15.75" customHeight="1" x14ac:dyDescent="0.25">
      <c r="G1000" s="1"/>
    </row>
  </sheetData>
  <conditionalFormatting sqref="A2:K180">
    <cfRule type="containsBlanks" dxfId="5" priority="1">
      <formula>LEN(TRIM(A2))=0</formula>
    </cfRule>
  </conditionalFormatting>
  <printOptions horizontalCentered="1"/>
  <pageMargins left="0.7" right="0.7" top="0.75" bottom="0.75" header="0" footer="0"/>
  <pageSetup paperSize="9" orientation="landscape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9DC3E6"/>
  </sheetPr>
  <dimension ref="A1:AB1000"/>
  <sheetViews>
    <sheetView workbookViewId="0">
      <pane ySplit="1" topLeftCell="A2" activePane="bottomLeft" state="frozen"/>
      <selection pane="bottomLeft" activeCell="B3" sqref="B3"/>
    </sheetView>
  </sheetViews>
  <sheetFormatPr baseColWidth="10" defaultColWidth="12.6328125" defaultRowHeight="15" customHeight="1" x14ac:dyDescent="0.25"/>
  <cols>
    <col min="1" max="1" width="5.6328125" customWidth="1"/>
    <col min="2" max="2" width="8" customWidth="1"/>
    <col min="3" max="3" width="17.26953125" customWidth="1"/>
    <col min="4" max="4" width="13.90625" customWidth="1"/>
    <col min="5" max="6" width="5.36328125" customWidth="1"/>
    <col min="7" max="21" width="8.26953125" customWidth="1"/>
    <col min="22" max="28" width="7" customWidth="1"/>
  </cols>
  <sheetData>
    <row r="1" spans="1:28" ht="13.5" customHeight="1" x14ac:dyDescent="0.25">
      <c r="A1" s="48" t="s">
        <v>0</v>
      </c>
      <c r="B1" s="48" t="s">
        <v>1</v>
      </c>
      <c r="C1" s="49" t="s">
        <v>2</v>
      </c>
      <c r="D1" s="49" t="s">
        <v>3</v>
      </c>
      <c r="E1" s="48" t="s">
        <v>4</v>
      </c>
      <c r="F1" s="48" t="s">
        <v>5</v>
      </c>
      <c r="G1" s="50" t="s">
        <v>6</v>
      </c>
      <c r="H1" s="48" t="s">
        <v>7</v>
      </c>
      <c r="I1" s="48" t="s">
        <v>8</v>
      </c>
      <c r="J1" s="48" t="s">
        <v>9</v>
      </c>
      <c r="K1" s="48" t="s">
        <v>10</v>
      </c>
      <c r="L1" s="5"/>
      <c r="M1" s="6"/>
      <c r="N1" s="6"/>
      <c r="O1" s="6"/>
      <c r="P1" s="6"/>
      <c r="Q1" s="6"/>
      <c r="R1" s="6"/>
      <c r="S1" s="6"/>
      <c r="T1" s="6"/>
      <c r="U1" s="6"/>
      <c r="V1" s="7"/>
      <c r="W1" s="7"/>
      <c r="X1" s="7"/>
      <c r="Y1" s="7"/>
      <c r="Z1" s="8"/>
      <c r="AA1" s="9"/>
      <c r="AB1" s="10"/>
    </row>
    <row r="2" spans="1:28" ht="13.5" customHeight="1" x14ac:dyDescent="0.35">
      <c r="A2" s="11">
        <f ca="1">IFERROR(__xludf.DUMMYFUNCTION("importrange(""https://docs.google.com/spreadsheets/d/1b5MDXOVAvyXtPAhaTJQ4VklV1IVuMDIMPSQ0egEui-k/edit?gid=1004591596#gid=1004591596"",""Resultats_F!A2:O180"")"),1)</f>
        <v>1</v>
      </c>
      <c r="B2" s="12" t="str">
        <f ca="1">IFERROR(__xludf.DUMMYFUNCTION("""COMPUTED_VALUE"""),"192")</f>
        <v>192</v>
      </c>
      <c r="C2" s="13" t="str">
        <f ca="1">IFERROR(__xludf.DUMMYFUNCTION("""COMPUTED_VALUE"""),"CHERIF")</f>
        <v>CHERIF</v>
      </c>
      <c r="D2" s="14" t="str">
        <f ca="1">IFERROR(__xludf.DUMMYFUNCTION("""COMPUTED_VALUE"""),"FARAH")</f>
        <v>FARAH</v>
      </c>
      <c r="E2" s="15" t="str">
        <f ca="1">IFERROR(__xludf.DUMMYFUNCTION("""COMPUTED_VALUE"""),"SF4")</f>
        <v>SF4</v>
      </c>
      <c r="F2" s="15">
        <f ca="1">IFERROR(__xludf.DUMMYFUNCTION("""COMPUTED_VALUE"""),1)</f>
        <v>1</v>
      </c>
      <c r="G2" s="16">
        <f ca="1">IFERROR(__xludf.DUMMYFUNCTION("""COMPUTED_VALUE"""),0.0193055565683299)</f>
        <v>1.9305556568329899E-2</v>
      </c>
      <c r="H2" s="17">
        <f ca="1">IFERROR(__xludf.DUMMYFUNCTION("""COMPUTED_VALUE"""),0.00300925934366088)</f>
        <v>3.0092593436608799E-3</v>
      </c>
      <c r="I2" s="17">
        <f ca="1">IFERROR(__xludf.DUMMYFUNCTION("""COMPUTED_VALUE"""),0.00812500001992821)</f>
        <v>8.1250000199282104E-3</v>
      </c>
      <c r="J2" s="17">
        <f ca="1">IFERROR(__xludf.DUMMYFUNCTION("""COMPUTED_VALUE"""),0.00746527863441882)</f>
        <v>7.4652786344188201E-3</v>
      </c>
      <c r="K2" s="18">
        <f ca="1">IFERROR(__xludf.DUMMYFUNCTION("""COMPUTED_VALUE"""),0.000706018570322015)</f>
        <v>7.0601857032201497E-4</v>
      </c>
      <c r="L2" s="19"/>
      <c r="M2" s="19"/>
      <c r="N2" s="19"/>
      <c r="O2" s="19"/>
      <c r="P2" s="19"/>
      <c r="Q2" s="19"/>
      <c r="R2" s="19"/>
      <c r="S2" s="19"/>
      <c r="T2" s="19"/>
      <c r="U2" s="19"/>
      <c r="V2" s="20"/>
      <c r="W2" s="20"/>
      <c r="X2" s="20"/>
      <c r="Y2" s="20"/>
      <c r="Z2" s="21"/>
      <c r="AA2" s="22"/>
      <c r="AB2" s="23"/>
    </row>
    <row r="3" spans="1:28" ht="13.5" customHeight="1" x14ac:dyDescent="0.35">
      <c r="A3" s="24">
        <f ca="1">IFERROR(__xludf.DUMMYFUNCTION("""COMPUTED_VALUE"""),2)</f>
        <v>2</v>
      </c>
      <c r="B3" s="25" t="str">
        <f ca="1">IFERROR(__xludf.DUMMYFUNCTION("""COMPUTED_VALUE"""),"206")</f>
        <v>206</v>
      </c>
      <c r="C3" s="26" t="str">
        <f ca="1">IFERROR(__xludf.DUMMYFUNCTION("""COMPUTED_VALUE"""),"PIPITONE FEDERICO")</f>
        <v>PIPITONE FEDERICO</v>
      </c>
      <c r="D3" s="27" t="str">
        <f ca="1">IFERROR(__xludf.DUMMYFUNCTION("""COMPUTED_VALUE"""),"ALESSANDRA")</f>
        <v>ALESSANDRA</v>
      </c>
      <c r="E3" s="15" t="str">
        <f ca="1">IFERROR(__xludf.DUMMYFUNCTION("""COMPUTED_VALUE"""),"SF4")</f>
        <v>SF4</v>
      </c>
      <c r="F3" s="28">
        <f ca="1">IFERROR(__xludf.DUMMYFUNCTION("""COMPUTED_VALUE"""),2)</f>
        <v>2</v>
      </c>
      <c r="G3" s="16">
        <f ca="1">IFERROR(__xludf.DUMMYFUNCTION("""COMPUTED_VALUE"""),0.0199652788019672)</f>
        <v>1.99652788019672E-2</v>
      </c>
      <c r="H3" s="17">
        <f ca="1">IFERROR(__xludf.DUMMYFUNCTION("""COMPUTED_VALUE"""),0.0035069444452285)</f>
        <v>3.5069444452285E-3</v>
      </c>
      <c r="I3" s="17">
        <f ca="1">IFERROR(__xludf.DUMMYFUNCTION("""COMPUTED_VALUE"""),0.00753472229450451)</f>
        <v>7.53472229450451E-3</v>
      </c>
      <c r="J3" s="17">
        <f ca="1">IFERROR(__xludf.DUMMYFUNCTION("""COMPUTED_VALUE"""),0.00809027814460997)</f>
        <v>8.0902781446099692E-3</v>
      </c>
      <c r="K3" s="18">
        <f ca="1">IFERROR(__xludf.DUMMYFUNCTION("""COMPUTED_VALUE"""),0.000833333917624293)</f>
        <v>8.3333391762429297E-4</v>
      </c>
      <c r="L3" s="19"/>
      <c r="M3" s="19"/>
      <c r="N3" s="19"/>
      <c r="O3" s="19"/>
      <c r="P3" s="19"/>
      <c r="Q3" s="19"/>
      <c r="R3" s="19"/>
      <c r="S3" s="19"/>
      <c r="T3" s="19"/>
      <c r="U3" s="19"/>
      <c r="V3" s="20"/>
      <c r="W3" s="20"/>
      <c r="X3" s="20"/>
      <c r="Y3" s="20"/>
      <c r="Z3" s="21"/>
      <c r="AA3" s="22"/>
      <c r="AB3" s="23"/>
    </row>
    <row r="4" spans="1:28" ht="13.5" customHeight="1" x14ac:dyDescent="0.35">
      <c r="A4" s="24">
        <f ca="1">IFERROR(__xludf.DUMMYFUNCTION("""COMPUTED_VALUE"""),3)</f>
        <v>3</v>
      </c>
      <c r="B4" s="25" t="str">
        <f ca="1">IFERROR(__xludf.DUMMYFUNCTION("""COMPUTED_VALUE"""),"153")</f>
        <v>153</v>
      </c>
      <c r="C4" s="26" t="str">
        <f ca="1">IFERROR(__xludf.DUMMYFUNCTION("""COMPUTED_VALUE"""),"DAL")</f>
        <v>DAL</v>
      </c>
      <c r="D4" s="27" t="str">
        <f ca="1">IFERROR(__xludf.DUMMYFUNCTION("""COMPUTED_VALUE"""),"CLAIRE")</f>
        <v>CLAIRE</v>
      </c>
      <c r="E4" s="15" t="str">
        <f ca="1">IFERROR(__xludf.DUMMYFUNCTION("""COMPUTED_VALUE"""),"SF3")</f>
        <v>SF3</v>
      </c>
      <c r="F4" s="28">
        <f ca="1">IFERROR(__xludf.DUMMYFUNCTION("""COMPUTED_VALUE"""),1)</f>
        <v>1</v>
      </c>
      <c r="G4" s="16">
        <f ca="1">IFERROR(__xludf.DUMMYFUNCTION("""COMPUTED_VALUE"""),0.0200578708657305)</f>
        <v>2.00578708657305E-2</v>
      </c>
      <c r="H4" s="17">
        <f ca="1">IFERROR(__xludf.DUMMYFUNCTION("""COMPUTED_VALUE"""),0.00342592603301671)</f>
        <v>3.4259260330167102E-3</v>
      </c>
      <c r="I4" s="17">
        <f ca="1">IFERROR(__xludf.DUMMYFUNCTION("""COMPUTED_VALUE"""),0.00791666669305433)</f>
        <v>7.9166666930543302E-3</v>
      </c>
      <c r="J4" s="17">
        <f ca="1">IFERROR(__xludf.DUMMYFUNCTION("""COMPUTED_VALUE"""),0.00818287061081606)</f>
        <v>8.1828706108160593E-3</v>
      </c>
      <c r="K4" s="18">
        <f ca="1">IFERROR(__xludf.DUMMYFUNCTION("""COMPUTED_VALUE"""),0.000532407528843428)</f>
        <v>5.3240752884342797E-4</v>
      </c>
      <c r="L4" s="19"/>
      <c r="M4" s="19"/>
      <c r="N4" s="19"/>
      <c r="O4" s="19"/>
      <c r="P4" s="19"/>
      <c r="Q4" s="19"/>
      <c r="R4" s="19"/>
      <c r="S4" s="19"/>
      <c r="T4" s="19"/>
      <c r="U4" s="19"/>
      <c r="V4" s="20"/>
      <c r="W4" s="20"/>
      <c r="X4" s="20"/>
      <c r="Y4" s="20"/>
      <c r="Z4" s="21"/>
      <c r="AA4" s="22"/>
      <c r="AB4" s="23"/>
    </row>
    <row r="5" spans="1:28" ht="13.5" customHeight="1" x14ac:dyDescent="0.35">
      <c r="A5" s="24">
        <f ca="1">IFERROR(__xludf.DUMMYFUNCTION("""COMPUTED_VALUE"""),4)</f>
        <v>4</v>
      </c>
      <c r="B5" s="25" t="str">
        <f ca="1">IFERROR(__xludf.DUMMYFUNCTION("""COMPUTED_VALUE"""),"204")</f>
        <v>204</v>
      </c>
      <c r="C5" s="26" t="str">
        <f ca="1">IFERROR(__xludf.DUMMYFUNCTION("""COMPUTED_VALUE"""),"HENRY")</f>
        <v>HENRY</v>
      </c>
      <c r="D5" s="27" t="str">
        <f ca="1">IFERROR(__xludf.DUMMYFUNCTION("""COMPUTED_VALUE"""),"TIPHAINE")</f>
        <v>TIPHAINE</v>
      </c>
      <c r="E5" s="15" t="str">
        <f ca="1">IFERROR(__xludf.DUMMYFUNCTION("""COMPUTED_VALUE"""),"MF1")</f>
        <v>MF1</v>
      </c>
      <c r="F5" s="28">
        <f ca="1">IFERROR(__xludf.DUMMYFUNCTION("""COMPUTED_VALUE"""),1)</f>
        <v>1</v>
      </c>
      <c r="G5" s="16">
        <f ca="1">IFERROR(__xludf.DUMMYFUNCTION("""COMPUTED_VALUE"""),0.0203472231684183)</f>
        <v>2.0347223168418301E-2</v>
      </c>
      <c r="H5" s="17">
        <f ca="1">IFERROR(__xludf.DUMMYFUNCTION("""COMPUTED_VALUE"""),0.00366898157816007)</f>
        <v>3.6689815781600701E-3</v>
      </c>
      <c r="I5" s="17">
        <f ca="1">IFERROR(__xludf.DUMMYFUNCTION("""COMPUTED_VALUE"""),0.00733796304531659)</f>
        <v>7.3379630453165902E-3</v>
      </c>
      <c r="J5" s="17">
        <f ca="1">IFERROR(__xludf.DUMMYFUNCTION("""COMPUTED_VALUE"""),0.00899305589901622)</f>
        <v>8.9930558990162206E-3</v>
      </c>
      <c r="K5" s="18">
        <f ca="1">IFERROR(__xludf.DUMMYFUNCTION("""COMPUTED_VALUE"""),0.000347222645925494)</f>
        <v>3.4722264592549398E-4</v>
      </c>
      <c r="L5" s="19"/>
      <c r="M5" s="19"/>
      <c r="N5" s="19"/>
      <c r="O5" s="19"/>
      <c r="P5" s="19"/>
      <c r="Q5" s="19"/>
      <c r="R5" s="19"/>
      <c r="S5" s="19"/>
      <c r="T5" s="19"/>
      <c r="U5" s="19"/>
      <c r="V5" s="20"/>
      <c r="W5" s="20"/>
      <c r="X5" s="20"/>
      <c r="Y5" s="20"/>
      <c r="Z5" s="21"/>
      <c r="AA5" s="22"/>
      <c r="AB5" s="23"/>
    </row>
    <row r="6" spans="1:28" ht="13.5" customHeight="1" x14ac:dyDescent="0.35">
      <c r="A6" s="24">
        <f ca="1">IFERROR(__xludf.DUMMYFUNCTION("""COMPUTED_VALUE"""),5)</f>
        <v>5</v>
      </c>
      <c r="B6" s="25" t="str">
        <f ca="1">IFERROR(__xludf.DUMMYFUNCTION("""COMPUTED_VALUE"""),"152")</f>
        <v>152</v>
      </c>
      <c r="C6" s="26" t="str">
        <f ca="1">IFERROR(__xludf.DUMMYFUNCTION("""COMPUTED_VALUE"""),"PIVETEAU")</f>
        <v>PIVETEAU</v>
      </c>
      <c r="D6" s="27" t="str">
        <f ca="1">IFERROR(__xludf.DUMMYFUNCTION("""COMPUTED_VALUE"""),"COLINE")</f>
        <v>COLINE</v>
      </c>
      <c r="E6" s="15" t="str">
        <f ca="1">IFERROR(__xludf.DUMMYFUNCTION("""COMPUTED_VALUE"""),"SF4")</f>
        <v>SF4</v>
      </c>
      <c r="F6" s="28">
        <f ca="1">IFERROR(__xludf.DUMMYFUNCTION("""COMPUTED_VALUE"""),3)</f>
        <v>3</v>
      </c>
      <c r="G6" s="16">
        <f ca="1">IFERROR(__xludf.DUMMYFUNCTION("""COMPUTED_VALUE"""),0.020497685742007)</f>
        <v>2.0497685742006999E-2</v>
      </c>
      <c r="H6" s="17">
        <f ca="1">IFERROR(__xludf.DUMMYFUNCTION("""COMPUTED_VALUE"""),0.00383101856359454)</f>
        <v>3.8310185635945398E-3</v>
      </c>
      <c r="I6" s="17">
        <f ca="1">IFERROR(__xludf.DUMMYFUNCTION("""COMPUTED_VALUE"""),0.00706018523192254)</f>
        <v>7.0601852319225403E-3</v>
      </c>
      <c r="J6" s="17">
        <f ca="1">IFERROR(__xludf.DUMMYFUNCTION("""COMPUTED_VALUE"""),0.00846064833544364)</f>
        <v>8.4606483354436393E-3</v>
      </c>
      <c r="K6" s="18">
        <f ca="1">IFERROR(__xludf.DUMMYFUNCTION("""COMPUTED_VALUE"""),0.00114583361104635)</f>
        <v>1.14583361104635E-3</v>
      </c>
      <c r="L6" s="19"/>
      <c r="M6" s="19"/>
      <c r="N6" s="19"/>
      <c r="O6" s="19"/>
      <c r="P6" s="19"/>
      <c r="Q6" s="19"/>
      <c r="R6" s="19"/>
      <c r="S6" s="19"/>
      <c r="T6" s="19"/>
      <c r="U6" s="19"/>
      <c r="V6" s="20"/>
      <c r="W6" s="20"/>
      <c r="X6" s="20"/>
      <c r="Y6" s="20"/>
      <c r="Z6" s="21"/>
      <c r="AA6" s="22"/>
      <c r="AB6" s="23"/>
    </row>
    <row r="7" spans="1:28" ht="13.5" customHeight="1" x14ac:dyDescent="0.35">
      <c r="A7" s="24">
        <f ca="1">IFERROR(__xludf.DUMMYFUNCTION("""COMPUTED_VALUE"""),6)</f>
        <v>6</v>
      </c>
      <c r="B7" s="25" t="str">
        <f ca="1">IFERROR(__xludf.DUMMYFUNCTION("""COMPUTED_VALUE"""),"94")</f>
        <v>94</v>
      </c>
      <c r="C7" s="26" t="str">
        <f ca="1">IFERROR(__xludf.DUMMYFUNCTION("""COMPUTED_VALUE"""),"SIGNEYROLE")</f>
        <v>SIGNEYROLE</v>
      </c>
      <c r="D7" s="27" t="str">
        <f ca="1">IFERROR(__xludf.DUMMYFUNCTION("""COMPUTED_VALUE"""),"ALICE")</f>
        <v>ALICE</v>
      </c>
      <c r="E7" s="15" t="str">
        <f ca="1">IFERROR(__xludf.DUMMYFUNCTION("""COMPUTED_VALUE"""),"SF3")</f>
        <v>SF3</v>
      </c>
      <c r="F7" s="28">
        <f ca="1">IFERROR(__xludf.DUMMYFUNCTION("""COMPUTED_VALUE"""),2)</f>
        <v>2</v>
      </c>
      <c r="G7" s="16">
        <f ca="1">IFERROR(__xludf.DUMMYFUNCTION("""COMPUTED_VALUE"""),0.0207175936242498)</f>
        <v>2.0717593624249801E-2</v>
      </c>
      <c r="H7" s="17">
        <f ca="1">IFERROR(__xludf.DUMMYFUNCTION("""COMPUTED_VALUE"""),0.0039814815497383)</f>
        <v>3.9814815497383003E-3</v>
      </c>
      <c r="I7" s="17">
        <f ca="1">IFERROR(__xludf.DUMMYFUNCTION("""COMPUTED_VALUE"""),0.00724537042540637)</f>
        <v>7.24537042540637E-3</v>
      </c>
      <c r="J7" s="17">
        <f ca="1">IFERROR(__xludf.DUMMYFUNCTION("""COMPUTED_VALUE"""),0.00859953765109176)</f>
        <v>8.5995376510917595E-3</v>
      </c>
      <c r="K7" s="18">
        <f ca="1">IFERROR(__xludf.DUMMYFUNCTION("""COMPUTED_VALUE"""),0.000891203998013442)</f>
        <v>8.9120399801344199E-4</v>
      </c>
      <c r="L7" s="19"/>
      <c r="M7" s="19"/>
      <c r="N7" s="19"/>
      <c r="O7" s="19"/>
      <c r="P7" s="19"/>
      <c r="Q7" s="19"/>
      <c r="R7" s="19"/>
      <c r="S7" s="19"/>
      <c r="T7" s="19"/>
      <c r="U7" s="19"/>
      <c r="V7" s="20"/>
      <c r="W7" s="20"/>
      <c r="X7" s="20"/>
      <c r="Y7" s="20"/>
      <c r="Z7" s="21"/>
      <c r="AA7" s="22"/>
      <c r="AB7" s="23"/>
    </row>
    <row r="8" spans="1:28" ht="13.5" customHeight="1" x14ac:dyDescent="0.35">
      <c r="A8" s="24">
        <f ca="1">IFERROR(__xludf.DUMMYFUNCTION("""COMPUTED_VALUE"""),7)</f>
        <v>7</v>
      </c>
      <c r="B8" s="25" t="str">
        <f ca="1">IFERROR(__xludf.DUMMYFUNCTION("""COMPUTED_VALUE"""),"209")</f>
        <v>209</v>
      </c>
      <c r="C8" s="26" t="str">
        <f ca="1">IFERROR(__xludf.DUMMYFUNCTION("""COMPUTED_VALUE"""),"MILLOT")</f>
        <v>MILLOT</v>
      </c>
      <c r="D8" s="27" t="str">
        <f ca="1">IFERROR(__xludf.DUMMYFUNCTION("""COMPUTED_VALUE"""),"ADELINE")</f>
        <v>ADELINE</v>
      </c>
      <c r="E8" s="15" t="str">
        <f ca="1">IFERROR(__xludf.DUMMYFUNCTION("""COMPUTED_VALUE"""),"MF2")</f>
        <v>MF2</v>
      </c>
      <c r="F8" s="28">
        <f ca="1">IFERROR(__xludf.DUMMYFUNCTION("""COMPUTED_VALUE"""),1)</f>
        <v>1</v>
      </c>
      <c r="G8" s="16">
        <f ca="1">IFERROR(__xludf.DUMMYFUNCTION("""COMPUTED_VALUE"""),0.0208217599940958)</f>
        <v>2.0821759994095801E-2</v>
      </c>
      <c r="H8" s="17">
        <f ca="1">IFERROR(__xludf.DUMMYFUNCTION("""COMPUTED_VALUE"""),0.00309027788304128)</f>
        <v>3.0902778830412801E-3</v>
      </c>
      <c r="I8" s="17">
        <f ca="1">IFERROR(__xludf.DUMMYFUNCTION("""COMPUTED_VALUE"""),0.00765046303314376)</f>
        <v>7.65046303314376E-3</v>
      </c>
      <c r="J8" s="17">
        <f ca="1">IFERROR(__xludf.DUMMYFUNCTION("""COMPUTED_VALUE"""),0.00908564854611817)</f>
        <v>9.0856485461181698E-3</v>
      </c>
      <c r="K8" s="18">
        <f ca="1">IFERROR(__xludf.DUMMYFUNCTION("""COMPUTED_VALUE"""),0.000995370531792612)</f>
        <v>9.953705317926121E-4</v>
      </c>
      <c r="L8" s="19"/>
      <c r="M8" s="19"/>
      <c r="N8" s="19"/>
      <c r="O8" s="19"/>
      <c r="P8" s="19"/>
      <c r="Q8" s="19"/>
      <c r="R8" s="19"/>
      <c r="S8" s="19"/>
      <c r="T8" s="19"/>
      <c r="U8" s="19"/>
      <c r="V8" s="20"/>
      <c r="W8" s="20"/>
      <c r="X8" s="20"/>
      <c r="Y8" s="20"/>
      <c r="Z8" s="21"/>
      <c r="AA8" s="22"/>
      <c r="AB8" s="23"/>
    </row>
    <row r="9" spans="1:28" ht="13.5" customHeight="1" x14ac:dyDescent="0.35">
      <c r="A9" s="24">
        <f ca="1">IFERROR(__xludf.DUMMYFUNCTION("""COMPUTED_VALUE"""),8)</f>
        <v>8</v>
      </c>
      <c r="B9" s="25" t="str">
        <f ca="1">IFERROR(__xludf.DUMMYFUNCTION("""COMPUTED_VALUE"""),"136")</f>
        <v>136</v>
      </c>
      <c r="C9" s="26" t="str">
        <f ca="1">IFERROR(__xludf.DUMMYFUNCTION("""COMPUTED_VALUE"""),"MOYSAN")</f>
        <v>MOYSAN</v>
      </c>
      <c r="D9" s="27" t="str">
        <f ca="1">IFERROR(__xludf.DUMMYFUNCTION("""COMPUTED_VALUE"""),"PERRINE")</f>
        <v>PERRINE</v>
      </c>
      <c r="E9" s="15" t="str">
        <f ca="1">IFERROR(__xludf.DUMMYFUNCTION("""COMPUTED_VALUE"""),"SF3")</f>
        <v>SF3</v>
      </c>
      <c r="F9" s="28">
        <f ca="1">IFERROR(__xludf.DUMMYFUNCTION("""COMPUTED_VALUE"""),3)</f>
        <v>3</v>
      </c>
      <c r="G9" s="16">
        <f ca="1">IFERROR(__xludf.DUMMYFUNCTION("""COMPUTED_VALUE"""),0.0210879630030359)</f>
        <v>2.1087963003035899E-2</v>
      </c>
      <c r="H9" s="17">
        <f ca="1">IFERROR(__xludf.DUMMYFUNCTION("""COMPUTED_VALUE"""),0.00366898153604767)</f>
        <v>3.6689815360476702E-3</v>
      </c>
      <c r="I9" s="17">
        <f ca="1">IFERROR(__xludf.DUMMYFUNCTION("""COMPUTED_VALUE"""),0.00800925936813935)</f>
        <v>8.0092593681393501E-3</v>
      </c>
      <c r="J9" s="17">
        <f ca="1">IFERROR(__xludf.DUMMYFUNCTION("""COMPUTED_VALUE"""),0.00862268520416888)</f>
        <v>8.6226852041688794E-3</v>
      </c>
      <c r="K9" s="18">
        <f ca="1">IFERROR(__xludf.DUMMYFUNCTION("""COMPUTED_VALUE"""),0.000787036894680074)</f>
        <v>7.8703689468007402E-4</v>
      </c>
      <c r="L9" s="19"/>
      <c r="M9" s="19"/>
      <c r="N9" s="19"/>
      <c r="O9" s="19"/>
      <c r="P9" s="19"/>
      <c r="Q9" s="19"/>
      <c r="R9" s="19"/>
      <c r="S9" s="19"/>
      <c r="T9" s="19"/>
      <c r="U9" s="19"/>
      <c r="V9" s="20"/>
      <c r="W9" s="20"/>
      <c r="X9" s="20"/>
      <c r="Y9" s="20"/>
      <c r="Z9" s="21"/>
      <c r="AA9" s="22"/>
      <c r="AB9" s="23"/>
    </row>
    <row r="10" spans="1:28" ht="13.5" customHeight="1" x14ac:dyDescent="0.35">
      <c r="A10" s="24">
        <f ca="1">IFERROR(__xludf.DUMMYFUNCTION("""COMPUTED_VALUE"""),9)</f>
        <v>9</v>
      </c>
      <c r="B10" s="25" t="str">
        <f ca="1">IFERROR(__xludf.DUMMYFUNCTION("""COMPUTED_VALUE"""),"193")</f>
        <v>193</v>
      </c>
      <c r="C10" s="26" t="str">
        <f ca="1">IFERROR(__xludf.DUMMYFUNCTION("""COMPUTED_VALUE"""),"HENRY")</f>
        <v>HENRY</v>
      </c>
      <c r="D10" s="27" t="str">
        <f ca="1">IFERROR(__xludf.DUMMYFUNCTION("""COMPUTED_VALUE"""),"CHARLOTTE")</f>
        <v>CHARLOTTE</v>
      </c>
      <c r="E10" s="15" t="str">
        <f ca="1">IFERROR(__xludf.DUMMYFUNCTION("""COMPUTED_VALUE"""),"SF4")</f>
        <v>SF4</v>
      </c>
      <c r="F10" s="28">
        <f ca="1">IFERROR(__xludf.DUMMYFUNCTION("""COMPUTED_VALUE"""),4)</f>
        <v>4</v>
      </c>
      <c r="G10" s="16">
        <f ca="1">IFERROR(__xludf.DUMMYFUNCTION("""COMPUTED_VALUE"""),0.0211226851994291)</f>
        <v>2.11226851994291E-2</v>
      </c>
      <c r="H10" s="17">
        <f ca="1">IFERROR(__xludf.DUMMYFUNCTION("""COMPUTED_VALUE"""),0.00424768518680452)</f>
        <v>4.2476851868045199E-3</v>
      </c>
      <c r="I10" s="17">
        <f ca="1">IFERROR(__xludf.DUMMYFUNCTION("""COMPUTED_VALUE"""),0.00783564825061133)</f>
        <v>7.8356482506113292E-3</v>
      </c>
      <c r="J10" s="17">
        <f ca="1">IFERROR(__xludf.DUMMYFUNCTION("""COMPUTED_VALUE"""),0.00847222189472509)</f>
        <v>8.4722218947250894E-3</v>
      </c>
      <c r="K10" s="18">
        <f ca="1">IFERROR(__xludf.DUMMYFUNCTION("""COMPUTED_VALUE"""),0.000567129867288223)</f>
        <v>5.6712986728822299E-4</v>
      </c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20"/>
      <c r="W10" s="20"/>
      <c r="X10" s="20"/>
      <c r="Y10" s="20"/>
      <c r="Z10" s="21"/>
      <c r="AA10" s="22"/>
      <c r="AB10" s="23"/>
    </row>
    <row r="11" spans="1:28" ht="13.5" customHeight="1" x14ac:dyDescent="0.35">
      <c r="A11" s="24">
        <f ca="1">IFERROR(__xludf.DUMMYFUNCTION("""COMPUTED_VALUE"""),10)</f>
        <v>10</v>
      </c>
      <c r="B11" s="25" t="str">
        <f ca="1">IFERROR(__xludf.DUMMYFUNCTION("""COMPUTED_VALUE"""),"176")</f>
        <v>176</v>
      </c>
      <c r="C11" s="26" t="str">
        <f ca="1">IFERROR(__xludf.DUMMYFUNCTION("""COMPUTED_VALUE"""),"MORET")</f>
        <v>MORET</v>
      </c>
      <c r="D11" s="27" t="str">
        <f ca="1">IFERROR(__xludf.DUMMYFUNCTION("""COMPUTED_VALUE"""),"FLORIANE")</f>
        <v>FLORIANE</v>
      </c>
      <c r="E11" s="15" t="str">
        <f ca="1">IFERROR(__xludf.DUMMYFUNCTION("""COMPUTED_VALUE"""),"SF2")</f>
        <v>SF2</v>
      </c>
      <c r="F11" s="28">
        <f ca="1">IFERROR(__xludf.DUMMYFUNCTION("""COMPUTED_VALUE"""),1)</f>
        <v>1</v>
      </c>
      <c r="G11" s="16">
        <f ca="1">IFERROR(__xludf.DUMMYFUNCTION("""COMPUTED_VALUE"""),0.0213078707671899)</f>
        <v>2.1307870767189901E-2</v>
      </c>
      <c r="H11" s="17">
        <f ca="1">IFERROR(__xludf.DUMMYFUNCTION("""COMPUTED_VALUE"""),0.00439814825341624)</f>
        <v>4.3981482534162404E-3</v>
      </c>
      <c r="I11" s="17">
        <f ca="1">IFERROR(__xludf.DUMMYFUNCTION("""COMPUTED_VALUE"""),0.00793981488253568)</f>
        <v>7.9398148825356799E-3</v>
      </c>
      <c r="J11" s="17">
        <f ca="1">IFERROR(__xludf.DUMMYFUNCTION("""COMPUTED_VALUE"""),0.0077546294497071)</f>
        <v>7.7546294497071004E-3</v>
      </c>
      <c r="K11" s="18">
        <f ca="1">IFERROR(__xludf.DUMMYFUNCTION("""COMPUTED_VALUE"""),0.00121527818153091)</f>
        <v>1.2152781815309101E-3</v>
      </c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20"/>
      <c r="W11" s="20"/>
      <c r="X11" s="20"/>
      <c r="Y11" s="20"/>
      <c r="Z11" s="21"/>
      <c r="AA11" s="22"/>
      <c r="AB11" s="23"/>
    </row>
    <row r="12" spans="1:28" ht="13.5" customHeight="1" x14ac:dyDescent="0.35">
      <c r="A12" s="24">
        <f ca="1">IFERROR(__xludf.DUMMYFUNCTION("""COMPUTED_VALUE"""),11)</f>
        <v>11</v>
      </c>
      <c r="B12" s="25" t="str">
        <f ca="1">IFERROR(__xludf.DUMMYFUNCTION("""COMPUTED_VALUE"""),"11")</f>
        <v>11</v>
      </c>
      <c r="C12" s="26" t="str">
        <f ca="1">IFERROR(__xludf.DUMMYFUNCTION("""COMPUTED_VALUE"""),"BERTHAULT")</f>
        <v>BERTHAULT</v>
      </c>
      <c r="D12" s="27" t="str">
        <f ca="1">IFERROR(__xludf.DUMMYFUNCTION("""COMPUTED_VALUE"""),"CAMILLE")</f>
        <v>CAMILLE</v>
      </c>
      <c r="E12" s="15" t="str">
        <f ca="1">IFERROR(__xludf.DUMMYFUNCTION("""COMPUTED_VALUE"""),"SF3")</f>
        <v>SF3</v>
      </c>
      <c r="F12" s="28">
        <f ca="1">IFERROR(__xludf.DUMMYFUNCTION("""COMPUTED_VALUE"""),4)</f>
        <v>4</v>
      </c>
      <c r="G12" s="16">
        <f ca="1">IFERROR(__xludf.DUMMYFUNCTION("""COMPUTED_VALUE"""),0.0216550928605798)</f>
        <v>2.1655092860579799E-2</v>
      </c>
      <c r="H12" s="17">
        <f ca="1">IFERROR(__xludf.DUMMYFUNCTION("""COMPUTED_VALUE"""),0.00347222231904129)</f>
        <v>3.47222231904129E-3</v>
      </c>
      <c r="I12" s="17">
        <f ca="1">IFERROR(__xludf.DUMMYFUNCTION("""COMPUTED_VALUE"""),0.00851851852069233)</f>
        <v>8.5185185206923305E-3</v>
      </c>
      <c r="J12" s="17">
        <f ca="1">IFERROR(__xludf.DUMMYFUNCTION("""COMPUTED_VALUE"""),0.00884259248704096)</f>
        <v>8.8425924870409595E-3</v>
      </c>
      <c r="K12" s="18">
        <f ca="1">IFERROR(__xludf.DUMMYFUNCTION("""COMPUTED_VALUE"""),0.00082175953380526)</f>
        <v>8.2175953380526001E-4</v>
      </c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20"/>
      <c r="W12" s="20"/>
      <c r="X12" s="20"/>
      <c r="Y12" s="20"/>
      <c r="Z12" s="21"/>
      <c r="AA12" s="22"/>
      <c r="AB12" s="23"/>
    </row>
    <row r="13" spans="1:28" ht="13.5" customHeight="1" x14ac:dyDescent="0.35">
      <c r="A13" s="24">
        <f ca="1">IFERROR(__xludf.DUMMYFUNCTION("""COMPUTED_VALUE"""),12)</f>
        <v>12</v>
      </c>
      <c r="B13" s="25" t="str">
        <f ca="1">IFERROR(__xludf.DUMMYFUNCTION("""COMPUTED_VALUE"""),"95")</f>
        <v>95</v>
      </c>
      <c r="C13" s="26" t="str">
        <f ca="1">IFERROR(__xludf.DUMMYFUNCTION("""COMPUTED_VALUE"""),"BOLTENHAGEN")</f>
        <v>BOLTENHAGEN</v>
      </c>
      <c r="D13" s="27" t="str">
        <f ca="1">IFERROR(__xludf.DUMMYFUNCTION("""COMPUTED_VALUE"""),"MATHILDE")</f>
        <v>MATHILDE</v>
      </c>
      <c r="E13" s="15" t="str">
        <f ca="1">IFERROR(__xludf.DUMMYFUNCTION("""COMPUTED_VALUE"""),"SF3")</f>
        <v>SF3</v>
      </c>
      <c r="F13" s="28">
        <f ca="1">IFERROR(__xludf.DUMMYFUNCTION("""COMPUTED_VALUE"""),5)</f>
        <v>5</v>
      </c>
      <c r="G13" s="16">
        <f ca="1">IFERROR(__xludf.DUMMYFUNCTION("""COMPUTED_VALUE"""),0.0216550928627278)</f>
        <v>2.16550928627278E-2</v>
      </c>
      <c r="H13" s="17">
        <f ca="1">IFERROR(__xludf.DUMMYFUNCTION("""COMPUTED_VALUE"""),0.00481481482323596)</f>
        <v>4.81481482323596E-3</v>
      </c>
      <c r="I13" s="17">
        <f ca="1">IFERROR(__xludf.DUMMYFUNCTION("""COMPUTED_VALUE"""),0.00844907416570779)</f>
        <v>8.4490741657077904E-3</v>
      </c>
      <c r="J13" s="17">
        <f ca="1">IFERROR(__xludf.DUMMYFUNCTION("""COMPUTED_VALUE"""),0.0072685184790508)</f>
        <v>7.2685184790507998E-3</v>
      </c>
      <c r="K13" s="18">
        <f ca="1">IFERROR(__xludf.DUMMYFUNCTION("""COMPUTED_VALUE"""),0.00112268539473328)</f>
        <v>1.1226853947332799E-3</v>
      </c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20"/>
      <c r="W13" s="20"/>
      <c r="X13" s="20"/>
      <c r="Y13" s="20"/>
      <c r="Z13" s="21"/>
      <c r="AA13" s="22"/>
      <c r="AB13" s="23"/>
    </row>
    <row r="14" spans="1:28" ht="13.5" customHeight="1" x14ac:dyDescent="0.35">
      <c r="A14" s="24">
        <f ca="1">IFERROR(__xludf.DUMMYFUNCTION("""COMPUTED_VALUE"""),13)</f>
        <v>13</v>
      </c>
      <c r="B14" s="25" t="str">
        <f ca="1">IFERROR(__xludf.DUMMYFUNCTION("""COMPUTED_VALUE"""),"208")</f>
        <v>208</v>
      </c>
      <c r="C14" s="26" t="str">
        <f ca="1">IFERROR(__xludf.DUMMYFUNCTION("""COMPUTED_VALUE"""),"AZADIAN")</f>
        <v>AZADIAN</v>
      </c>
      <c r="D14" s="27" t="str">
        <f ca="1">IFERROR(__xludf.DUMMYFUNCTION("""COMPUTED_VALUE"""),"PHILIPPINE")</f>
        <v>PHILIPPINE</v>
      </c>
      <c r="E14" s="15" t="str">
        <f ca="1">IFERROR(__xludf.DUMMYFUNCTION("""COMPUTED_VALUE"""),"SF3")</f>
        <v>SF3</v>
      </c>
      <c r="F14" s="28">
        <f ca="1">IFERROR(__xludf.DUMMYFUNCTION("""COMPUTED_VALUE"""),6)</f>
        <v>6</v>
      </c>
      <c r="G14" s="16">
        <f ca="1">IFERROR(__xludf.DUMMYFUNCTION("""COMPUTED_VALUE"""),0.021967593594385)</f>
        <v>2.1967593594385E-2</v>
      </c>
      <c r="H14" s="17">
        <f ca="1">IFERROR(__xludf.DUMMYFUNCTION("""COMPUTED_VALUE"""),0.00349537040319838)</f>
        <v>3.4953704031983799E-3</v>
      </c>
      <c r="I14" s="17">
        <f ca="1">IFERROR(__xludf.DUMMYFUNCTION("""COMPUTED_VALUE"""),0.00812500008289872)</f>
        <v>8.1250000828987194E-3</v>
      </c>
      <c r="J14" s="17">
        <f ca="1">IFERROR(__xludf.DUMMYFUNCTION("""COMPUTED_VALUE"""),0.00950231512862935)</f>
        <v>9.5023151286293493E-3</v>
      </c>
      <c r="K14" s="18">
        <f ca="1">IFERROR(__xludf.DUMMYFUNCTION("""COMPUTED_VALUE"""),0.000844907979658573)</f>
        <v>8.4490797965857301E-4</v>
      </c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20"/>
      <c r="W14" s="20"/>
      <c r="X14" s="20"/>
      <c r="Y14" s="20"/>
      <c r="Z14" s="21"/>
      <c r="AA14" s="22"/>
      <c r="AB14" s="23"/>
    </row>
    <row r="15" spans="1:28" ht="13.5" customHeight="1" x14ac:dyDescent="0.35">
      <c r="A15" s="24">
        <f ca="1">IFERROR(__xludf.DUMMYFUNCTION("""COMPUTED_VALUE"""),14)</f>
        <v>14</v>
      </c>
      <c r="B15" s="25" t="str">
        <f ca="1">IFERROR(__xludf.DUMMYFUNCTION("""COMPUTED_VALUE"""),"104")</f>
        <v>104</v>
      </c>
      <c r="C15" s="26" t="str">
        <f ca="1">IFERROR(__xludf.DUMMYFUNCTION("""COMPUTED_VALUE"""),"VAMPARYS")</f>
        <v>VAMPARYS</v>
      </c>
      <c r="D15" s="27" t="str">
        <f ca="1">IFERROR(__xludf.DUMMYFUNCTION("""COMPUTED_VALUE"""),"LYDIE")</f>
        <v>LYDIE</v>
      </c>
      <c r="E15" s="15" t="str">
        <f ca="1">IFERROR(__xludf.DUMMYFUNCTION("""COMPUTED_VALUE"""),"MF2")</f>
        <v>MF2</v>
      </c>
      <c r="F15" s="28">
        <f ca="1">IFERROR(__xludf.DUMMYFUNCTION("""COMPUTED_VALUE"""),2)</f>
        <v>2</v>
      </c>
      <c r="G15" s="16">
        <f ca="1">IFERROR(__xludf.DUMMYFUNCTION("""COMPUTED_VALUE"""),0.0219907415483956)</f>
        <v>2.1990741548395601E-2</v>
      </c>
      <c r="H15" s="17">
        <f ca="1">IFERROR(__xludf.DUMMYFUNCTION("""COMPUTED_VALUE"""),0.00464120375390761)</f>
        <v>4.6412037539076099E-3</v>
      </c>
      <c r="I15" s="17">
        <f ca="1">IFERROR(__xludf.DUMMYFUNCTION("""COMPUTED_VALUE"""),0.00799768521998615)</f>
        <v>7.99768521998615E-3</v>
      </c>
      <c r="J15" s="17">
        <f ca="1">IFERROR(__xludf.DUMMYFUNCTION("""COMPUTED_VALUE"""),0.00834490723909055)</f>
        <v>8.3449072390905498E-3</v>
      </c>
      <c r="K15" s="18">
        <f ca="1">IFERROR(__xludf.DUMMYFUNCTION("""COMPUTED_VALUE"""),0.00100694533541128)</f>
        <v>1.0069453354112801E-3</v>
      </c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20"/>
      <c r="W15" s="20"/>
      <c r="X15" s="20"/>
      <c r="Y15" s="20"/>
      <c r="Z15" s="21"/>
      <c r="AA15" s="22"/>
      <c r="AB15" s="23"/>
    </row>
    <row r="16" spans="1:28" ht="13.5" customHeight="1" x14ac:dyDescent="0.35">
      <c r="A16" s="24">
        <f ca="1">IFERROR(__xludf.DUMMYFUNCTION("""COMPUTED_VALUE"""),15)</f>
        <v>15</v>
      </c>
      <c r="B16" s="25" t="str">
        <f ca="1">IFERROR(__xludf.DUMMYFUNCTION("""COMPUTED_VALUE"""),"10")</f>
        <v>10</v>
      </c>
      <c r="C16" s="26" t="str">
        <f ca="1">IFERROR(__xludf.DUMMYFUNCTION("""COMPUTED_VALUE"""),"TISNE")</f>
        <v>TISNE</v>
      </c>
      <c r="D16" s="27" t="str">
        <f ca="1">IFERROR(__xludf.DUMMYFUNCTION("""COMPUTED_VALUE"""),"MAUD")</f>
        <v>MAUD</v>
      </c>
      <c r="E16" s="15" t="str">
        <f ca="1">IFERROR(__xludf.DUMMYFUNCTION("""COMPUTED_VALUE"""),"SF3")</f>
        <v>SF3</v>
      </c>
      <c r="F16" s="28">
        <f ca="1">IFERROR(__xludf.DUMMYFUNCTION("""COMPUTED_VALUE"""),7)</f>
        <v>7</v>
      </c>
      <c r="G16" s="16">
        <f ca="1">IFERROR(__xludf.DUMMYFUNCTION("""COMPUTED_VALUE"""),0.0220138890755765)</f>
        <v>2.2013889075576502E-2</v>
      </c>
      <c r="H16" s="17">
        <f ca="1">IFERROR(__xludf.DUMMYFUNCTION("""COMPUTED_VALUE"""),0.00437500009099672)</f>
        <v>4.3750000909967201E-3</v>
      </c>
      <c r="I16" s="17">
        <f ca="1">IFERROR(__xludf.DUMMYFUNCTION("""COMPUTED_VALUE"""),0.00819444448006282)</f>
        <v>8.1944444800628197E-3</v>
      </c>
      <c r="J16" s="17">
        <f ca="1">IFERROR(__xludf.DUMMYFUNCTION("""COMPUTED_VALUE"""),0.00844907321216157)</f>
        <v>8.4490732121615692E-3</v>
      </c>
      <c r="K16" s="18">
        <f ca="1">IFERROR(__xludf.DUMMYFUNCTION("""COMPUTED_VALUE"""),0.000995371292355414)</f>
        <v>9.9537129235541407E-4</v>
      </c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20"/>
      <c r="W16" s="20"/>
      <c r="X16" s="20"/>
      <c r="Y16" s="20"/>
      <c r="Z16" s="21"/>
      <c r="AA16" s="22"/>
      <c r="AB16" s="23"/>
    </row>
    <row r="17" spans="1:28" ht="13.5" customHeight="1" x14ac:dyDescent="0.35">
      <c r="A17" s="24">
        <f ca="1">IFERROR(__xludf.DUMMYFUNCTION("""COMPUTED_VALUE"""),16)</f>
        <v>16</v>
      </c>
      <c r="B17" s="25" t="str">
        <f ca="1">IFERROR(__xludf.DUMMYFUNCTION("""COMPUTED_VALUE"""),"207")</f>
        <v>207</v>
      </c>
      <c r="C17" s="26" t="str">
        <f ca="1">IFERROR(__xludf.DUMMYFUNCTION("""COMPUTED_VALUE"""),"CARAMELO")</f>
        <v>CARAMELO</v>
      </c>
      <c r="D17" s="27" t="str">
        <f ca="1">IFERROR(__xludf.DUMMYFUNCTION("""COMPUTED_VALUE"""),"MARIOLA")</f>
        <v>MARIOLA</v>
      </c>
      <c r="E17" s="15" t="str">
        <f ca="1">IFERROR(__xludf.DUMMYFUNCTION("""COMPUTED_VALUE"""),"SF2")</f>
        <v>SF2</v>
      </c>
      <c r="F17" s="28">
        <f ca="1">IFERROR(__xludf.DUMMYFUNCTION("""COMPUTED_VALUE"""),2)</f>
        <v>2</v>
      </c>
      <c r="G17" s="16">
        <f ca="1">IFERROR(__xludf.DUMMYFUNCTION("""COMPUTED_VALUE"""),0.0220949085288191)</f>
        <v>2.20949085288191E-2</v>
      </c>
      <c r="H17" s="17">
        <f ca="1">IFERROR(__xludf.DUMMYFUNCTION("""COMPUTED_VALUE"""),0.00303240749282841)</f>
        <v>3.03240749282841E-3</v>
      </c>
      <c r="I17" s="17">
        <f ca="1">IFERROR(__xludf.DUMMYFUNCTION("""COMPUTED_VALUE"""),0.00872685187839419)</f>
        <v>8.7268518783941897E-3</v>
      </c>
      <c r="J17" s="17">
        <f ca="1">IFERROR(__xludf.DUMMYFUNCTION("""COMPUTED_VALUE"""),0.00913194515096127)</f>
        <v>9.1319451509612702E-3</v>
      </c>
      <c r="K17" s="18">
        <f ca="1">IFERROR(__xludf.DUMMYFUNCTION("""COMPUTED_VALUE"""),0.00120370400663525)</f>
        <v>1.20370400663525E-3</v>
      </c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20"/>
      <c r="W17" s="20"/>
      <c r="X17" s="20"/>
      <c r="Y17" s="20"/>
      <c r="Z17" s="21"/>
      <c r="AA17" s="22"/>
      <c r="AB17" s="23"/>
    </row>
    <row r="18" spans="1:28" ht="13.5" customHeight="1" x14ac:dyDescent="0.35">
      <c r="A18" s="24">
        <f ca="1">IFERROR(__xludf.DUMMYFUNCTION("""COMPUTED_VALUE"""),17)</f>
        <v>17</v>
      </c>
      <c r="B18" s="25" t="str">
        <f ca="1">IFERROR(__xludf.DUMMYFUNCTION("""COMPUTED_VALUE"""),"175")</f>
        <v>175</v>
      </c>
      <c r="C18" s="26" t="str">
        <f ca="1">IFERROR(__xludf.DUMMYFUNCTION("""COMPUTED_VALUE"""),"GAUTIER")</f>
        <v>GAUTIER</v>
      </c>
      <c r="D18" s="27" t="str">
        <f ca="1">IFERROR(__xludf.DUMMYFUNCTION("""COMPUTED_VALUE"""),"MATHILDE")</f>
        <v>MATHILDE</v>
      </c>
      <c r="E18" s="15" t="str">
        <f ca="1">IFERROR(__xludf.DUMMYFUNCTION("""COMPUTED_VALUE"""),"SF2")</f>
        <v>SF2</v>
      </c>
      <c r="F18" s="28">
        <f ca="1">IFERROR(__xludf.DUMMYFUNCTION("""COMPUTED_VALUE"""),3)</f>
        <v>3</v>
      </c>
      <c r="G18" s="16">
        <f ca="1">IFERROR(__xludf.DUMMYFUNCTION("""COMPUTED_VALUE"""),0.0221296305936238)</f>
        <v>2.21296305936238E-2</v>
      </c>
      <c r="H18" s="17">
        <f ca="1">IFERROR(__xludf.DUMMYFUNCTION("""COMPUTED_VALUE"""),0.00498842602172525)</f>
        <v>4.9884260217252499E-3</v>
      </c>
      <c r="I18" s="17">
        <f ca="1">IFERROR(__xludf.DUMMYFUNCTION("""COMPUTED_VALUE"""),0.00775462968012191)</f>
        <v>7.75462968012191E-3</v>
      </c>
      <c r="J18" s="17">
        <f ca="1">IFERROR(__xludf.DUMMYFUNCTION("""COMPUTED_VALUE"""),0.0081134268140922)</f>
        <v>8.1134268140921999E-3</v>
      </c>
      <c r="K18" s="18">
        <f ca="1">IFERROR(__xludf.DUMMYFUNCTION("""COMPUTED_VALUE"""),0.00127314807768447)</f>
        <v>1.27314807768447E-3</v>
      </c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20"/>
      <c r="W18" s="20"/>
      <c r="X18" s="20"/>
      <c r="Y18" s="20"/>
      <c r="Z18" s="21"/>
      <c r="AA18" s="22"/>
      <c r="AB18" s="23"/>
    </row>
    <row r="19" spans="1:28" ht="13.5" customHeight="1" x14ac:dyDescent="0.35">
      <c r="A19" s="24">
        <f ca="1">IFERROR(__xludf.DUMMYFUNCTION("""COMPUTED_VALUE"""),18)</f>
        <v>18</v>
      </c>
      <c r="B19" s="25" t="str">
        <f ca="1">IFERROR(__xludf.DUMMYFUNCTION("""COMPUTED_VALUE"""),"117")</f>
        <v>117</v>
      </c>
      <c r="C19" s="26" t="str">
        <f ca="1">IFERROR(__xludf.DUMMYFUNCTION("""COMPUTED_VALUE"""),"BLIN")</f>
        <v>BLIN</v>
      </c>
      <c r="D19" s="27" t="str">
        <f ca="1">IFERROR(__xludf.DUMMYFUNCTION("""COMPUTED_VALUE"""),"LAETITIA")</f>
        <v>LAETITIA</v>
      </c>
      <c r="E19" s="15" t="str">
        <f ca="1">IFERROR(__xludf.DUMMYFUNCTION("""COMPUTED_VALUE"""),"MF1")</f>
        <v>MF1</v>
      </c>
      <c r="F19" s="28">
        <f ca="1">IFERROR(__xludf.DUMMYFUNCTION("""COMPUTED_VALUE"""),2)</f>
        <v>2</v>
      </c>
      <c r="G19" s="16">
        <f ca="1">IFERROR(__xludf.DUMMYFUNCTION("""COMPUTED_VALUE"""),0.0222222233450175)</f>
        <v>2.22222233450175E-2</v>
      </c>
      <c r="H19" s="17">
        <f ca="1">IFERROR(__xludf.DUMMYFUNCTION("""COMPUTED_VALUE"""),0.00390046304827284)</f>
        <v>3.90046304827284E-3</v>
      </c>
      <c r="I19" s="17">
        <f ca="1">IFERROR(__xludf.DUMMYFUNCTION("""COMPUTED_VALUE"""),0.00843750011020118)</f>
        <v>8.4375001102011803E-3</v>
      </c>
      <c r="J19" s="17">
        <f ca="1">IFERROR(__xludf.DUMMYFUNCTION("""COMPUTED_VALUE"""),0.00903935276783585)</f>
        <v>9.0393527678358492E-3</v>
      </c>
      <c r="K19" s="18">
        <f ca="1">IFERROR(__xludf.DUMMYFUNCTION("""COMPUTED_VALUE"""),0.000844907418707666)</f>
        <v>8.4490741870766597E-4</v>
      </c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20"/>
      <c r="W19" s="20"/>
      <c r="X19" s="20"/>
      <c r="Y19" s="20"/>
      <c r="Z19" s="21"/>
      <c r="AA19" s="22"/>
      <c r="AB19" s="23"/>
    </row>
    <row r="20" spans="1:28" ht="13.5" customHeight="1" x14ac:dyDescent="0.35">
      <c r="A20" s="24">
        <f ca="1">IFERROR(__xludf.DUMMYFUNCTION("""COMPUTED_VALUE"""),19)</f>
        <v>19</v>
      </c>
      <c r="B20" s="25" t="str">
        <f ca="1">IFERROR(__xludf.DUMMYFUNCTION("""COMPUTED_VALUE"""),"69")</f>
        <v>69</v>
      </c>
      <c r="C20" s="26" t="str">
        <f ca="1">IFERROR(__xludf.DUMMYFUNCTION("""COMPUTED_VALUE"""),"ALEXANDRE")</f>
        <v>ALEXANDRE</v>
      </c>
      <c r="D20" s="27" t="str">
        <f ca="1">IFERROR(__xludf.DUMMYFUNCTION("""COMPUTED_VALUE"""),"JULIETTE")</f>
        <v>JULIETTE</v>
      </c>
      <c r="E20" s="15" t="str">
        <f ca="1">IFERROR(__xludf.DUMMYFUNCTION("""COMPUTED_VALUE"""),"SF2")</f>
        <v>SF2</v>
      </c>
      <c r="F20" s="28">
        <f ca="1">IFERROR(__xludf.DUMMYFUNCTION("""COMPUTED_VALUE"""),4)</f>
        <v>4</v>
      </c>
      <c r="G20" s="16">
        <f ca="1">IFERROR(__xludf.DUMMYFUNCTION("""COMPUTED_VALUE"""),0.0222800925993979)</f>
        <v>2.2280092599397901E-2</v>
      </c>
      <c r="H20" s="17">
        <f ca="1">IFERROR(__xludf.DUMMYFUNCTION("""COMPUTED_VALUE"""),0.00377314823070792)</f>
        <v>3.7731482307079198E-3</v>
      </c>
      <c r="I20" s="17">
        <f ca="1">IFERROR(__xludf.DUMMYFUNCTION("""COMPUTED_VALUE"""),0.00861111114254339)</f>
        <v>8.6111111425433897E-3</v>
      </c>
      <c r="J20" s="17">
        <f ca="1">IFERROR(__xludf.DUMMYFUNCTION("""COMPUTED_VALUE"""),0.00903935165609786)</f>
        <v>9.0393516560978594E-3</v>
      </c>
      <c r="K20" s="18">
        <f ca="1">IFERROR(__xludf.DUMMYFUNCTION("""COMPUTED_VALUE"""),0.000856481570048797)</f>
        <v>8.5648157004879699E-4</v>
      </c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20"/>
      <c r="W20" s="20"/>
      <c r="X20" s="20"/>
      <c r="Y20" s="20"/>
      <c r="Z20" s="21"/>
      <c r="AA20" s="22"/>
      <c r="AB20" s="23"/>
    </row>
    <row r="21" spans="1:28" ht="13.5" customHeight="1" x14ac:dyDescent="0.35">
      <c r="A21" s="24">
        <f ca="1">IFERROR(__xludf.DUMMYFUNCTION("""COMPUTED_VALUE"""),20)</f>
        <v>20</v>
      </c>
      <c r="B21" s="25" t="str">
        <f ca="1">IFERROR(__xludf.DUMMYFUNCTION("""COMPUTED_VALUE"""),"108")</f>
        <v>108</v>
      </c>
      <c r="C21" s="26" t="str">
        <f ca="1">IFERROR(__xludf.DUMMYFUNCTION("""COMPUTED_VALUE"""),"GAUTHIER")</f>
        <v>GAUTHIER</v>
      </c>
      <c r="D21" s="27" t="str">
        <f ca="1">IFERROR(__xludf.DUMMYFUNCTION("""COMPUTED_VALUE"""),"CAMILLE")</f>
        <v>CAMILLE</v>
      </c>
      <c r="E21" s="15" t="str">
        <f ca="1">IFERROR(__xludf.DUMMYFUNCTION("""COMPUTED_VALUE"""),"SF3")</f>
        <v>SF3</v>
      </c>
      <c r="F21" s="28">
        <f ca="1">IFERROR(__xludf.DUMMYFUNCTION("""COMPUTED_VALUE"""),8)</f>
        <v>8</v>
      </c>
      <c r="G21" s="16">
        <f ca="1">IFERROR(__xludf.DUMMYFUNCTION("""COMPUTED_VALUE"""),0.0223495373212081)</f>
        <v>2.2349537321208101E-2</v>
      </c>
      <c r="H21" s="17">
        <f ca="1">IFERROR(__xludf.DUMMYFUNCTION("""COMPUTED_VALUE"""),0.00403935196490119)</f>
        <v>4.0393519649011903E-3</v>
      </c>
      <c r="I21" s="17">
        <f ca="1">IFERROR(__xludf.DUMMYFUNCTION("""COMPUTED_VALUE"""),0.0084027777955853)</f>
        <v>8.4027777955852992E-3</v>
      </c>
      <c r="J21" s="17">
        <f ca="1">IFERROR(__xludf.DUMMYFUNCTION("""COMPUTED_VALUE"""),0.00853009178085069)</f>
        <v>8.5300917808506897E-3</v>
      </c>
      <c r="K21" s="18">
        <f ca="1">IFERROR(__xludf.DUMMYFUNCTION("""COMPUTED_VALUE"""),0.00137731577987096)</f>
        <v>1.37731577987096E-3</v>
      </c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20"/>
      <c r="W21" s="20"/>
      <c r="X21" s="20"/>
      <c r="Y21" s="20"/>
      <c r="Z21" s="21"/>
      <c r="AA21" s="22"/>
      <c r="AB21" s="23"/>
    </row>
    <row r="22" spans="1:28" ht="13.5" customHeight="1" x14ac:dyDescent="0.35">
      <c r="A22" s="24">
        <f ca="1">IFERROR(__xludf.DUMMYFUNCTION("""COMPUTED_VALUE"""),21)</f>
        <v>21</v>
      </c>
      <c r="B22" s="25" t="str">
        <f ca="1">IFERROR(__xludf.DUMMYFUNCTION("""COMPUTED_VALUE"""),"149")</f>
        <v>149</v>
      </c>
      <c r="C22" s="26" t="str">
        <f ca="1">IFERROR(__xludf.DUMMYFUNCTION("""COMPUTED_VALUE"""),"BESNARD")</f>
        <v>BESNARD</v>
      </c>
      <c r="D22" s="27" t="str">
        <f ca="1">IFERROR(__xludf.DUMMYFUNCTION("""COMPUTED_VALUE"""),"CAMILLE")</f>
        <v>CAMILLE</v>
      </c>
      <c r="E22" s="15" t="str">
        <f ca="1">IFERROR(__xludf.DUMMYFUNCTION("""COMPUTED_VALUE"""),"SF2")</f>
        <v>SF2</v>
      </c>
      <c r="F22" s="28">
        <f ca="1">IFERROR(__xludf.DUMMYFUNCTION("""COMPUTED_VALUE"""),5)</f>
        <v>5</v>
      </c>
      <c r="G22" s="16">
        <f ca="1">IFERROR(__xludf.DUMMYFUNCTION("""COMPUTED_VALUE"""),0.0224189826218818)</f>
        <v>2.24189826218818E-2</v>
      </c>
      <c r="H22" s="17">
        <f ca="1">IFERROR(__xludf.DUMMYFUNCTION("""COMPUTED_VALUE"""),0.00478009262370891)</f>
        <v>4.7800926237089097E-3</v>
      </c>
      <c r="I22" s="17">
        <f ca="1">IFERROR(__xludf.DUMMYFUNCTION("""COMPUTED_VALUE"""),0.00798611113816353)</f>
        <v>7.9861111381635298E-3</v>
      </c>
      <c r="J22" s="17">
        <f ca="1">IFERROR(__xludf.DUMMYFUNCTION("""COMPUTED_VALUE"""),0.00883101944958685)</f>
        <v>8.8310194495868494E-3</v>
      </c>
      <c r="K22" s="18">
        <f ca="1">IFERROR(__xludf.DUMMYFUNCTION("""COMPUTED_VALUE"""),0.000821759410422529)</f>
        <v>8.21759410422529E-4</v>
      </c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20"/>
      <c r="W22" s="20"/>
      <c r="X22" s="20"/>
      <c r="Y22" s="20"/>
      <c r="Z22" s="21"/>
      <c r="AA22" s="22"/>
      <c r="AB22" s="23"/>
    </row>
    <row r="23" spans="1:28" ht="13.5" customHeight="1" x14ac:dyDescent="0.35">
      <c r="A23" s="24">
        <f ca="1">IFERROR(__xludf.DUMMYFUNCTION("""COMPUTED_VALUE"""),22)</f>
        <v>22</v>
      </c>
      <c r="B23" s="25" t="str">
        <f ca="1">IFERROR(__xludf.DUMMYFUNCTION("""COMPUTED_VALUE"""),"178")</f>
        <v>178</v>
      </c>
      <c r="C23" s="26" t="str">
        <f ca="1">IFERROR(__xludf.DUMMYFUNCTION("""COMPUTED_VALUE"""),"LAJOIX")</f>
        <v>LAJOIX</v>
      </c>
      <c r="D23" s="27" t="str">
        <f ca="1">IFERROR(__xludf.DUMMYFUNCTION("""COMPUTED_VALUE"""),"VALERIE")</f>
        <v>VALERIE</v>
      </c>
      <c r="E23" s="15" t="str">
        <f ca="1">IFERROR(__xludf.DUMMYFUNCTION("""COMPUTED_VALUE"""),"MF5")</f>
        <v>MF5</v>
      </c>
      <c r="F23" s="28">
        <f ca="1">IFERROR(__xludf.DUMMYFUNCTION("""COMPUTED_VALUE"""),1)</f>
        <v>1</v>
      </c>
      <c r="G23" s="16">
        <f ca="1">IFERROR(__xludf.DUMMYFUNCTION("""COMPUTED_VALUE"""),0.0231712973150179)</f>
        <v>2.3171297315017901E-2</v>
      </c>
      <c r="H23" s="17">
        <f ca="1">IFERROR(__xludf.DUMMYFUNCTION("""COMPUTED_VALUE"""),0.00427083337116995)</f>
        <v>4.2708333711699497E-3</v>
      </c>
      <c r="I23" s="17">
        <f ca="1">IFERROR(__xludf.DUMMYFUNCTION("""COMPUTED_VALUE"""),0.00854166676919534)</f>
        <v>8.5416667691953392E-3</v>
      </c>
      <c r="J23" s="17">
        <f ca="1">IFERROR(__xludf.DUMMYFUNCTION("""COMPUTED_VALUE"""),0.00934027791690119)</f>
        <v>9.3402779169011897E-3</v>
      </c>
      <c r="K23" s="18">
        <f ca="1">IFERROR(__xludf.DUMMYFUNCTION("""COMPUTED_VALUE"""),0.00101851925775143)</f>
        <v>1.0185192577514301E-3</v>
      </c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20"/>
      <c r="W23" s="20"/>
      <c r="X23" s="20"/>
      <c r="Y23" s="20"/>
      <c r="Z23" s="21"/>
      <c r="AA23" s="22"/>
      <c r="AB23" s="23"/>
    </row>
    <row r="24" spans="1:28" ht="13.5" customHeight="1" x14ac:dyDescent="0.35">
      <c r="A24" s="24">
        <f ca="1">IFERROR(__xludf.DUMMYFUNCTION("""COMPUTED_VALUE"""),23)</f>
        <v>23</v>
      </c>
      <c r="B24" s="25" t="str">
        <f ca="1">IFERROR(__xludf.DUMMYFUNCTION("""COMPUTED_VALUE"""),"227")</f>
        <v>227</v>
      </c>
      <c r="C24" s="26" t="str">
        <f ca="1">IFERROR(__xludf.DUMMYFUNCTION("""COMPUTED_VALUE"""),"CURVERS-LE QUILLEC")</f>
        <v>CURVERS-LE QUILLEC</v>
      </c>
      <c r="D24" s="27" t="str">
        <f ca="1">IFERROR(__xludf.DUMMYFUNCTION("""COMPUTED_VALUE"""),"THÉO")</f>
        <v>THÉO</v>
      </c>
      <c r="E24" s="15" t="str">
        <f ca="1">IFERROR(__xludf.DUMMYFUNCTION("""COMPUTED_VALUE"""),"SF4")</f>
        <v>SF4</v>
      </c>
      <c r="F24" s="28">
        <f ca="1">IFERROR(__xludf.DUMMYFUNCTION("""COMPUTED_VALUE"""),5)</f>
        <v>5</v>
      </c>
      <c r="G24" s="16">
        <f ca="1">IFERROR(__xludf.DUMMYFUNCTION("""COMPUTED_VALUE"""),0.0232638891366007)</f>
        <v>2.3263889136600699E-2</v>
      </c>
      <c r="H24" s="17">
        <f ca="1">IFERROR(__xludf.DUMMYFUNCTION("""COMPUTED_VALUE"""),0.0032291667062854)</f>
        <v>3.2291667062853999E-3</v>
      </c>
      <c r="I24" s="17">
        <f ca="1">IFERROR(__xludf.DUMMYFUNCTION("""COMPUTED_VALUE"""),0.00803240750106171)</f>
        <v>8.0324075010617096E-3</v>
      </c>
      <c r="J24" s="17">
        <f ca="1">IFERROR(__xludf.DUMMYFUNCTION("""COMPUTED_VALUE"""),0.0110416667933948)</f>
        <v>1.10416667933948E-2</v>
      </c>
      <c r="K24" s="18">
        <f ca="1">IFERROR(__xludf.DUMMYFUNCTION("""COMPUTED_VALUE"""),0.000960648135858762)</f>
        <v>9.6064813585876199E-4</v>
      </c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20"/>
      <c r="W24" s="20"/>
      <c r="X24" s="20"/>
      <c r="Y24" s="20"/>
      <c r="Z24" s="21"/>
      <c r="AA24" s="22"/>
      <c r="AB24" s="23"/>
    </row>
    <row r="25" spans="1:28" ht="13.5" customHeight="1" x14ac:dyDescent="0.35">
      <c r="A25" s="24">
        <f ca="1">IFERROR(__xludf.DUMMYFUNCTION("""COMPUTED_VALUE"""),24)</f>
        <v>24</v>
      </c>
      <c r="B25" s="25" t="str">
        <f ca="1">IFERROR(__xludf.DUMMYFUNCTION("""COMPUTED_VALUE"""),"164")</f>
        <v>164</v>
      </c>
      <c r="C25" s="26" t="str">
        <f ca="1">IFERROR(__xludf.DUMMYFUNCTION("""COMPUTED_VALUE"""),"HEATH")</f>
        <v>HEATH</v>
      </c>
      <c r="D25" s="27" t="str">
        <f ca="1">IFERROR(__xludf.DUMMYFUNCTION("""COMPUTED_VALUE"""),"JULIETTE")</f>
        <v>JULIETTE</v>
      </c>
      <c r="E25" s="15" t="str">
        <f ca="1">IFERROR(__xludf.DUMMYFUNCTION("""COMPUTED_VALUE"""),"SF4")</f>
        <v>SF4</v>
      </c>
      <c r="F25" s="28">
        <f ca="1">IFERROR(__xludf.DUMMYFUNCTION("""COMPUTED_VALUE"""),6)</f>
        <v>6</v>
      </c>
      <c r="G25" s="16">
        <f ca="1">IFERROR(__xludf.DUMMYFUNCTION("""COMPUTED_VALUE"""),0.023402778789695)</f>
        <v>2.3402778789694999E-2</v>
      </c>
      <c r="H25" s="17">
        <f ca="1">IFERROR(__xludf.DUMMYFUNCTION("""COMPUTED_VALUE"""),0.00380787038492456)</f>
        <v>3.8078703849245602E-3</v>
      </c>
      <c r="I25" s="17">
        <f ca="1">IFERROR(__xludf.DUMMYFUNCTION("""COMPUTED_VALUE"""),0.00927083342281461)</f>
        <v>9.2708334228146106E-3</v>
      </c>
      <c r="J25" s="17">
        <f ca="1">IFERROR(__xludf.DUMMYFUNCTION("""COMPUTED_VALUE"""),0.00958333350931303)</f>
        <v>9.5833335093130304E-3</v>
      </c>
      <c r="K25" s="18">
        <f ca="1">IFERROR(__xludf.DUMMYFUNCTION("""COMPUTED_VALUE"""),0.000740741472642802)</f>
        <v>7.4074147264280201E-4</v>
      </c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20"/>
      <c r="W25" s="20"/>
      <c r="X25" s="20"/>
      <c r="Y25" s="20"/>
      <c r="Z25" s="21"/>
      <c r="AA25" s="22"/>
      <c r="AB25" s="23"/>
    </row>
    <row r="26" spans="1:28" ht="13.5" customHeight="1" x14ac:dyDescent="0.35">
      <c r="A26" s="24">
        <f ca="1">IFERROR(__xludf.DUMMYFUNCTION("""COMPUTED_VALUE"""),25)</f>
        <v>25</v>
      </c>
      <c r="B26" s="25" t="str">
        <f ca="1">IFERROR(__xludf.DUMMYFUNCTION("""COMPUTED_VALUE"""),"179")</f>
        <v>179</v>
      </c>
      <c r="C26" s="26" t="str">
        <f ca="1">IFERROR(__xludf.DUMMYFUNCTION("""COMPUTED_VALUE"""),"DRENTIN")</f>
        <v>DRENTIN</v>
      </c>
      <c r="D26" s="27" t="str">
        <f ca="1">IFERROR(__xludf.DUMMYFUNCTION("""COMPUTED_VALUE"""),"MELISSA")</f>
        <v>MELISSA</v>
      </c>
      <c r="E26" s="15" t="str">
        <f ca="1">IFERROR(__xludf.DUMMYFUNCTION("""COMPUTED_VALUE"""),"SF4")</f>
        <v>SF4</v>
      </c>
      <c r="F26" s="28">
        <f ca="1">IFERROR(__xludf.DUMMYFUNCTION("""COMPUTED_VALUE"""),7)</f>
        <v>7</v>
      </c>
      <c r="G26" s="16">
        <f ca="1">IFERROR(__xludf.DUMMYFUNCTION("""COMPUTED_VALUE"""),0.0235532409501457)</f>
        <v>2.3553240950145701E-2</v>
      </c>
      <c r="H26" s="17">
        <f ca="1">IFERROR(__xludf.DUMMYFUNCTION("""COMPUTED_VALUE"""),0.00339120370685526)</f>
        <v>3.3912037068552598E-3</v>
      </c>
      <c r="I26" s="17">
        <f ca="1">IFERROR(__xludf.DUMMYFUNCTION("""COMPUTED_VALUE"""),0.00920138890137561)</f>
        <v>9.2013889013756092E-3</v>
      </c>
      <c r="J26" s="17">
        <f ca="1">IFERROR(__xludf.DUMMYFUNCTION("""COMPUTED_VALUE"""),0.0093981478057018)</f>
        <v>9.3981478057017995E-3</v>
      </c>
      <c r="K26" s="18">
        <f ca="1">IFERROR(__xludf.DUMMYFUNCTION("""COMPUTED_VALUE"""),0.00156250053621309)</f>
        <v>1.5625005362130901E-3</v>
      </c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20"/>
      <c r="W26" s="20"/>
      <c r="X26" s="20"/>
      <c r="Y26" s="20"/>
      <c r="Z26" s="21"/>
      <c r="AA26" s="22"/>
      <c r="AB26" s="23"/>
    </row>
    <row r="27" spans="1:28" ht="13.5" customHeight="1" x14ac:dyDescent="0.35">
      <c r="A27" s="24">
        <f ca="1">IFERROR(__xludf.DUMMYFUNCTION("""COMPUTED_VALUE"""),26)</f>
        <v>26</v>
      </c>
      <c r="B27" s="25" t="str">
        <f ca="1">IFERROR(__xludf.DUMMYFUNCTION("""COMPUTED_VALUE"""),"228")</f>
        <v>228</v>
      </c>
      <c r="C27" s="26" t="str">
        <f ca="1">IFERROR(__xludf.DUMMYFUNCTION("""COMPUTED_VALUE"""),"REY")</f>
        <v>REY</v>
      </c>
      <c r="D27" s="27" t="str">
        <f ca="1">IFERROR(__xludf.DUMMYFUNCTION("""COMPUTED_VALUE"""),"CLÉMENCE")</f>
        <v>CLÉMENCE</v>
      </c>
      <c r="E27" s="15" t="str">
        <f ca="1">IFERROR(__xludf.DUMMYFUNCTION("""COMPUTED_VALUE"""),"SF3")</f>
        <v>SF3</v>
      </c>
      <c r="F27" s="28">
        <f ca="1">IFERROR(__xludf.DUMMYFUNCTION("""COMPUTED_VALUE"""),9)</f>
        <v>9</v>
      </c>
      <c r="G27" s="16">
        <f ca="1">IFERROR(__xludf.DUMMYFUNCTION("""COMPUTED_VALUE"""),0.0235879638331518)</f>
        <v>2.3587963833151801E-2</v>
      </c>
      <c r="H27" s="17">
        <f ca="1">IFERROR(__xludf.DUMMYFUNCTION("""COMPUTED_VALUE"""),0.00340277784491594)</f>
        <v>3.4027778449159398E-3</v>
      </c>
      <c r="I27" s="17">
        <f ca="1">IFERROR(__xludf.DUMMYFUNCTION("""COMPUTED_VALUE"""),0.00912037037888531)</f>
        <v>9.1203703788853095E-3</v>
      </c>
      <c r="J27" s="17">
        <f ca="1">IFERROR(__xludf.DUMMYFUNCTION("""COMPUTED_VALUE"""),0.0101157414131229)</f>
        <v>1.01157414131229E-2</v>
      </c>
      <c r="K27" s="18">
        <f ca="1">IFERROR(__xludf.DUMMYFUNCTION("""COMPUTED_VALUE"""),0.000949074196227628)</f>
        <v>9.4907419622762795E-4</v>
      </c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20"/>
      <c r="W27" s="20"/>
      <c r="X27" s="20"/>
      <c r="Y27" s="20"/>
      <c r="Z27" s="21"/>
      <c r="AA27" s="22"/>
      <c r="AB27" s="23"/>
    </row>
    <row r="28" spans="1:28" ht="13.5" customHeight="1" x14ac:dyDescent="0.35">
      <c r="A28" s="24">
        <f ca="1">IFERROR(__xludf.DUMMYFUNCTION("""COMPUTED_VALUE"""),27)</f>
        <v>27</v>
      </c>
      <c r="B28" s="25" t="str">
        <f ca="1">IFERROR(__xludf.DUMMYFUNCTION("""COMPUTED_VALUE"""),"203")</f>
        <v>203</v>
      </c>
      <c r="C28" s="26" t="str">
        <f ca="1">IFERROR(__xludf.DUMMYFUNCTION("""COMPUTED_VALUE"""),"MILLOT")</f>
        <v>MILLOT</v>
      </c>
      <c r="D28" s="27" t="str">
        <f ca="1">IFERROR(__xludf.DUMMYFUNCTION("""COMPUTED_VALUE"""),"GAELLE")</f>
        <v>GAELLE</v>
      </c>
      <c r="E28" s="15" t="str">
        <f ca="1">IFERROR(__xludf.DUMMYFUNCTION("""COMPUTED_VALUE"""),"MF2")</f>
        <v>MF2</v>
      </c>
      <c r="F28" s="28">
        <f ca="1">IFERROR(__xludf.DUMMYFUNCTION("""COMPUTED_VALUE"""),3)</f>
        <v>3</v>
      </c>
      <c r="G28" s="16">
        <f ca="1">IFERROR(__xludf.DUMMYFUNCTION("""COMPUTED_VALUE"""),0.0236342596658326)</f>
        <v>2.3634259665832599E-2</v>
      </c>
      <c r="H28" s="17">
        <f ca="1">IFERROR(__xludf.DUMMYFUNCTION("""COMPUTED_VALUE"""),0.00398148159532601)</f>
        <v>3.9814815953260101E-3</v>
      </c>
      <c r="I28" s="17">
        <f ca="1">IFERROR(__xludf.DUMMYFUNCTION("""COMPUTED_VALUE"""),0.00812500000892196)</f>
        <v>8.1250000089219607E-3</v>
      </c>
      <c r="J28" s="17">
        <f ca="1">IFERROR(__xludf.DUMMYFUNCTION("""COMPUTED_VALUE"""),0.0106365736175182)</f>
        <v>1.06365736175182E-2</v>
      </c>
      <c r="K28" s="18">
        <f ca="1">IFERROR(__xludf.DUMMYFUNCTION("""COMPUTED_VALUE"""),0.000891204444066454)</f>
        <v>8.9120444406645401E-4</v>
      </c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20"/>
      <c r="W28" s="20"/>
      <c r="X28" s="20"/>
      <c r="Y28" s="20"/>
      <c r="Z28" s="21"/>
      <c r="AA28" s="22"/>
      <c r="AB28" s="23"/>
    </row>
    <row r="29" spans="1:28" ht="13.5" customHeight="1" x14ac:dyDescent="0.35">
      <c r="A29" s="24">
        <f ca="1">IFERROR(__xludf.DUMMYFUNCTION("""COMPUTED_VALUE"""),28)</f>
        <v>28</v>
      </c>
      <c r="B29" s="25" t="str">
        <f ca="1">IFERROR(__xludf.DUMMYFUNCTION("""COMPUTED_VALUE"""),"93")</f>
        <v>93</v>
      </c>
      <c r="C29" s="26" t="str">
        <f ca="1">IFERROR(__xludf.DUMMYFUNCTION("""COMPUTED_VALUE"""),"BRETONNIERE")</f>
        <v>BRETONNIERE</v>
      </c>
      <c r="D29" s="27" t="str">
        <f ca="1">IFERROR(__xludf.DUMMYFUNCTION("""COMPUTED_VALUE"""),"ANNE")</f>
        <v>ANNE</v>
      </c>
      <c r="E29" s="15" t="str">
        <f ca="1">IFERROR(__xludf.DUMMYFUNCTION("""COMPUTED_VALUE"""),"SF3")</f>
        <v>SF3</v>
      </c>
      <c r="F29" s="28">
        <f ca="1">IFERROR(__xludf.DUMMYFUNCTION("""COMPUTED_VALUE"""),10)</f>
        <v>10</v>
      </c>
      <c r="G29" s="16">
        <f ca="1">IFERROR(__xludf.DUMMYFUNCTION("""COMPUTED_VALUE"""),0.0238425933178033)</f>
        <v>2.38425933178033E-2</v>
      </c>
      <c r="H29" s="17">
        <f ca="1">IFERROR(__xludf.DUMMYFUNCTION("""COMPUTED_VALUE"""),0.00434027781723652)</f>
        <v>4.3402778172365198E-3</v>
      </c>
      <c r="I29" s="17">
        <f ca="1">IFERROR(__xludf.DUMMYFUNCTION("""COMPUTED_VALUE"""),0.00896990752308464)</f>
        <v>8.9699075230846408E-3</v>
      </c>
      <c r="J29" s="17">
        <f ca="1">IFERROR(__xludf.DUMMYFUNCTION("""COMPUTED_VALUE"""),0.0090046296038127)</f>
        <v>9.0046296038126996E-3</v>
      </c>
      <c r="K29" s="18">
        <f ca="1">IFERROR(__xludf.DUMMYFUNCTION("""COMPUTED_VALUE"""),0.00152777837366943)</f>
        <v>1.5277783736694301E-3</v>
      </c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20"/>
      <c r="W29" s="20"/>
      <c r="X29" s="20"/>
      <c r="Y29" s="20"/>
      <c r="Z29" s="21"/>
      <c r="AA29" s="22"/>
      <c r="AB29" s="23"/>
    </row>
    <row r="30" spans="1:28" ht="13.5" customHeight="1" x14ac:dyDescent="0.35">
      <c r="A30" s="24">
        <f ca="1">IFERROR(__xludf.DUMMYFUNCTION("""COMPUTED_VALUE"""),29)</f>
        <v>29</v>
      </c>
      <c r="B30" s="25" t="str">
        <f ca="1">IFERROR(__xludf.DUMMYFUNCTION("""COMPUTED_VALUE"""),"66")</f>
        <v>66</v>
      </c>
      <c r="C30" s="26" t="str">
        <f ca="1">IFERROR(__xludf.DUMMYFUNCTION("""COMPUTED_VALUE"""),"KEROMEN")</f>
        <v>KEROMEN</v>
      </c>
      <c r="D30" s="27" t="str">
        <f ca="1">IFERROR(__xludf.DUMMYFUNCTION("""COMPUTED_VALUE"""),"GAËLA")</f>
        <v>GAËLA</v>
      </c>
      <c r="E30" s="15" t="str">
        <f ca="1">IFERROR(__xludf.DUMMYFUNCTION("""COMPUTED_VALUE"""),"MF1")</f>
        <v>MF1</v>
      </c>
      <c r="F30" s="28">
        <f ca="1">IFERROR(__xludf.DUMMYFUNCTION("""COMPUTED_VALUE"""),3)</f>
        <v>3</v>
      </c>
      <c r="G30" s="16">
        <f ca="1">IFERROR(__xludf.DUMMYFUNCTION("""COMPUTED_VALUE"""),0.024131944565969)</f>
        <v>2.4131944565969E-2</v>
      </c>
      <c r="H30" s="17">
        <f ca="1">IFERROR(__xludf.DUMMYFUNCTION("""COMPUTED_VALUE"""),0.00347222229940531)</f>
        <v>3.4722222994053101E-3</v>
      </c>
      <c r="I30" s="17">
        <f ca="1">IFERROR(__xludf.DUMMYFUNCTION("""COMPUTED_VALUE"""),0.00899305563584863)</f>
        <v>8.9930556358486305E-3</v>
      </c>
      <c r="J30" s="17">
        <f ca="1">IFERROR(__xludf.DUMMYFUNCTION("""COMPUTED_VALUE"""),0.0103356476410939)</f>
        <v>1.03356476410939E-2</v>
      </c>
      <c r="K30" s="18">
        <f ca="1">IFERROR(__xludf.DUMMYFUNCTION("""COMPUTED_VALUE"""),0.00133101898962121)</f>
        <v>1.3310189896212101E-3</v>
      </c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20"/>
      <c r="W30" s="20"/>
      <c r="X30" s="20"/>
      <c r="Y30" s="20"/>
      <c r="Z30" s="21"/>
      <c r="AA30" s="22"/>
      <c r="AB30" s="23"/>
    </row>
    <row r="31" spans="1:28" ht="13.5" customHeight="1" x14ac:dyDescent="0.35">
      <c r="A31" s="24">
        <f ca="1">IFERROR(__xludf.DUMMYFUNCTION("""COMPUTED_VALUE"""),30)</f>
        <v>30</v>
      </c>
      <c r="B31" s="25" t="str">
        <f ca="1">IFERROR(__xludf.DUMMYFUNCTION("""COMPUTED_VALUE"""),"150")</f>
        <v>150</v>
      </c>
      <c r="C31" s="26" t="str">
        <f ca="1">IFERROR(__xludf.DUMMYFUNCTION("""COMPUTED_VALUE"""),"CASTERAN")</f>
        <v>CASTERAN</v>
      </c>
      <c r="D31" s="27" t="str">
        <f ca="1">IFERROR(__xludf.DUMMYFUNCTION("""COMPUTED_VALUE"""),"VALERIE")</f>
        <v>VALERIE</v>
      </c>
      <c r="E31" s="15" t="str">
        <f ca="1">IFERROR(__xludf.DUMMYFUNCTION("""COMPUTED_VALUE"""),"MF5")</f>
        <v>MF5</v>
      </c>
      <c r="F31" s="28">
        <f ca="1">IFERROR(__xludf.DUMMYFUNCTION("""COMPUTED_VALUE"""),2)</f>
        <v>2</v>
      </c>
      <c r="G31" s="16">
        <f ca="1">IFERROR(__xludf.DUMMYFUNCTION("""COMPUTED_VALUE"""),0.024131945060175)</f>
        <v>2.4131945060174999E-2</v>
      </c>
      <c r="H31" s="17">
        <f ca="1">IFERROR(__xludf.DUMMYFUNCTION("""COMPUTED_VALUE"""),0.00508101855821255)</f>
        <v>5.0810185582125496E-3</v>
      </c>
      <c r="I31" s="17">
        <f ca="1">IFERROR(__xludf.DUMMYFUNCTION("""COMPUTED_VALUE"""),0.00855324079944093)</f>
        <v>8.5532407994409303E-3</v>
      </c>
      <c r="J31" s="17">
        <f ca="1">IFERROR(__xludf.DUMMYFUNCTION("""COMPUTED_VALUE"""),0.00952546259007908)</f>
        <v>9.5254625900790795E-3</v>
      </c>
      <c r="K31" s="18">
        <f ca="1">IFERROR(__xludf.DUMMYFUNCTION("""COMPUTED_VALUE"""),0.000972223112442475)</f>
        <v>9.7222311244247496E-4</v>
      </c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20"/>
      <c r="W31" s="20"/>
      <c r="X31" s="20"/>
      <c r="Y31" s="20"/>
      <c r="Z31" s="21"/>
      <c r="AA31" s="22"/>
      <c r="AB31" s="23"/>
    </row>
    <row r="32" spans="1:28" ht="13.5" customHeight="1" x14ac:dyDescent="0.35">
      <c r="A32" s="24">
        <f ca="1">IFERROR(__xludf.DUMMYFUNCTION("""COMPUTED_VALUE"""),31)</f>
        <v>31</v>
      </c>
      <c r="B32" s="25" t="str">
        <f ca="1">IFERROR(__xludf.DUMMYFUNCTION("""COMPUTED_VALUE"""),"180")</f>
        <v>180</v>
      </c>
      <c r="C32" s="26" t="str">
        <f ca="1">IFERROR(__xludf.DUMMYFUNCTION("""COMPUTED_VALUE"""),"HUMPHRIES")</f>
        <v>HUMPHRIES</v>
      </c>
      <c r="D32" s="27" t="str">
        <f ca="1">IFERROR(__xludf.DUMMYFUNCTION("""COMPUTED_VALUE"""),"JENNA")</f>
        <v>JENNA</v>
      </c>
      <c r="E32" s="15" t="str">
        <f ca="1">IFERROR(__xludf.DUMMYFUNCTION("""COMPUTED_VALUE"""),"SF3")</f>
        <v>SF3</v>
      </c>
      <c r="F32" s="28">
        <f ca="1">IFERROR(__xludf.DUMMYFUNCTION("""COMPUTED_VALUE"""),11)</f>
        <v>11</v>
      </c>
      <c r="G32" s="16">
        <f ca="1">IFERROR(__xludf.DUMMYFUNCTION("""COMPUTED_VALUE"""),0.0242245373385427)</f>
        <v>2.4224537338542702E-2</v>
      </c>
      <c r="H32" s="17">
        <f ca="1">IFERROR(__xludf.DUMMYFUNCTION("""COMPUTED_VALUE"""),0.00334490746637617)</f>
        <v>3.3449074663761701E-3</v>
      </c>
      <c r="I32" s="17">
        <f ca="1">IFERROR(__xludf.DUMMYFUNCTION("""COMPUTED_VALUE"""),0.00834490746245454)</f>
        <v>8.3449074624545403E-3</v>
      </c>
      <c r="J32" s="17">
        <f ca="1">IFERROR(__xludf.DUMMYFUNCTION("""COMPUTED_VALUE"""),0.0118055557899645)</f>
        <v>1.1805555789964501E-2</v>
      </c>
      <c r="K32" s="18">
        <f ca="1">IFERROR(__xludf.DUMMYFUNCTION("""COMPUTED_VALUE"""),0.000729166619747493)</f>
        <v>7.2916661974749297E-4</v>
      </c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20"/>
      <c r="W32" s="20"/>
      <c r="X32" s="20"/>
      <c r="Y32" s="20"/>
      <c r="Z32" s="21"/>
      <c r="AA32" s="22"/>
      <c r="AB32" s="23"/>
    </row>
    <row r="33" spans="1:28" ht="13.5" customHeight="1" x14ac:dyDescent="0.35">
      <c r="A33" s="24">
        <f ca="1">IFERROR(__xludf.DUMMYFUNCTION("""COMPUTED_VALUE"""),32)</f>
        <v>32</v>
      </c>
      <c r="B33" s="25" t="str">
        <f ca="1">IFERROR(__xludf.DUMMYFUNCTION("""COMPUTED_VALUE"""),"143")</f>
        <v>143</v>
      </c>
      <c r="C33" s="26" t="str">
        <f ca="1">IFERROR(__xludf.DUMMYFUNCTION("""COMPUTED_VALUE"""),"VRIJBURG")</f>
        <v>VRIJBURG</v>
      </c>
      <c r="D33" s="27" t="str">
        <f ca="1">IFERROR(__xludf.DUMMYFUNCTION("""COMPUTED_VALUE"""),"ELISE")</f>
        <v>ELISE</v>
      </c>
      <c r="E33" s="15" t="str">
        <f ca="1">IFERROR(__xludf.DUMMYFUNCTION("""COMPUTED_VALUE"""),"SF2")</f>
        <v>SF2</v>
      </c>
      <c r="F33" s="28">
        <f ca="1">IFERROR(__xludf.DUMMYFUNCTION("""COMPUTED_VALUE"""),6)</f>
        <v>6</v>
      </c>
      <c r="G33" s="16">
        <f ca="1">IFERROR(__xludf.DUMMYFUNCTION("""COMPUTED_VALUE"""),0.024236111813559)</f>
        <v>2.4236111813558999E-2</v>
      </c>
      <c r="H33" s="17">
        <f ca="1">IFERROR(__xludf.DUMMYFUNCTION("""COMPUTED_VALUE"""),0.00465277780853845)</f>
        <v>4.65277780853845E-3</v>
      </c>
      <c r="I33" s="17">
        <f ca="1">IFERROR(__xludf.DUMMYFUNCTION("""COMPUTED_VALUE"""),0.00797453707672074)</f>
        <v>7.9745370767207394E-3</v>
      </c>
      <c r="J33" s="17">
        <f ca="1">IFERROR(__xludf.DUMMYFUNCTION("""COMPUTED_VALUE"""),0.0104282407812325)</f>
        <v>1.0428240781232501E-2</v>
      </c>
      <c r="K33" s="18">
        <f ca="1">IFERROR(__xludf.DUMMYFUNCTION("""COMPUTED_VALUE"""),0.00118055614706735)</f>
        <v>1.18055614706735E-3</v>
      </c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20"/>
      <c r="W33" s="20"/>
      <c r="X33" s="20"/>
      <c r="Y33" s="20"/>
      <c r="Z33" s="21"/>
      <c r="AA33" s="22"/>
      <c r="AB33" s="23"/>
    </row>
    <row r="34" spans="1:28" ht="13.5" customHeight="1" x14ac:dyDescent="0.35">
      <c r="A34" s="24">
        <f ca="1">IFERROR(__xludf.DUMMYFUNCTION("""COMPUTED_VALUE"""),33)</f>
        <v>33</v>
      </c>
      <c r="B34" s="25" t="str">
        <f ca="1">IFERROR(__xludf.DUMMYFUNCTION("""COMPUTED_VALUE"""),"189")</f>
        <v>189</v>
      </c>
      <c r="C34" s="26" t="str">
        <f ca="1">IFERROR(__xludf.DUMMYFUNCTION("""COMPUTED_VALUE"""),"GUILLEUX")</f>
        <v>GUILLEUX</v>
      </c>
      <c r="D34" s="27" t="str">
        <f ca="1">IFERROR(__xludf.DUMMYFUNCTION("""COMPUTED_VALUE"""),"CHARLOTTE")</f>
        <v>CHARLOTTE</v>
      </c>
      <c r="E34" s="15" t="str">
        <f ca="1">IFERROR(__xludf.DUMMYFUNCTION("""COMPUTED_VALUE"""),"SF1")</f>
        <v>SF1</v>
      </c>
      <c r="F34" s="28">
        <f ca="1">IFERROR(__xludf.DUMMYFUNCTION("""COMPUTED_VALUE"""),1)</f>
        <v>1</v>
      </c>
      <c r="G34" s="16">
        <f ca="1">IFERROR(__xludf.DUMMYFUNCTION("""COMPUTED_VALUE"""),0.0242476857301005)</f>
        <v>2.4247685730100499E-2</v>
      </c>
      <c r="H34" s="17">
        <f ca="1">IFERROR(__xludf.DUMMYFUNCTION("""COMPUTED_VALUE"""),0.00412037038527222)</f>
        <v>4.1203703852722203E-3</v>
      </c>
      <c r="I34" s="17">
        <f ca="1">IFERROR(__xludf.DUMMYFUNCTION("""COMPUTED_VALUE"""),0.00876157409458522)</f>
        <v>8.7615740945852193E-3</v>
      </c>
      <c r="J34" s="17">
        <f ca="1">IFERROR(__xludf.DUMMYFUNCTION("""COMPUTED_VALUE"""),0.0103356478767206)</f>
        <v>1.0335647876720601E-2</v>
      </c>
      <c r="K34" s="18">
        <f ca="1">IFERROR(__xludf.DUMMYFUNCTION("""COMPUTED_VALUE"""),0.00103009337352243)</f>
        <v>1.0300933735224299E-3</v>
      </c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20"/>
      <c r="W34" s="20"/>
      <c r="X34" s="20"/>
      <c r="Y34" s="20"/>
      <c r="Z34" s="21"/>
      <c r="AA34" s="22"/>
      <c r="AB34" s="23"/>
    </row>
    <row r="35" spans="1:28" ht="13.5" customHeight="1" x14ac:dyDescent="0.35">
      <c r="A35" s="24">
        <f ca="1">IFERROR(__xludf.DUMMYFUNCTION("""COMPUTED_VALUE"""),34)</f>
        <v>34</v>
      </c>
      <c r="B35" s="25" t="str">
        <f ca="1">IFERROR(__xludf.DUMMYFUNCTION("""COMPUTED_VALUE"""),"119")</f>
        <v>119</v>
      </c>
      <c r="C35" s="26" t="str">
        <f ca="1">IFERROR(__xludf.DUMMYFUNCTION("""COMPUTED_VALUE"""),"CRÉMON")</f>
        <v>CRÉMON</v>
      </c>
      <c r="D35" s="27" t="str">
        <f ca="1">IFERROR(__xludf.DUMMYFUNCTION("""COMPUTED_VALUE"""),"LYSIANE")</f>
        <v>LYSIANE</v>
      </c>
      <c r="E35" s="15" t="str">
        <f ca="1">IFERROR(__xludf.DUMMYFUNCTION("""COMPUTED_VALUE"""),"SF4")</f>
        <v>SF4</v>
      </c>
      <c r="F35" s="28">
        <f ca="1">IFERROR(__xludf.DUMMYFUNCTION("""COMPUTED_VALUE"""),8)</f>
        <v>8</v>
      </c>
      <c r="G35" s="16">
        <f ca="1">IFERROR(__xludf.DUMMYFUNCTION("""COMPUTED_VALUE"""),0.0244907417142765)</f>
        <v>2.4490741714276499E-2</v>
      </c>
      <c r="H35" s="17">
        <f ca="1">IFERROR(__xludf.DUMMYFUNCTION("""COMPUTED_VALUE"""),0.0048032408429678)</f>
        <v>4.8032408429678E-3</v>
      </c>
      <c r="I35" s="17">
        <f ca="1">IFERROR(__xludf.DUMMYFUNCTION("""COMPUTED_VALUE"""),0.0085995370807085)</f>
        <v>8.5995370807084998E-3</v>
      </c>
      <c r="J35" s="17">
        <f ca="1">IFERROR(__xludf.DUMMYFUNCTION("""COMPUTED_VALUE"""),0.0100347231061879)</f>
        <v>1.0034723106187899E-2</v>
      </c>
      <c r="K35" s="18">
        <f ca="1">IFERROR(__xludf.DUMMYFUNCTION("""COMPUTED_VALUE"""),0.0010532406844122)</f>
        <v>1.0532406844122001E-3</v>
      </c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20"/>
      <c r="W35" s="20"/>
      <c r="X35" s="20"/>
      <c r="Y35" s="20"/>
      <c r="Z35" s="21"/>
      <c r="AA35" s="22"/>
      <c r="AB35" s="23"/>
    </row>
    <row r="36" spans="1:28" ht="13.5" customHeight="1" x14ac:dyDescent="0.35">
      <c r="A36" s="24">
        <f ca="1">IFERROR(__xludf.DUMMYFUNCTION("""COMPUTED_VALUE"""),35)</f>
        <v>35</v>
      </c>
      <c r="B36" s="25" t="str">
        <f ca="1">IFERROR(__xludf.DUMMYFUNCTION("""COMPUTED_VALUE"""),"191")</f>
        <v>191</v>
      </c>
      <c r="C36" s="26" t="str">
        <f ca="1">IFERROR(__xludf.DUMMYFUNCTION("""COMPUTED_VALUE"""),"LOCATELLI")</f>
        <v>LOCATELLI</v>
      </c>
      <c r="D36" s="27" t="str">
        <f ca="1">IFERROR(__xludf.DUMMYFUNCTION("""COMPUTED_VALUE"""),"HÉLÈNE")</f>
        <v>HÉLÈNE</v>
      </c>
      <c r="E36" s="15" t="str">
        <f ca="1">IFERROR(__xludf.DUMMYFUNCTION("""COMPUTED_VALUE"""),"SF4")</f>
        <v>SF4</v>
      </c>
      <c r="F36" s="28">
        <f ca="1">IFERROR(__xludf.DUMMYFUNCTION("""COMPUTED_VALUE"""),9)</f>
        <v>9</v>
      </c>
      <c r="G36" s="16">
        <f ca="1">IFERROR(__xludf.DUMMYFUNCTION("""COMPUTED_VALUE"""),0.0245833336921444)</f>
        <v>2.45833336921444E-2</v>
      </c>
      <c r="H36" s="17">
        <f ca="1">IFERROR(__xludf.DUMMYFUNCTION("""COMPUTED_VALUE"""),0.00440972224181677)</f>
        <v>4.4097222418167702E-3</v>
      </c>
      <c r="I36" s="17">
        <f ca="1">IFERROR(__xludf.DUMMYFUNCTION("""COMPUTED_VALUE"""),0.00880787041057652)</f>
        <v>8.8078704105765196E-3</v>
      </c>
      <c r="J36" s="17">
        <f ca="1">IFERROR(__xludf.DUMMYFUNCTION("""COMPUTED_VALUE"""),0.0104745369432974)</f>
        <v>1.04745369432974E-2</v>
      </c>
      <c r="K36" s="18">
        <f ca="1">IFERROR(__xludf.DUMMYFUNCTION("""COMPUTED_VALUE"""),0.00089120409645373)</f>
        <v>8.9120409645373003E-4</v>
      </c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20"/>
      <c r="W36" s="20"/>
      <c r="X36" s="20"/>
      <c r="Y36" s="20"/>
      <c r="Z36" s="21"/>
      <c r="AA36" s="22"/>
      <c r="AB36" s="23"/>
    </row>
    <row r="37" spans="1:28" ht="13.5" customHeight="1" x14ac:dyDescent="0.35">
      <c r="A37" s="24">
        <f ca="1">IFERROR(__xludf.DUMMYFUNCTION("""COMPUTED_VALUE"""),36)</f>
        <v>36</v>
      </c>
      <c r="B37" s="25" t="str">
        <f ca="1">IFERROR(__xludf.DUMMYFUNCTION("""COMPUTED_VALUE"""),"122")</f>
        <v>122</v>
      </c>
      <c r="C37" s="26" t="str">
        <f ca="1">IFERROR(__xludf.DUMMYFUNCTION("""COMPUTED_VALUE"""),"DERVAL")</f>
        <v>DERVAL</v>
      </c>
      <c r="D37" s="27" t="str">
        <f ca="1">IFERROR(__xludf.DUMMYFUNCTION("""COMPUTED_VALUE"""),"CAPUCINE")</f>
        <v>CAPUCINE</v>
      </c>
      <c r="E37" s="15" t="str">
        <f ca="1">IFERROR(__xludf.DUMMYFUNCTION("""COMPUTED_VALUE"""),"SF2")</f>
        <v>SF2</v>
      </c>
      <c r="F37" s="28">
        <f ca="1">IFERROR(__xludf.DUMMYFUNCTION("""COMPUTED_VALUE"""),7)</f>
        <v>7</v>
      </c>
      <c r="G37" s="16">
        <f ca="1">IFERROR(__xludf.DUMMYFUNCTION("""COMPUTED_VALUE"""),0.0247685191882043)</f>
        <v>2.4768519188204299E-2</v>
      </c>
      <c r="H37" s="17">
        <f ca="1">IFERROR(__xludf.DUMMYFUNCTION("""COMPUTED_VALUE"""),0.00436342602348772)</f>
        <v>4.3634260234877197E-3</v>
      </c>
      <c r="I37" s="17">
        <f ca="1">IFERROR(__xludf.DUMMYFUNCTION("""COMPUTED_VALUE"""),0.0090856481615803)</f>
        <v>9.0856481615802995E-3</v>
      </c>
      <c r="J37" s="17">
        <f ca="1">IFERROR(__xludf.DUMMYFUNCTION("""COMPUTED_VALUE"""),0.010231481062658)</f>
        <v>1.0231481062657999E-2</v>
      </c>
      <c r="K37" s="18">
        <f ca="1">IFERROR(__xludf.DUMMYFUNCTION("""COMPUTED_VALUE"""),0.00108796394047827)</f>
        <v>1.0879639404782701E-3</v>
      </c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20"/>
      <c r="W37" s="20"/>
      <c r="X37" s="20"/>
      <c r="Y37" s="20"/>
      <c r="Z37" s="21"/>
      <c r="AA37" s="22"/>
      <c r="AB37" s="23"/>
    </row>
    <row r="38" spans="1:28" ht="13.5" customHeight="1" x14ac:dyDescent="0.35">
      <c r="A38" s="24">
        <f ca="1">IFERROR(__xludf.DUMMYFUNCTION("""COMPUTED_VALUE"""),37)</f>
        <v>37</v>
      </c>
      <c r="B38" s="25" t="str">
        <f ca="1">IFERROR(__xludf.DUMMYFUNCTION("""COMPUTED_VALUE"""),"109")</f>
        <v>109</v>
      </c>
      <c r="C38" s="26" t="str">
        <f ca="1">IFERROR(__xludf.DUMMYFUNCTION("""COMPUTED_VALUE"""),"HAMLIN")</f>
        <v>HAMLIN</v>
      </c>
      <c r="D38" s="27" t="str">
        <f ca="1">IFERROR(__xludf.DUMMYFUNCTION("""COMPUTED_VALUE"""),"KARINE")</f>
        <v>KARINE</v>
      </c>
      <c r="E38" s="15" t="str">
        <f ca="1">IFERROR(__xludf.DUMMYFUNCTION("""COMPUTED_VALUE"""),"MF3")</f>
        <v>MF3</v>
      </c>
      <c r="F38" s="28">
        <f ca="1">IFERROR(__xludf.DUMMYFUNCTION("""COMPUTED_VALUE"""),1)</f>
        <v>1</v>
      </c>
      <c r="G38" s="16">
        <f ca="1">IFERROR(__xludf.DUMMYFUNCTION("""COMPUTED_VALUE"""),0.0250462968125299)</f>
        <v>2.50462968125299E-2</v>
      </c>
      <c r="H38" s="17">
        <f ca="1">IFERROR(__xludf.DUMMYFUNCTION("""COMPUTED_VALUE"""),0.00515046300141494)</f>
        <v>5.1504630014149403E-3</v>
      </c>
      <c r="I38" s="17">
        <f ca="1">IFERROR(__xludf.DUMMYFUNCTION("""COMPUTED_VALUE"""),0.00871527785747674)</f>
        <v>8.7152778574767394E-3</v>
      </c>
      <c r="J38" s="17">
        <f ca="1">IFERROR(__xludf.DUMMYFUNCTION("""COMPUTED_VALUE"""),0.00995370316199355)</f>
        <v>9.95370316199355E-3</v>
      </c>
      <c r="K38" s="18">
        <f ca="1">IFERROR(__xludf.DUMMYFUNCTION("""COMPUTED_VALUE"""),0.00122685279164467)</f>
        <v>1.22685279164467E-3</v>
      </c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20"/>
      <c r="W38" s="20"/>
      <c r="X38" s="20"/>
      <c r="Y38" s="20"/>
      <c r="Z38" s="21"/>
      <c r="AA38" s="22"/>
      <c r="AB38" s="23"/>
    </row>
    <row r="39" spans="1:28" ht="13.5" customHeight="1" x14ac:dyDescent="0.35">
      <c r="A39" s="24">
        <f ca="1">IFERROR(__xludf.DUMMYFUNCTION("""COMPUTED_VALUE"""),38)</f>
        <v>38</v>
      </c>
      <c r="B39" s="25" t="str">
        <f ca="1">IFERROR(__xludf.DUMMYFUNCTION("""COMPUTED_VALUE"""),"121")</f>
        <v>121</v>
      </c>
      <c r="C39" s="26" t="str">
        <f ca="1">IFERROR(__xludf.DUMMYFUNCTION("""COMPUTED_VALUE"""),"MARCHETTI")</f>
        <v>MARCHETTI</v>
      </c>
      <c r="D39" s="27" t="str">
        <f ca="1">IFERROR(__xludf.DUMMYFUNCTION("""COMPUTED_VALUE"""),"CAMILLE")</f>
        <v>CAMILLE</v>
      </c>
      <c r="E39" s="15" t="str">
        <f ca="1">IFERROR(__xludf.DUMMYFUNCTION("""COMPUTED_VALUE"""),"SF3")</f>
        <v>SF3</v>
      </c>
      <c r="F39" s="28">
        <f ca="1">IFERROR(__xludf.DUMMYFUNCTION("""COMPUTED_VALUE"""),12)</f>
        <v>12</v>
      </c>
      <c r="G39" s="16">
        <f ca="1">IFERROR(__xludf.DUMMYFUNCTION("""COMPUTED_VALUE"""),0.0251041668048)</f>
        <v>2.5104166804800002E-2</v>
      </c>
      <c r="H39" s="17">
        <f ca="1">IFERROR(__xludf.DUMMYFUNCTION("""COMPUTED_VALUE"""),0.00472222226105048)</f>
        <v>4.7222222610504797E-3</v>
      </c>
      <c r="I39" s="17">
        <f ca="1">IFERROR(__xludf.DUMMYFUNCTION("""COMPUTED_VALUE"""),0.00841435190235243)</f>
        <v>8.4143519023524294E-3</v>
      </c>
      <c r="J39" s="17">
        <f ca="1">IFERROR(__xludf.DUMMYFUNCTION("""COMPUTED_VALUE"""),0.0112847215738139)</f>
        <v>1.12847215738139E-2</v>
      </c>
      <c r="K39" s="18">
        <f ca="1">IFERROR(__xludf.DUMMYFUNCTION("""COMPUTED_VALUE"""),0.000682871067583176)</f>
        <v>6.8287106758317597E-4</v>
      </c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20"/>
      <c r="W39" s="20"/>
      <c r="X39" s="20"/>
      <c r="Y39" s="20"/>
      <c r="Z39" s="21"/>
      <c r="AA39" s="22"/>
      <c r="AB39" s="23"/>
    </row>
    <row r="40" spans="1:28" ht="13.5" customHeight="1" x14ac:dyDescent="0.35">
      <c r="A40" s="24">
        <f ca="1">IFERROR(__xludf.DUMMYFUNCTION("""COMPUTED_VALUE"""),39)</f>
        <v>39</v>
      </c>
      <c r="B40" s="25" t="str">
        <f ca="1">IFERROR(__xludf.DUMMYFUNCTION("""COMPUTED_VALUE"""),"110")</f>
        <v>110</v>
      </c>
      <c r="C40" s="26" t="str">
        <f ca="1">IFERROR(__xludf.DUMMYFUNCTION("""COMPUTED_VALUE"""),"MALAK")</f>
        <v>MALAK</v>
      </c>
      <c r="D40" s="27" t="str">
        <f ca="1">IFERROR(__xludf.DUMMYFUNCTION("""COMPUTED_VALUE"""),"SANDRA")</f>
        <v>SANDRA</v>
      </c>
      <c r="E40" s="15" t="str">
        <f ca="1">IFERROR(__xludf.DUMMYFUNCTION("""COMPUTED_VALUE"""),"MF2")</f>
        <v>MF2</v>
      </c>
      <c r="F40" s="28">
        <f ca="1">IFERROR(__xludf.DUMMYFUNCTION("""COMPUTED_VALUE"""),4)</f>
        <v>4</v>
      </c>
      <c r="G40" s="16">
        <f ca="1">IFERROR(__xludf.DUMMYFUNCTION("""COMPUTED_VALUE"""),0.0252199074186346)</f>
        <v>2.5219907418634599E-2</v>
      </c>
      <c r="H40" s="17">
        <f ca="1">IFERROR(__xludf.DUMMYFUNCTION("""COMPUTED_VALUE"""),0.00462962965314002)</f>
        <v>4.6296296531400201E-3</v>
      </c>
      <c r="I40" s="17">
        <f ca="1">IFERROR(__xludf.DUMMYFUNCTION("""COMPUTED_VALUE"""),0.00896990751642088)</f>
        <v>8.9699075164208792E-3</v>
      </c>
      <c r="J40" s="17">
        <f ca="1">IFERROR(__xludf.DUMMYFUNCTION("""COMPUTED_VALUE"""),0.0109722217216949)</f>
        <v>1.0972221721694901E-2</v>
      </c>
      <c r="K40" s="18">
        <f ca="1">IFERROR(__xludf.DUMMYFUNCTION("""COMPUTED_VALUE"""),0.000648148527378799)</f>
        <v>6.4814852737879903E-4</v>
      </c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20"/>
      <c r="W40" s="20"/>
      <c r="X40" s="20"/>
      <c r="Y40" s="20"/>
      <c r="Z40" s="21"/>
      <c r="AA40" s="22"/>
      <c r="AB40" s="23"/>
    </row>
    <row r="41" spans="1:28" ht="13.5" customHeight="1" x14ac:dyDescent="0.35">
      <c r="A41" s="24">
        <f ca="1">IFERROR(__xludf.DUMMYFUNCTION("""COMPUTED_VALUE"""),40)</f>
        <v>40</v>
      </c>
      <c r="B41" s="25" t="str">
        <f ca="1">IFERROR(__xludf.DUMMYFUNCTION("""COMPUTED_VALUE"""),"147")</f>
        <v>147</v>
      </c>
      <c r="C41" s="26" t="str">
        <f ca="1">IFERROR(__xludf.DUMMYFUNCTION("""COMPUTED_VALUE"""),"GRABELDINGER")</f>
        <v>GRABELDINGER</v>
      </c>
      <c r="D41" s="27" t="str">
        <f ca="1">IFERROR(__xludf.DUMMYFUNCTION("""COMPUTED_VALUE"""),"LOUISE")</f>
        <v>LOUISE</v>
      </c>
      <c r="E41" s="15" t="str">
        <f ca="1">IFERROR(__xludf.DUMMYFUNCTION("""COMPUTED_VALUE"""),"SF4")</f>
        <v>SF4</v>
      </c>
      <c r="F41" s="28">
        <f ca="1">IFERROR(__xludf.DUMMYFUNCTION("""COMPUTED_VALUE"""),10)</f>
        <v>10</v>
      </c>
      <c r="G41" s="16">
        <f ca="1">IFERROR(__xludf.DUMMYFUNCTION("""COMPUTED_VALUE"""),0.0252430556031244)</f>
        <v>2.5243055603124401E-2</v>
      </c>
      <c r="H41" s="17">
        <f ca="1">IFERROR(__xludf.DUMMYFUNCTION("""COMPUTED_VALUE"""),0.00453703704979733)</f>
        <v>4.5370370497973302E-3</v>
      </c>
      <c r="I41" s="17">
        <f ca="1">IFERROR(__xludf.DUMMYFUNCTION("""COMPUTED_VALUE"""),0.00835648154055616)</f>
        <v>8.3564815405561595E-3</v>
      </c>
      <c r="J41" s="17">
        <f ca="1">IFERROR(__xludf.DUMMYFUNCTION("""COMPUTED_VALUE"""),0.0113657398347162)</f>
        <v>1.13657398347162E-2</v>
      </c>
      <c r="K41" s="18">
        <f ca="1">IFERROR(__xludf.DUMMYFUNCTION("""COMPUTED_VALUE"""),0.000983797178054754)</f>
        <v>9.837971780547539E-4</v>
      </c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20"/>
      <c r="W41" s="20"/>
      <c r="X41" s="20"/>
      <c r="Y41" s="20"/>
      <c r="Z41" s="21"/>
      <c r="AA41" s="22"/>
      <c r="AB41" s="23"/>
    </row>
    <row r="42" spans="1:28" ht="13.5" customHeight="1" x14ac:dyDescent="0.35">
      <c r="A42" s="24">
        <f ca="1">IFERROR(__xludf.DUMMYFUNCTION("""COMPUTED_VALUE"""),41)</f>
        <v>41</v>
      </c>
      <c r="B42" s="25" t="str">
        <f ca="1">IFERROR(__xludf.DUMMYFUNCTION("""COMPUTED_VALUE"""),"96")</f>
        <v>96</v>
      </c>
      <c r="C42" s="26" t="str">
        <f ca="1">IFERROR(__xludf.DUMMYFUNCTION("""COMPUTED_VALUE"""),"VOROS")</f>
        <v>VOROS</v>
      </c>
      <c r="D42" s="27" t="str">
        <f ca="1">IFERROR(__xludf.DUMMYFUNCTION("""COMPUTED_VALUE"""),"CAROLINE")</f>
        <v>CAROLINE</v>
      </c>
      <c r="E42" s="15" t="str">
        <f ca="1">IFERROR(__xludf.DUMMYFUNCTION("""COMPUTED_VALUE"""),"SF2")</f>
        <v>SF2</v>
      </c>
      <c r="F42" s="28">
        <f ca="1">IFERROR(__xludf.DUMMYFUNCTION("""COMPUTED_VALUE"""),8)</f>
        <v>8</v>
      </c>
      <c r="G42" s="16">
        <f ca="1">IFERROR(__xludf.DUMMYFUNCTION("""COMPUTED_VALUE"""),0.0254050936332292)</f>
        <v>2.5405093633229198E-2</v>
      </c>
      <c r="H42" s="17">
        <f ca="1">IFERROR(__xludf.DUMMYFUNCTION("""COMPUTED_VALUE"""),0.0043287037427351)</f>
        <v>4.3287037427350997E-3</v>
      </c>
      <c r="I42" s="17">
        <f ca="1">IFERROR(__xludf.DUMMYFUNCTION("""COMPUTED_VALUE"""),0.00850694445984903)</f>
        <v>8.5069444598490293E-3</v>
      </c>
      <c r="J42" s="17">
        <f ca="1">IFERROR(__xludf.DUMMYFUNCTION("""COMPUTED_VALUE"""),0.011412037797795)</f>
        <v>1.1412037797795E-2</v>
      </c>
      <c r="K42" s="18">
        <f ca="1">IFERROR(__xludf.DUMMYFUNCTION("""COMPUTED_VALUE"""),0.00115740763285001)</f>
        <v>1.1574076328500101E-3</v>
      </c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20"/>
      <c r="W42" s="20"/>
      <c r="X42" s="20"/>
      <c r="Y42" s="20"/>
      <c r="Z42" s="21"/>
      <c r="AA42" s="22"/>
      <c r="AB42" s="23"/>
    </row>
    <row r="43" spans="1:28" ht="13.5" customHeight="1" x14ac:dyDescent="0.35">
      <c r="A43" s="24">
        <f ca="1">IFERROR(__xludf.DUMMYFUNCTION("""COMPUTED_VALUE"""),42)</f>
        <v>42</v>
      </c>
      <c r="B43" s="25" t="str">
        <f ca="1">IFERROR(__xludf.DUMMYFUNCTION("""COMPUTED_VALUE"""),"123")</f>
        <v>123</v>
      </c>
      <c r="C43" s="26" t="str">
        <f ca="1">IFERROR(__xludf.DUMMYFUNCTION("""COMPUTED_VALUE"""),"DUCLOS AMEUR")</f>
        <v>DUCLOS AMEUR</v>
      </c>
      <c r="D43" s="27" t="str">
        <f ca="1">IFERROR(__xludf.DUMMYFUNCTION("""COMPUTED_VALUE"""),"NOAM")</f>
        <v>NOAM</v>
      </c>
      <c r="E43" s="15" t="str">
        <f ca="1">IFERROR(__xludf.DUMMYFUNCTION("""COMPUTED_VALUE"""),"SF2")</f>
        <v>SF2</v>
      </c>
      <c r="F43" s="28">
        <f ca="1">IFERROR(__xludf.DUMMYFUNCTION("""COMPUTED_VALUE"""),9)</f>
        <v>9</v>
      </c>
      <c r="G43" s="16">
        <f ca="1">IFERROR(__xludf.DUMMYFUNCTION("""COMPUTED_VALUE"""),0.025474537338089)</f>
        <v>2.5474537338089E-2</v>
      </c>
      <c r="H43" s="17">
        <f ca="1">IFERROR(__xludf.DUMMYFUNCTION("""COMPUTED_VALUE"""),0.00521990752275978)</f>
        <v>5.2199075227597801E-3</v>
      </c>
      <c r="I43" s="17">
        <f ca="1">IFERROR(__xludf.DUMMYFUNCTION("""COMPUTED_VALUE"""),0.008946759352332)</f>
        <v>8.9467593523320007E-3</v>
      </c>
      <c r="J43" s="17">
        <f ca="1">IFERROR(__xludf.DUMMYFUNCTION("""COMPUTED_VALUE"""),0.0100694439690501)</f>
        <v>1.00694439690501E-2</v>
      </c>
      <c r="K43" s="18">
        <f ca="1">IFERROR(__xludf.DUMMYFUNCTION("""COMPUTED_VALUE"""),0.00123842649394709)</f>
        <v>1.23842649394709E-3</v>
      </c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20"/>
      <c r="W43" s="20"/>
      <c r="X43" s="20"/>
      <c r="Y43" s="20"/>
      <c r="Z43" s="21"/>
      <c r="AA43" s="22"/>
      <c r="AB43" s="23"/>
    </row>
    <row r="44" spans="1:28" ht="13.5" customHeight="1" x14ac:dyDescent="0.35">
      <c r="A44" s="24">
        <f ca="1">IFERROR(__xludf.DUMMYFUNCTION("""COMPUTED_VALUE"""),43)</f>
        <v>43</v>
      </c>
      <c r="B44" s="25" t="str">
        <f ca="1">IFERROR(__xludf.DUMMYFUNCTION("""COMPUTED_VALUE"""),"165")</f>
        <v>165</v>
      </c>
      <c r="C44" s="26" t="str">
        <f ca="1">IFERROR(__xludf.DUMMYFUNCTION("""COMPUTED_VALUE"""),"LE HUËROU")</f>
        <v>LE HUËROU</v>
      </c>
      <c r="D44" s="27" t="str">
        <f ca="1">IFERROR(__xludf.DUMMYFUNCTION("""COMPUTED_VALUE"""),"MORGANE")</f>
        <v>MORGANE</v>
      </c>
      <c r="E44" s="15" t="str">
        <f ca="1">IFERROR(__xludf.DUMMYFUNCTION("""COMPUTED_VALUE"""),"SF3")</f>
        <v>SF3</v>
      </c>
      <c r="F44" s="28">
        <f ca="1">IFERROR(__xludf.DUMMYFUNCTION("""COMPUTED_VALUE"""),13)</f>
        <v>13</v>
      </c>
      <c r="G44" s="16">
        <f ca="1">IFERROR(__xludf.DUMMYFUNCTION("""COMPUTED_VALUE"""),0.0255439826197151)</f>
        <v>2.5543982619715098E-2</v>
      </c>
      <c r="H44" s="17">
        <f ca="1">IFERROR(__xludf.DUMMYFUNCTION("""COMPUTED_VALUE"""),0.0039004630197121)</f>
        <v>3.9004630197120999E-3</v>
      </c>
      <c r="I44" s="17">
        <f ca="1">IFERROR(__xludf.DUMMYFUNCTION("""COMPUTED_VALUE"""),0.00989583340196031)</f>
        <v>9.8958334019603102E-3</v>
      </c>
      <c r="J44" s="17">
        <f ca="1">IFERROR(__xludf.DUMMYFUNCTION("""COMPUTED_VALUE"""),0.0108796299892642)</f>
        <v>1.08796299892642E-2</v>
      </c>
      <c r="K44" s="18">
        <f ca="1">IFERROR(__xludf.DUMMYFUNCTION("""COMPUTED_VALUE"""),0.000868056208778496)</f>
        <v>8.6805620877849598E-4</v>
      </c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20"/>
      <c r="W44" s="20"/>
      <c r="X44" s="20"/>
      <c r="Y44" s="20"/>
      <c r="Z44" s="21"/>
      <c r="AA44" s="22"/>
      <c r="AB44" s="23"/>
    </row>
    <row r="45" spans="1:28" ht="13.5" customHeight="1" x14ac:dyDescent="0.35">
      <c r="A45" s="24">
        <f ca="1">IFERROR(__xludf.DUMMYFUNCTION("""COMPUTED_VALUE"""),44)</f>
        <v>44</v>
      </c>
      <c r="B45" s="25" t="str">
        <f ca="1">IFERROR(__xludf.DUMMYFUNCTION("""COMPUTED_VALUE"""),"67")</f>
        <v>67</v>
      </c>
      <c r="C45" s="26" t="str">
        <f ca="1">IFERROR(__xludf.DUMMYFUNCTION("""COMPUTED_VALUE"""),"LUGBULL")</f>
        <v>LUGBULL</v>
      </c>
      <c r="D45" s="27" t="str">
        <f ca="1">IFERROR(__xludf.DUMMYFUNCTION("""COMPUTED_VALUE"""),"ELINA")</f>
        <v>ELINA</v>
      </c>
      <c r="E45" s="15" t="str">
        <f ca="1">IFERROR(__xludf.DUMMYFUNCTION("""COMPUTED_VALUE"""),"SF3")</f>
        <v>SF3</v>
      </c>
      <c r="F45" s="28">
        <f ca="1">IFERROR(__xludf.DUMMYFUNCTION("""COMPUTED_VALUE"""),14)</f>
        <v>14</v>
      </c>
      <c r="G45" s="16">
        <f ca="1">IFERROR(__xludf.DUMMYFUNCTION("""COMPUTED_VALUE"""),0.0257291675413635)</f>
        <v>2.57291675413635E-2</v>
      </c>
      <c r="H45" s="17">
        <f ca="1">IFERROR(__xludf.DUMMYFUNCTION("""COMPUTED_VALUE"""),0.00534722230932329)</f>
        <v>5.3472223093232896E-3</v>
      </c>
      <c r="I45" s="17">
        <f ca="1">IFERROR(__xludf.DUMMYFUNCTION("""COMPUTED_VALUE"""),0.00819444452137875)</f>
        <v>8.1944445213787496E-3</v>
      </c>
      <c r="J45" s="17">
        <f ca="1">IFERROR(__xludf.DUMMYFUNCTION("""COMPUTED_VALUE"""),0.010949074269992)</f>
        <v>1.0949074269992001E-2</v>
      </c>
      <c r="K45" s="18">
        <f ca="1">IFERROR(__xludf.DUMMYFUNCTION("""COMPUTED_VALUE"""),0.00123842644066947)</f>
        <v>1.23842644066947E-3</v>
      </c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20"/>
      <c r="W45" s="20"/>
      <c r="X45" s="20"/>
      <c r="Y45" s="20"/>
      <c r="Z45" s="21"/>
      <c r="AA45" s="22"/>
      <c r="AB45" s="23"/>
    </row>
    <row r="46" spans="1:28" ht="13.5" customHeight="1" x14ac:dyDescent="0.35">
      <c r="A46" s="24">
        <f ca="1">IFERROR(__xludf.DUMMYFUNCTION("""COMPUTED_VALUE"""),45)</f>
        <v>45</v>
      </c>
      <c r="B46" s="25" t="str">
        <f ca="1">IFERROR(__xludf.DUMMYFUNCTION("""COMPUTED_VALUE"""),"12")</f>
        <v>12</v>
      </c>
      <c r="C46" s="26" t="str">
        <f ca="1">IFERROR(__xludf.DUMMYFUNCTION("""COMPUTED_VALUE"""),"DALLONI")</f>
        <v>DALLONI</v>
      </c>
      <c r="D46" s="27" t="str">
        <f ca="1">IFERROR(__xludf.DUMMYFUNCTION("""COMPUTED_VALUE"""),"EVE")</f>
        <v>EVE</v>
      </c>
      <c r="E46" s="15" t="str">
        <f ca="1">IFERROR(__xludf.DUMMYFUNCTION("""COMPUTED_VALUE"""),"SF3")</f>
        <v>SF3</v>
      </c>
      <c r="F46" s="28">
        <f ca="1">IFERROR(__xludf.DUMMYFUNCTION("""COMPUTED_VALUE"""),15)</f>
        <v>15</v>
      </c>
      <c r="G46" s="16">
        <f ca="1">IFERROR(__xludf.DUMMYFUNCTION("""COMPUTED_VALUE"""),0.0261458334927834)</f>
        <v>2.6145833492783401E-2</v>
      </c>
      <c r="H46" s="17">
        <f ca="1">IFERROR(__xludf.DUMMYFUNCTION("""COMPUTED_VALUE"""),0.00511574078804776)</f>
        <v>5.1157407880477604E-3</v>
      </c>
      <c r="I46" s="17">
        <f ca="1">IFERROR(__xludf.DUMMYFUNCTION("""COMPUTED_VALUE"""),0.00850694455485086)</f>
        <v>8.5069445548508604E-3</v>
      </c>
      <c r="J46" s="17">
        <f ca="1">IFERROR(__xludf.DUMMYFUNCTION("""COMPUTED_VALUE"""),0.0110069445961869)</f>
        <v>1.10069445961869E-2</v>
      </c>
      <c r="K46" s="18">
        <f ca="1">IFERROR(__xludf.DUMMYFUNCTION("""COMPUTED_VALUE"""),0.00151620355369785)</f>
        <v>1.51620355369785E-3</v>
      </c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20"/>
      <c r="W46" s="20"/>
      <c r="X46" s="20"/>
      <c r="Y46" s="20"/>
      <c r="Z46" s="21"/>
      <c r="AA46" s="22"/>
      <c r="AB46" s="23"/>
    </row>
    <row r="47" spans="1:28" ht="13.5" customHeight="1" x14ac:dyDescent="0.35">
      <c r="A47" s="24">
        <f ca="1">IFERROR(__xludf.DUMMYFUNCTION("""COMPUTED_VALUE"""),46)</f>
        <v>46</v>
      </c>
      <c r="B47" s="25" t="str">
        <f ca="1">IFERROR(__xludf.DUMMYFUNCTION("""COMPUTED_VALUE"""),"162")</f>
        <v>162</v>
      </c>
      <c r="C47" s="26" t="str">
        <f ca="1">IFERROR(__xludf.DUMMYFUNCTION("""COMPUTED_VALUE"""),"NGUYEN-NGOC")</f>
        <v>NGUYEN-NGOC</v>
      </c>
      <c r="D47" s="27" t="str">
        <f ca="1">IFERROR(__xludf.DUMMYFUNCTION("""COMPUTED_VALUE"""),"AUDE")</f>
        <v>AUDE</v>
      </c>
      <c r="E47" s="15" t="str">
        <f ca="1">IFERROR(__xludf.DUMMYFUNCTION("""COMPUTED_VALUE"""),"MF2")</f>
        <v>MF2</v>
      </c>
      <c r="F47" s="28">
        <f ca="1">IFERROR(__xludf.DUMMYFUNCTION("""COMPUTED_VALUE"""),5)</f>
        <v>5</v>
      </c>
      <c r="G47" s="16">
        <f ca="1">IFERROR(__xludf.DUMMYFUNCTION("""COMPUTED_VALUE"""),0.0261921306944803)</f>
        <v>2.6192130694480301E-2</v>
      </c>
      <c r="H47" s="17">
        <f ca="1">IFERROR(__xludf.DUMMYFUNCTION("""COMPUTED_VALUE"""),0.00540509260517506)</f>
        <v>5.4050926051750596E-3</v>
      </c>
      <c r="I47" s="17">
        <f ca="1">IFERROR(__xludf.DUMMYFUNCTION("""COMPUTED_VALUE"""),0.00863425933086822)</f>
        <v>8.63425933086822E-3</v>
      </c>
      <c r="J47" s="17">
        <f ca="1">IFERROR(__xludf.DUMMYFUNCTION("""COMPUTED_VALUE"""),0.0108912040044828)</f>
        <v>1.0891204004482799E-2</v>
      </c>
      <c r="K47" s="18">
        <f ca="1">IFERROR(__xludf.DUMMYFUNCTION("""COMPUTED_VALUE"""),0.00126157475395421)</f>
        <v>1.2615747539542099E-3</v>
      </c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20"/>
      <c r="W47" s="20"/>
      <c r="X47" s="20"/>
      <c r="Y47" s="20"/>
      <c r="Z47" s="21"/>
      <c r="AA47" s="22"/>
      <c r="AB47" s="23"/>
    </row>
    <row r="48" spans="1:28" ht="13.5" customHeight="1" x14ac:dyDescent="0.35">
      <c r="A48" s="24">
        <f ca="1">IFERROR(__xludf.DUMMYFUNCTION("""COMPUTED_VALUE"""),47)</f>
        <v>47</v>
      </c>
      <c r="B48" s="25" t="str">
        <f ca="1">IFERROR(__xludf.DUMMYFUNCTION("""COMPUTED_VALUE"""),"56")</f>
        <v>56</v>
      </c>
      <c r="C48" s="26" t="str">
        <f ca="1">IFERROR(__xludf.DUMMYFUNCTION("""COMPUTED_VALUE"""),"BARREAU")</f>
        <v>BARREAU</v>
      </c>
      <c r="D48" s="27" t="str">
        <f ca="1">IFERROR(__xludf.DUMMYFUNCTION("""COMPUTED_VALUE"""),"AXELLE")</f>
        <v>AXELLE</v>
      </c>
      <c r="E48" s="15" t="str">
        <f ca="1">IFERROR(__xludf.DUMMYFUNCTION("""COMPUTED_VALUE"""),"SF3")</f>
        <v>SF3</v>
      </c>
      <c r="F48" s="28">
        <f ca="1">IFERROR(__xludf.DUMMYFUNCTION("""COMPUTED_VALUE"""),16)</f>
        <v>16</v>
      </c>
      <c r="G48" s="16">
        <f ca="1">IFERROR(__xludf.DUMMYFUNCTION("""COMPUTED_VALUE"""),0.0263773151580049)</f>
        <v>2.6377315158004899E-2</v>
      </c>
      <c r="H48" s="17">
        <f ca="1">IFERROR(__xludf.DUMMYFUNCTION("""COMPUTED_VALUE"""),0.00513888890283706)</f>
        <v>5.1388889028370598E-3</v>
      </c>
      <c r="I48" s="17">
        <f ca="1">IFERROR(__xludf.DUMMYFUNCTION("""COMPUTED_VALUE"""),0.00909722223372957)</f>
        <v>9.0972222337295707E-3</v>
      </c>
      <c r="J48" s="17">
        <f ca="1">IFERROR(__xludf.DUMMYFUNCTION("""COMPUTED_VALUE"""),0.0108912035694999)</f>
        <v>1.0891203569499901E-2</v>
      </c>
      <c r="K48" s="18">
        <f ca="1">IFERROR(__xludf.DUMMYFUNCTION("""COMPUTED_VALUE"""),0.00125000045193843)</f>
        <v>1.2500004519384301E-3</v>
      </c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20"/>
      <c r="W48" s="20"/>
      <c r="X48" s="20"/>
      <c r="Y48" s="20"/>
      <c r="Z48" s="21"/>
      <c r="AA48" s="22"/>
      <c r="AB48" s="23"/>
    </row>
    <row r="49" spans="1:28" ht="13.5" customHeight="1" x14ac:dyDescent="0.35">
      <c r="A49" s="24">
        <f ca="1">IFERROR(__xludf.DUMMYFUNCTION("""COMPUTED_VALUE"""),48)</f>
        <v>48</v>
      </c>
      <c r="B49" s="25" t="str">
        <f ca="1">IFERROR(__xludf.DUMMYFUNCTION("""COMPUTED_VALUE"""),"57")</f>
        <v>57</v>
      </c>
      <c r="C49" s="26" t="str">
        <f ca="1">IFERROR(__xludf.DUMMYFUNCTION("""COMPUTED_VALUE"""),"ROUAUD")</f>
        <v>ROUAUD</v>
      </c>
      <c r="D49" s="27" t="str">
        <f ca="1">IFERROR(__xludf.DUMMYFUNCTION("""COMPUTED_VALUE"""),"CLEMENCE")</f>
        <v>CLEMENCE</v>
      </c>
      <c r="E49" s="15" t="str">
        <f ca="1">IFERROR(__xludf.DUMMYFUNCTION("""COMPUTED_VALUE"""),"SF3")</f>
        <v>SF3</v>
      </c>
      <c r="F49" s="28">
        <f ca="1">IFERROR(__xludf.DUMMYFUNCTION("""COMPUTED_VALUE"""),17)</f>
        <v>17</v>
      </c>
      <c r="G49" s="16">
        <f ca="1">IFERROR(__xludf.DUMMYFUNCTION("""COMPUTED_VALUE"""),0.026377315840755)</f>
        <v>2.6377315840754999E-2</v>
      </c>
      <c r="H49" s="17">
        <f ca="1">IFERROR(__xludf.DUMMYFUNCTION("""COMPUTED_VALUE"""),0.00503472224990895)</f>
        <v>5.0347222499089496E-3</v>
      </c>
      <c r="I49" s="17">
        <f ca="1">IFERROR(__xludf.DUMMYFUNCTION("""COMPUTED_VALUE"""),0.00907407414704983)</f>
        <v>9.0740741470498303E-3</v>
      </c>
      <c r="J49" s="17">
        <f ca="1">IFERROR(__xludf.DUMMYFUNCTION("""COMPUTED_VALUE"""),0.0109722225840529)</f>
        <v>1.09722225840529E-2</v>
      </c>
      <c r="K49" s="18">
        <f ca="1">IFERROR(__xludf.DUMMYFUNCTION("""COMPUTED_VALUE"""),0.00129629685974338)</f>
        <v>1.29629685974338E-3</v>
      </c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20"/>
      <c r="W49" s="20"/>
      <c r="X49" s="20"/>
      <c r="Y49" s="20"/>
      <c r="Z49" s="21"/>
      <c r="AA49" s="22"/>
      <c r="AB49" s="23"/>
    </row>
    <row r="50" spans="1:28" ht="13.5" customHeight="1" x14ac:dyDescent="0.35">
      <c r="A50" s="24">
        <f ca="1">IFERROR(__xludf.DUMMYFUNCTION("""COMPUTED_VALUE"""),49)</f>
        <v>49</v>
      </c>
      <c r="B50" s="25" t="str">
        <f ca="1">IFERROR(__xludf.DUMMYFUNCTION("""COMPUTED_VALUE"""),"190")</f>
        <v>190</v>
      </c>
      <c r="C50" s="26" t="str">
        <f ca="1">IFERROR(__xludf.DUMMYFUNCTION("""COMPUTED_VALUE"""),"LE POËZELLER")</f>
        <v>LE POËZELLER</v>
      </c>
      <c r="D50" s="27" t="str">
        <f ca="1">IFERROR(__xludf.DUMMYFUNCTION("""COMPUTED_VALUE"""),"DIANE")</f>
        <v>DIANE</v>
      </c>
      <c r="E50" s="15" t="str">
        <f ca="1">IFERROR(__xludf.DUMMYFUNCTION("""COMPUTED_VALUE"""),"SF1")</f>
        <v>SF1</v>
      </c>
      <c r="F50" s="28">
        <f ca="1">IFERROR(__xludf.DUMMYFUNCTION("""COMPUTED_VALUE"""),2)</f>
        <v>2</v>
      </c>
      <c r="G50" s="16">
        <f ca="1">IFERROR(__xludf.DUMMYFUNCTION("""COMPUTED_VALUE"""),0.0264699084074793)</f>
        <v>2.6469908407479301E-2</v>
      </c>
      <c r="H50" s="17">
        <f ca="1">IFERROR(__xludf.DUMMYFUNCTION("""COMPUTED_VALUE"""),0.00484953712406991)</f>
        <v>4.8495371240699098E-3</v>
      </c>
      <c r="I50" s="17">
        <f ca="1">IFERROR(__xludf.DUMMYFUNCTION("""COMPUTED_VALUE"""),0.00961805565833208)</f>
        <v>9.6180556583320802E-3</v>
      </c>
      <c r="J50" s="17">
        <f ca="1">IFERROR(__xludf.DUMMYFUNCTION("""COMPUTED_VALUE"""),0.0105208336240584)</f>
        <v>1.0520833624058401E-2</v>
      </c>
      <c r="K50" s="18">
        <f ca="1">IFERROR(__xludf.DUMMYFUNCTION("""COMPUTED_VALUE"""),0.0014814820010189)</f>
        <v>1.4814820010188999E-3</v>
      </c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20"/>
      <c r="W50" s="20"/>
      <c r="X50" s="20"/>
      <c r="Y50" s="20"/>
      <c r="Z50" s="21"/>
      <c r="AA50" s="22"/>
      <c r="AB50" s="23"/>
    </row>
    <row r="51" spans="1:28" ht="13.5" customHeight="1" x14ac:dyDescent="0.35">
      <c r="A51" s="24">
        <f ca="1">IFERROR(__xludf.DUMMYFUNCTION("""COMPUTED_VALUE"""),50)</f>
        <v>50</v>
      </c>
      <c r="B51" s="25" t="str">
        <f ca="1">IFERROR(__xludf.DUMMYFUNCTION("""COMPUTED_VALUE"""),"72")</f>
        <v>72</v>
      </c>
      <c r="C51" s="26" t="str">
        <f ca="1">IFERROR(__xludf.DUMMYFUNCTION("""COMPUTED_VALUE"""),"PETIT")</f>
        <v>PETIT</v>
      </c>
      <c r="D51" s="27" t="str">
        <f ca="1">IFERROR(__xludf.DUMMYFUNCTION("""COMPUTED_VALUE"""),"LAURENE")</f>
        <v>LAURENE</v>
      </c>
      <c r="E51" s="15" t="str">
        <f ca="1">IFERROR(__xludf.DUMMYFUNCTION("""COMPUTED_VALUE"""),"SF3")</f>
        <v>SF3</v>
      </c>
      <c r="F51" s="28">
        <f ca="1">IFERROR(__xludf.DUMMYFUNCTION("""COMPUTED_VALUE"""),18)</f>
        <v>18</v>
      </c>
      <c r="G51" s="16">
        <f ca="1">IFERROR(__xludf.DUMMYFUNCTION("""COMPUTED_VALUE"""),0.0269212974431772)</f>
        <v>2.69212974431772E-2</v>
      </c>
      <c r="H51" s="17">
        <f ca="1">IFERROR(__xludf.DUMMYFUNCTION("""COMPUTED_VALUE"""),0.00554398159123698)</f>
        <v>5.5439815912369803E-3</v>
      </c>
      <c r="I51" s="17">
        <f ca="1">IFERROR(__xludf.DUMMYFUNCTION("""COMPUTED_VALUE"""),0.00928240746089988)</f>
        <v>9.2824074608998802E-3</v>
      </c>
      <c r="J51" s="17">
        <f ca="1">IFERROR(__xludf.DUMMYFUNCTION("""COMPUTED_VALUE"""),0.0111458343396564)</f>
        <v>1.1145834339656401E-2</v>
      </c>
      <c r="K51" s="18">
        <f ca="1">IFERROR(__xludf.DUMMYFUNCTION("""COMPUTED_VALUE"""),0.000949074051383907)</f>
        <v>9.4907405138390695E-4</v>
      </c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20"/>
      <c r="W51" s="20"/>
      <c r="X51" s="20"/>
      <c r="Y51" s="20"/>
      <c r="Z51" s="21"/>
      <c r="AA51" s="22"/>
      <c r="AB51" s="23"/>
    </row>
    <row r="52" spans="1:28" ht="13.5" customHeight="1" x14ac:dyDescent="0.35">
      <c r="A52" s="24">
        <f ca="1">IFERROR(__xludf.DUMMYFUNCTION("""COMPUTED_VALUE"""),51)</f>
        <v>51</v>
      </c>
      <c r="B52" s="25" t="str">
        <f ca="1">IFERROR(__xludf.DUMMYFUNCTION("""COMPUTED_VALUE"""),"70")</f>
        <v>70</v>
      </c>
      <c r="C52" s="26" t="str">
        <f ca="1">IFERROR(__xludf.DUMMYFUNCTION("""COMPUTED_VALUE"""),"MARINET")</f>
        <v>MARINET</v>
      </c>
      <c r="D52" s="27" t="str">
        <f ca="1">IFERROR(__xludf.DUMMYFUNCTION("""COMPUTED_VALUE"""),"DELPHINE")</f>
        <v>DELPHINE</v>
      </c>
      <c r="E52" s="15" t="str">
        <f ca="1">IFERROR(__xludf.DUMMYFUNCTION("""COMPUTED_VALUE"""),"MF4")</f>
        <v>MF4</v>
      </c>
      <c r="F52" s="28">
        <f ca="1">IFERROR(__xludf.DUMMYFUNCTION("""COMPUTED_VALUE"""),1)</f>
        <v>1</v>
      </c>
      <c r="G52" s="16">
        <f ca="1">IFERROR(__xludf.DUMMYFUNCTION("""COMPUTED_VALUE"""),0.0271064822121077)</f>
        <v>2.7106482212107701E-2</v>
      </c>
      <c r="H52" s="17">
        <f ca="1">IFERROR(__xludf.DUMMYFUNCTION("""COMPUTED_VALUE"""),0.00516203714992702)</f>
        <v>5.16203714992702E-3</v>
      </c>
      <c r="I52" s="17">
        <f ca="1">IFERROR(__xludf.DUMMYFUNCTION("""COMPUTED_VALUE"""),0.00846064818805948)</f>
        <v>8.4606481880594806E-3</v>
      </c>
      <c r="J52" s="17">
        <f ca="1">IFERROR(__xludf.DUMMYFUNCTION("""COMPUTED_VALUE"""),0.0123148145188664)</f>
        <v>1.23148145188664E-2</v>
      </c>
      <c r="K52" s="18">
        <f ca="1">IFERROR(__xludf.DUMMYFUNCTION("""COMPUTED_VALUE"""),0.00116898235525475)</f>
        <v>1.1689823552547499E-3</v>
      </c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20"/>
      <c r="W52" s="20"/>
      <c r="X52" s="20"/>
      <c r="Y52" s="20"/>
      <c r="Z52" s="21"/>
      <c r="AA52" s="22"/>
      <c r="AB52" s="23"/>
    </row>
    <row r="53" spans="1:28" ht="13.5" customHeight="1" x14ac:dyDescent="0.35">
      <c r="A53" s="24">
        <f ca="1">IFERROR(__xludf.DUMMYFUNCTION("""COMPUTED_VALUE"""),52)</f>
        <v>52</v>
      </c>
      <c r="B53" s="25" t="str">
        <f ca="1">IFERROR(__xludf.DUMMYFUNCTION("""COMPUTED_VALUE"""),"68")</f>
        <v>68</v>
      </c>
      <c r="C53" s="26" t="str">
        <f ca="1">IFERROR(__xludf.DUMMYFUNCTION("""COMPUTED_VALUE"""),"POSTEL-VINAY")</f>
        <v>POSTEL-VINAY</v>
      </c>
      <c r="D53" s="27" t="str">
        <f ca="1">IFERROR(__xludf.DUMMYFUNCTION("""COMPUTED_VALUE"""),"MARINE")</f>
        <v>MARINE</v>
      </c>
      <c r="E53" s="15" t="str">
        <f ca="1">IFERROR(__xludf.DUMMYFUNCTION("""COMPUTED_VALUE"""),"SF3")</f>
        <v>SF3</v>
      </c>
      <c r="F53" s="28">
        <f ca="1">IFERROR(__xludf.DUMMYFUNCTION("""COMPUTED_VALUE"""),19)</f>
        <v>19</v>
      </c>
      <c r="G53" s="16">
        <f ca="1">IFERROR(__xludf.DUMMYFUNCTION("""COMPUTED_VALUE"""),0.0273495381873771)</f>
        <v>2.73495381873771E-2</v>
      </c>
      <c r="H53" s="17">
        <f ca="1">IFERROR(__xludf.DUMMYFUNCTION("""COMPUTED_VALUE"""),0.00545138892554666)</f>
        <v>5.4513889255466599E-3</v>
      </c>
      <c r="I53" s="17">
        <f ca="1">IFERROR(__xludf.DUMMYFUNCTION("""COMPUTED_VALUE"""),0.0101736111581497)</f>
        <v>1.0173611158149701E-2</v>
      </c>
      <c r="J53" s="17">
        <f ca="1">IFERROR(__xludf.DUMMYFUNCTION("""COMPUTED_VALUE"""),0.0106828711745657)</f>
        <v>1.06828711745657E-2</v>
      </c>
      <c r="K53" s="18">
        <f ca="1">IFERROR(__xludf.DUMMYFUNCTION("""COMPUTED_VALUE"""),0.00104166692911499)</f>
        <v>1.0416669291149899E-3</v>
      </c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20"/>
      <c r="W53" s="20"/>
      <c r="X53" s="20"/>
      <c r="Y53" s="20"/>
      <c r="Z53" s="21"/>
      <c r="AA53" s="22"/>
      <c r="AB53" s="23"/>
    </row>
    <row r="54" spans="1:28" ht="13.5" customHeight="1" x14ac:dyDescent="0.35">
      <c r="A54" s="24">
        <f ca="1">IFERROR(__xludf.DUMMYFUNCTION("""COMPUTED_VALUE"""),53)</f>
        <v>53</v>
      </c>
      <c r="B54" s="25" t="str">
        <f ca="1">IFERROR(__xludf.DUMMYFUNCTION("""COMPUTED_VALUE"""),"161")</f>
        <v>161</v>
      </c>
      <c r="C54" s="26" t="str">
        <f ca="1">IFERROR(__xludf.DUMMYFUNCTION("""COMPUTED_VALUE"""),"TRAN")</f>
        <v>TRAN</v>
      </c>
      <c r="D54" s="27" t="str">
        <f ca="1">IFERROR(__xludf.DUMMYFUNCTION("""COMPUTED_VALUE"""),"NHA-LE")</f>
        <v>NHA-LE</v>
      </c>
      <c r="E54" s="15" t="str">
        <f ca="1">IFERROR(__xludf.DUMMYFUNCTION("""COMPUTED_VALUE"""),"MF2")</f>
        <v>MF2</v>
      </c>
      <c r="F54" s="28">
        <f ca="1">IFERROR(__xludf.DUMMYFUNCTION("""COMPUTED_VALUE"""),6)</f>
        <v>6</v>
      </c>
      <c r="G54" s="16">
        <f ca="1">IFERROR(__xludf.DUMMYFUNCTION("""COMPUTED_VALUE"""),0.0274305559638199)</f>
        <v>2.7430555963819901E-2</v>
      </c>
      <c r="H54" s="17">
        <f ca="1">IFERROR(__xludf.DUMMYFUNCTION("""COMPUTED_VALUE"""),0.00561342601767308)</f>
        <v>5.6134260176730804E-3</v>
      </c>
      <c r="I54" s="17">
        <f ca="1">IFERROR(__xludf.DUMMYFUNCTION("""COMPUTED_VALUE"""),0.00923611122662794)</f>
        <v>9.2361112266279403E-3</v>
      </c>
      <c r="J54" s="17">
        <f ca="1">IFERROR(__xludf.DUMMYFUNCTION("""COMPUTED_VALUE"""),0.0111342591838822)</f>
        <v>1.11342591838822E-2</v>
      </c>
      <c r="K54" s="18">
        <f ca="1">IFERROR(__xludf.DUMMYFUNCTION("""COMPUTED_VALUE"""),0.00144675953563673)</f>
        <v>1.44675953563673E-3</v>
      </c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20"/>
      <c r="W54" s="20"/>
      <c r="X54" s="20"/>
      <c r="Y54" s="20"/>
      <c r="Z54" s="21"/>
      <c r="AA54" s="22"/>
      <c r="AB54" s="23"/>
    </row>
    <row r="55" spans="1:28" ht="13.5" customHeight="1" x14ac:dyDescent="0.35">
      <c r="A55" s="24">
        <f ca="1">IFERROR(__xludf.DUMMYFUNCTION("""COMPUTED_VALUE"""),54)</f>
        <v>54</v>
      </c>
      <c r="B55" s="25" t="str">
        <f ca="1">IFERROR(__xludf.DUMMYFUNCTION("""COMPUTED_VALUE"""),"51")</f>
        <v>51</v>
      </c>
      <c r="C55" s="26" t="str">
        <f ca="1">IFERROR(__xludf.DUMMYFUNCTION("""COMPUTED_VALUE"""),"MARZEC")</f>
        <v>MARZEC</v>
      </c>
      <c r="D55" s="27" t="str">
        <f ca="1">IFERROR(__xludf.DUMMYFUNCTION("""COMPUTED_VALUE"""),"MAGDA")</f>
        <v>MAGDA</v>
      </c>
      <c r="E55" s="15" t="str">
        <f ca="1">IFERROR(__xludf.DUMMYFUNCTION("""COMPUTED_VALUE"""),"SF4")</f>
        <v>SF4</v>
      </c>
      <c r="F55" s="28">
        <f ca="1">IFERROR(__xludf.DUMMYFUNCTION("""COMPUTED_VALUE"""),11)</f>
        <v>11</v>
      </c>
      <c r="G55" s="16">
        <f ca="1">IFERROR(__xludf.DUMMYFUNCTION("""COMPUTED_VALUE"""),0.027465278395777)</f>
        <v>2.7465278395777001E-2</v>
      </c>
      <c r="H55" s="17">
        <f ca="1">IFERROR(__xludf.DUMMYFUNCTION("""COMPUTED_VALUE"""),0.00512731486121523)</f>
        <v>5.1273148612152302E-3</v>
      </c>
      <c r="I55" s="17">
        <f ca="1">IFERROR(__xludf.DUMMYFUNCTION("""COMPUTED_VALUE"""),0.00884259261842291)</f>
        <v>8.8425926184229099E-3</v>
      </c>
      <c r="J55" s="17">
        <f ca="1">IFERROR(__xludf.DUMMYFUNCTION("""COMPUTED_VALUE"""),0.011180555675218)</f>
        <v>1.1180555675218E-2</v>
      </c>
      <c r="K55" s="18">
        <f ca="1">IFERROR(__xludf.DUMMYFUNCTION("""COMPUTED_VALUE"""),0.00231481524092083)</f>
        <v>2.3148152409208302E-3</v>
      </c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20"/>
      <c r="W55" s="20"/>
      <c r="X55" s="20"/>
      <c r="Y55" s="20"/>
      <c r="Z55" s="21"/>
      <c r="AA55" s="22"/>
      <c r="AB55" s="23"/>
    </row>
    <row r="56" spans="1:28" ht="13.5" customHeight="1" x14ac:dyDescent="0.35">
      <c r="A56" s="24">
        <f ca="1">IFERROR(__xludf.DUMMYFUNCTION("""COMPUTED_VALUE"""),55)</f>
        <v>55</v>
      </c>
      <c r="B56" s="25" t="str">
        <f ca="1">IFERROR(__xludf.DUMMYFUNCTION("""COMPUTED_VALUE"""),"125")</f>
        <v>125</v>
      </c>
      <c r="C56" s="26" t="str">
        <f ca="1">IFERROR(__xludf.DUMMYFUNCTION("""COMPUTED_VALUE"""),"SURNINA")</f>
        <v>SURNINA</v>
      </c>
      <c r="D56" s="27" t="str">
        <f ca="1">IFERROR(__xludf.DUMMYFUNCTION("""COMPUTED_VALUE"""),"VERONIKA")</f>
        <v>VERONIKA</v>
      </c>
      <c r="E56" s="15" t="str">
        <f ca="1">IFERROR(__xludf.DUMMYFUNCTION("""COMPUTED_VALUE"""),"MF2")</f>
        <v>MF2</v>
      </c>
      <c r="F56" s="28">
        <f ca="1">IFERROR(__xludf.DUMMYFUNCTION("""COMPUTED_VALUE"""),7)</f>
        <v>7</v>
      </c>
      <c r="G56" s="16">
        <f ca="1">IFERROR(__xludf.DUMMYFUNCTION("""COMPUTED_VALUE"""),0.027488426816821)</f>
        <v>2.7488426816821E-2</v>
      </c>
      <c r="H56" s="17">
        <f ca="1">IFERROR(__xludf.DUMMYFUNCTION("""COMPUTED_VALUE"""),0.00423611112591422)</f>
        <v>4.2361111259142199E-3</v>
      </c>
      <c r="I56" s="17">
        <f ca="1">IFERROR(__xludf.DUMMYFUNCTION("""COMPUTED_VALUE"""),0.00967592603644378)</f>
        <v>9.6759260364437799E-3</v>
      </c>
      <c r="J56" s="17">
        <f ca="1">IFERROR(__xludf.DUMMYFUNCTION("""COMPUTED_VALUE"""),0.0120254628700531)</f>
        <v>1.20254628700531E-2</v>
      </c>
      <c r="K56" s="18">
        <f ca="1">IFERROR(__xludf.DUMMYFUNCTION("""COMPUTED_VALUE"""),0.00155092678440984)</f>
        <v>1.55092678440984E-3</v>
      </c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20"/>
      <c r="W56" s="20"/>
      <c r="X56" s="20"/>
      <c r="Y56" s="20"/>
      <c r="Z56" s="21"/>
      <c r="AA56" s="22"/>
      <c r="AB56" s="23"/>
    </row>
    <row r="57" spans="1:28" ht="13.5" customHeight="1" x14ac:dyDescent="0.35">
      <c r="A57" s="24">
        <f ca="1">IFERROR(__xludf.DUMMYFUNCTION("""COMPUTED_VALUE"""),56)</f>
        <v>56</v>
      </c>
      <c r="B57" s="25" t="str">
        <f ca="1">IFERROR(__xludf.DUMMYFUNCTION("""COMPUTED_VALUE"""),"137")</f>
        <v>137</v>
      </c>
      <c r="C57" s="26" t="str">
        <f ca="1">IFERROR(__xludf.DUMMYFUNCTION("""COMPUTED_VALUE"""),"GÈZE PALLARES")</f>
        <v>GÈZE PALLARES</v>
      </c>
      <c r="D57" s="27" t="str">
        <f ca="1">IFERROR(__xludf.DUMMYFUNCTION("""COMPUTED_VALUE"""),"CHARLOTTE")</f>
        <v>CHARLOTTE</v>
      </c>
      <c r="E57" s="15" t="str">
        <f ca="1">IFERROR(__xludf.DUMMYFUNCTION("""COMPUTED_VALUE"""),"SF4")</f>
        <v>SF4</v>
      </c>
      <c r="F57" s="28">
        <f ca="1">IFERROR(__xludf.DUMMYFUNCTION("""COMPUTED_VALUE"""),12)</f>
        <v>12</v>
      </c>
      <c r="G57" s="16">
        <f ca="1">IFERROR(__xludf.DUMMYFUNCTION("""COMPUTED_VALUE"""),0.0286689820555898)</f>
        <v>2.8668982055589799E-2</v>
      </c>
      <c r="H57" s="17">
        <f ca="1">IFERROR(__xludf.DUMMYFUNCTION("""COMPUTED_VALUE"""),0.00509259260043388)</f>
        <v>5.0925926004338797E-3</v>
      </c>
      <c r="I57" s="17">
        <f ca="1">IFERROR(__xludf.DUMMYFUNCTION("""COMPUTED_VALUE"""),0.00909722222785857)</f>
        <v>9.0972222278585708E-3</v>
      </c>
      <c r="J57" s="17">
        <f ca="1">IFERROR(__xludf.DUMMYFUNCTION("""COMPUTED_VALUE"""),0.0134143518143189)</f>
        <v>1.34143518143189E-2</v>
      </c>
      <c r="K57" s="18">
        <f ca="1">IFERROR(__xludf.DUMMYFUNCTION("""COMPUTED_VALUE"""),0.00106481541297843)</f>
        <v>1.0648154129784301E-3</v>
      </c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20"/>
      <c r="W57" s="20"/>
      <c r="X57" s="20"/>
      <c r="Y57" s="20"/>
      <c r="Z57" s="21"/>
      <c r="AA57" s="22"/>
      <c r="AB57" s="23"/>
    </row>
    <row r="58" spans="1:28" ht="13.5" customHeight="1" x14ac:dyDescent="0.35">
      <c r="A58" s="24">
        <f ca="1">IFERROR(__xludf.DUMMYFUNCTION("""COMPUTED_VALUE"""),57)</f>
        <v>57</v>
      </c>
      <c r="B58" s="25" t="str">
        <f ca="1">IFERROR(__xludf.DUMMYFUNCTION("""COMPUTED_VALUE"""),"71")</f>
        <v>71</v>
      </c>
      <c r="C58" s="26" t="str">
        <f ca="1">IFERROR(__xludf.DUMMYFUNCTION("""COMPUTED_VALUE"""),"MARTINEZ")</f>
        <v>MARTINEZ</v>
      </c>
      <c r="D58" s="27" t="str">
        <f ca="1">IFERROR(__xludf.DUMMYFUNCTION("""COMPUTED_VALUE"""),"CHARLOTTE")</f>
        <v>CHARLOTTE</v>
      </c>
      <c r="E58" s="15" t="str">
        <f ca="1">IFERROR(__xludf.DUMMYFUNCTION("""COMPUTED_VALUE"""),"SF4")</f>
        <v>SF4</v>
      </c>
      <c r="F58" s="28">
        <f ca="1">IFERROR(__xludf.DUMMYFUNCTION("""COMPUTED_VALUE"""),13)</f>
        <v>13</v>
      </c>
      <c r="G58" s="16">
        <f ca="1">IFERROR(__xludf.DUMMYFUNCTION("""COMPUTED_VALUE"""),0.0293634264866852)</f>
        <v>2.9363426486685201E-2</v>
      </c>
      <c r="H58" s="17">
        <f ca="1">IFERROR(__xludf.DUMMYFUNCTION("""COMPUTED_VALUE"""),0.00503472230303574)</f>
        <v>5.0347223030357399E-3</v>
      </c>
      <c r="I58" s="17">
        <f ca="1">IFERROR(__xludf.DUMMYFUNCTION("""COMPUTED_VALUE"""),0.00936342593415787)</f>
        <v>9.3634259341578707E-3</v>
      </c>
      <c r="J58" s="17">
        <f ca="1">IFERROR(__xludf.DUMMYFUNCTION("""COMPUTED_VALUE"""),0.0128587961573895)</f>
        <v>1.2858796157389499E-2</v>
      </c>
      <c r="K58" s="18">
        <f ca="1">IFERROR(__xludf.DUMMYFUNCTION("""COMPUTED_VALUE"""),0.00210648209210202)</f>
        <v>2.1064820921020198E-3</v>
      </c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20"/>
      <c r="W58" s="20"/>
      <c r="X58" s="20"/>
      <c r="Y58" s="20"/>
      <c r="Z58" s="21"/>
      <c r="AA58" s="22"/>
      <c r="AB58" s="23"/>
    </row>
    <row r="59" spans="1:28" ht="13.5" customHeight="1" x14ac:dyDescent="0.35">
      <c r="A59" s="24">
        <f ca="1">IFERROR(__xludf.DUMMYFUNCTION("""COMPUTED_VALUE"""),58)</f>
        <v>58</v>
      </c>
      <c r="B59" s="25" t="str">
        <f ca="1">IFERROR(__xludf.DUMMYFUNCTION("""COMPUTED_VALUE"""),"151")</f>
        <v>151</v>
      </c>
      <c r="C59" s="26" t="str">
        <f ca="1">IFERROR(__xludf.DUMMYFUNCTION("""COMPUTED_VALUE"""),"GREGOIRE")</f>
        <v>GREGOIRE</v>
      </c>
      <c r="D59" s="27" t="str">
        <f ca="1">IFERROR(__xludf.DUMMYFUNCTION("""COMPUTED_VALUE"""),"CHRISTELLE")</f>
        <v>CHRISTELLE</v>
      </c>
      <c r="E59" s="15" t="str">
        <f ca="1">IFERROR(__xludf.DUMMYFUNCTION("""COMPUTED_VALUE"""),"MF3")</f>
        <v>MF3</v>
      </c>
      <c r="F59" s="28">
        <f ca="1">IFERROR(__xludf.DUMMYFUNCTION("""COMPUTED_VALUE"""),2)</f>
        <v>2</v>
      </c>
      <c r="G59" s="16">
        <f ca="1">IFERROR(__xludf.DUMMYFUNCTION("""COMPUTED_VALUE"""),0.0295254640925892)</f>
        <v>2.9525464092589201E-2</v>
      </c>
      <c r="H59" s="17">
        <f ca="1">IFERROR(__xludf.DUMMYFUNCTION("""COMPUTED_VALUE"""),0.0064930555857009)</f>
        <v>6.4930555857009003E-3</v>
      </c>
      <c r="I59" s="17">
        <f ca="1">IFERROR(__xludf.DUMMYFUNCTION("""COMPUTED_VALUE"""),0.00875000006553655)</f>
        <v>8.7500000655365492E-3</v>
      </c>
      <c r="J59" s="17">
        <f ca="1">IFERROR(__xludf.DUMMYFUNCTION("""COMPUTED_VALUE"""),0.0128703709867024)</f>
        <v>1.2870370986702399E-2</v>
      </c>
      <c r="K59" s="18">
        <f ca="1">IFERROR(__xludf.DUMMYFUNCTION("""COMPUTED_VALUE"""),0.00141203745464934)</f>
        <v>1.41203745464934E-3</v>
      </c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20"/>
      <c r="W59" s="20"/>
      <c r="X59" s="20"/>
      <c r="Y59" s="20"/>
      <c r="Z59" s="21"/>
      <c r="AA59" s="22"/>
      <c r="AB59" s="23"/>
    </row>
    <row r="60" spans="1:28" ht="13.5" customHeight="1" x14ac:dyDescent="0.35">
      <c r="A60" s="24">
        <f ca="1">IFERROR(__xludf.DUMMYFUNCTION("""COMPUTED_VALUE"""),59)</f>
        <v>59</v>
      </c>
      <c r="B60" s="25" t="str">
        <f ca="1">IFERROR(__xludf.DUMMYFUNCTION("""COMPUTED_VALUE"""),"13")</f>
        <v>13</v>
      </c>
      <c r="C60" s="26" t="str">
        <f ca="1">IFERROR(__xludf.DUMMYFUNCTION("""COMPUTED_VALUE"""),"TEBIB")</f>
        <v>TEBIB</v>
      </c>
      <c r="D60" s="27" t="str">
        <f ca="1">IFERROR(__xludf.DUMMYFUNCTION("""COMPUTED_VALUE"""),"SABRINA")</f>
        <v>SABRINA</v>
      </c>
      <c r="E60" s="15" t="str">
        <f ca="1">IFERROR(__xludf.DUMMYFUNCTION("""COMPUTED_VALUE"""),"MF2")</f>
        <v>MF2</v>
      </c>
      <c r="F60" s="28">
        <f ca="1">IFERROR(__xludf.DUMMYFUNCTION("""COMPUTED_VALUE"""),8)</f>
        <v>8</v>
      </c>
      <c r="G60" s="16">
        <f ca="1">IFERROR(__xludf.DUMMYFUNCTION("""COMPUTED_VALUE"""),0.0307060193664399)</f>
        <v>3.07060193664399E-2</v>
      </c>
      <c r="H60" s="17">
        <f ca="1">IFERROR(__xludf.DUMMYFUNCTION("""COMPUTED_VALUE"""),0.0050462964037608)</f>
        <v>5.0462964037608004E-3</v>
      </c>
      <c r="I60" s="17">
        <f ca="1">IFERROR(__xludf.DUMMYFUNCTION("""COMPUTED_VALUE"""),0.0085648148624747)</f>
        <v>8.5648148624746998E-3</v>
      </c>
      <c r="J60" s="17">
        <f ca="1">IFERROR(__xludf.DUMMYFUNCTION("""COMPUTED_VALUE"""),0.0157754628480727)</f>
        <v>1.5775462848072699E-2</v>
      </c>
      <c r="K60" s="18">
        <f ca="1">IFERROR(__xludf.DUMMYFUNCTION("""COMPUTED_VALUE"""),0.00131944525213173)</f>
        <v>1.31944525213173E-3</v>
      </c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20"/>
      <c r="W60" s="20"/>
      <c r="X60" s="20"/>
      <c r="Y60" s="20"/>
      <c r="Z60" s="21"/>
      <c r="AA60" s="22"/>
      <c r="AB60" s="23"/>
    </row>
    <row r="61" spans="1:28" ht="13.5" customHeight="1" x14ac:dyDescent="0.35">
      <c r="A61" s="24">
        <f ca="1">IFERROR(__xludf.DUMMYFUNCTION("""COMPUTED_VALUE"""),60)</f>
        <v>60</v>
      </c>
      <c r="B61" s="25" t="str">
        <f ca="1">IFERROR(__xludf.DUMMYFUNCTION("""COMPUTED_VALUE"""),"111")</f>
        <v>111</v>
      </c>
      <c r="C61" s="26" t="str">
        <f ca="1">IFERROR(__xludf.DUMMYFUNCTION("""COMPUTED_VALUE"""),"MORELLI")</f>
        <v>MORELLI</v>
      </c>
      <c r="D61" s="27" t="str">
        <f ca="1">IFERROR(__xludf.DUMMYFUNCTION("""COMPUTED_VALUE"""),"AMELIE")</f>
        <v>AMELIE</v>
      </c>
      <c r="E61" s="15" t="str">
        <f ca="1">IFERROR(__xludf.DUMMYFUNCTION("""COMPUTED_VALUE"""),"MF1")</f>
        <v>MF1</v>
      </c>
      <c r="F61" s="28">
        <f ca="1">IFERROR(__xludf.DUMMYFUNCTION("""COMPUTED_VALUE"""),4)</f>
        <v>4</v>
      </c>
      <c r="G61" s="16">
        <f ca="1">IFERROR(__xludf.DUMMYFUNCTION("""COMPUTED_VALUE"""),0.0361689817578868)</f>
        <v>3.6168981757886798E-2</v>
      </c>
      <c r="H61" s="17">
        <f ca="1">IFERROR(__xludf.DUMMYFUNCTION("""COMPUTED_VALUE"""),0.00717592600160848)</f>
        <v>7.1759260016084798E-3</v>
      </c>
      <c r="I61" s="17">
        <f ca="1">IFERROR(__xludf.DUMMYFUNCTION("""COMPUTED_VALUE"""),0.0114467593647737)</f>
        <v>1.14467593647737E-2</v>
      </c>
      <c r="J61" s="17">
        <f ca="1">IFERROR(__xludf.DUMMYFUNCTION("""COMPUTED_VALUE"""),0.0157407401507647)</f>
        <v>1.5740740150764699E-2</v>
      </c>
      <c r="K61" s="18">
        <f ca="1">IFERROR(__xludf.DUMMYFUNCTION("""COMPUTED_VALUE"""),0.0018055562407399)</f>
        <v>1.8055562407399001E-3</v>
      </c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20"/>
      <c r="W61" s="20"/>
      <c r="X61" s="20"/>
      <c r="Y61" s="20"/>
      <c r="Z61" s="21"/>
      <c r="AA61" s="22"/>
      <c r="AB61" s="23"/>
    </row>
    <row r="62" spans="1:28" ht="13.5" customHeight="1" x14ac:dyDescent="0.35">
      <c r="A62" s="24" t="str">
        <f ca="1">IFERROR(__xludf.DUMMYFUNCTION("""COMPUTED_VALUE"""),"")</f>
        <v/>
      </c>
      <c r="B62" s="25" t="str">
        <f ca="1">IFERROR(__xludf.DUMMYFUNCTION("""COMPUTED_VALUE"""),"")</f>
        <v/>
      </c>
      <c r="C62" s="27" t="str">
        <f ca="1">IFERROR(__xludf.DUMMYFUNCTION("""COMPUTED_VALUE"""),"")</f>
        <v/>
      </c>
      <c r="D62" s="27" t="str">
        <f ca="1">IFERROR(__xludf.DUMMYFUNCTION("""COMPUTED_VALUE"""),"")</f>
        <v/>
      </c>
      <c r="E62" s="15" t="str">
        <f ca="1">IFERROR(__xludf.DUMMYFUNCTION("""COMPUTED_VALUE"""),"")</f>
        <v/>
      </c>
      <c r="F62" s="28" t="str">
        <f ca="1">IFERROR(__xludf.DUMMYFUNCTION("""COMPUTED_VALUE"""),"")</f>
        <v/>
      </c>
      <c r="G62" s="16" t="str">
        <f ca="1">IFERROR(__xludf.DUMMYFUNCTION("""COMPUTED_VALUE"""),"")</f>
        <v/>
      </c>
      <c r="H62" s="17" t="str">
        <f ca="1">IFERROR(__xludf.DUMMYFUNCTION("""COMPUTED_VALUE"""),"")</f>
        <v/>
      </c>
      <c r="I62" s="17" t="str">
        <f ca="1">IFERROR(__xludf.DUMMYFUNCTION("""COMPUTED_VALUE"""),"")</f>
        <v/>
      </c>
      <c r="J62" s="17" t="str">
        <f ca="1">IFERROR(__xludf.DUMMYFUNCTION("""COMPUTED_VALUE"""),"")</f>
        <v/>
      </c>
      <c r="K62" s="18" t="str">
        <f ca="1">IFERROR(__xludf.DUMMYFUNCTION("""COMPUTED_VALUE"""),"")</f>
        <v/>
      </c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20"/>
      <c r="W62" s="20"/>
      <c r="X62" s="20"/>
      <c r="Y62" s="20"/>
      <c r="Z62" s="21"/>
      <c r="AA62" s="22"/>
      <c r="AB62" s="23"/>
    </row>
    <row r="63" spans="1:28" ht="13.5" customHeight="1" x14ac:dyDescent="0.35">
      <c r="A63" s="24" t="str">
        <f ca="1">IFERROR(__xludf.DUMMYFUNCTION("""COMPUTED_VALUE"""),"")</f>
        <v/>
      </c>
      <c r="B63" s="25" t="str">
        <f ca="1">IFERROR(__xludf.DUMMYFUNCTION("""COMPUTED_VALUE"""),"")</f>
        <v/>
      </c>
      <c r="C63" s="27" t="str">
        <f ca="1">IFERROR(__xludf.DUMMYFUNCTION("""COMPUTED_VALUE"""),"")</f>
        <v/>
      </c>
      <c r="D63" s="27" t="str">
        <f ca="1">IFERROR(__xludf.DUMMYFUNCTION("""COMPUTED_VALUE"""),"")</f>
        <v/>
      </c>
      <c r="E63" s="15" t="str">
        <f ca="1">IFERROR(__xludf.DUMMYFUNCTION("""COMPUTED_VALUE"""),"")</f>
        <v/>
      </c>
      <c r="F63" s="28" t="str">
        <f ca="1">IFERROR(__xludf.DUMMYFUNCTION("""COMPUTED_VALUE"""),"")</f>
        <v/>
      </c>
      <c r="G63" s="16" t="str">
        <f ca="1">IFERROR(__xludf.DUMMYFUNCTION("""COMPUTED_VALUE"""),"")</f>
        <v/>
      </c>
      <c r="H63" s="17" t="str">
        <f ca="1">IFERROR(__xludf.DUMMYFUNCTION("""COMPUTED_VALUE"""),"")</f>
        <v/>
      </c>
      <c r="I63" s="17" t="str">
        <f ca="1">IFERROR(__xludf.DUMMYFUNCTION("""COMPUTED_VALUE"""),"")</f>
        <v/>
      </c>
      <c r="J63" s="17" t="str">
        <f ca="1">IFERROR(__xludf.DUMMYFUNCTION("""COMPUTED_VALUE"""),"")</f>
        <v/>
      </c>
      <c r="K63" s="18" t="str">
        <f ca="1">IFERROR(__xludf.DUMMYFUNCTION("""COMPUTED_VALUE"""),"")</f>
        <v/>
      </c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20"/>
      <c r="W63" s="20"/>
      <c r="X63" s="20"/>
      <c r="Y63" s="20"/>
      <c r="Z63" s="21"/>
      <c r="AA63" s="22"/>
      <c r="AB63" s="23"/>
    </row>
    <row r="64" spans="1:28" ht="13.5" customHeight="1" x14ac:dyDescent="0.35">
      <c r="A64" s="24" t="str">
        <f ca="1">IFERROR(__xludf.DUMMYFUNCTION("""COMPUTED_VALUE"""),"")</f>
        <v/>
      </c>
      <c r="B64" s="25" t="str">
        <f ca="1">IFERROR(__xludf.DUMMYFUNCTION("""COMPUTED_VALUE"""),"")</f>
        <v/>
      </c>
      <c r="C64" s="27" t="str">
        <f ca="1">IFERROR(__xludf.DUMMYFUNCTION("""COMPUTED_VALUE"""),"")</f>
        <v/>
      </c>
      <c r="D64" s="27" t="str">
        <f ca="1">IFERROR(__xludf.DUMMYFUNCTION("""COMPUTED_VALUE"""),"")</f>
        <v/>
      </c>
      <c r="E64" s="15" t="str">
        <f ca="1">IFERROR(__xludf.DUMMYFUNCTION("""COMPUTED_VALUE"""),"")</f>
        <v/>
      </c>
      <c r="F64" s="28" t="str">
        <f ca="1">IFERROR(__xludf.DUMMYFUNCTION("""COMPUTED_VALUE"""),"")</f>
        <v/>
      </c>
      <c r="G64" s="16" t="str">
        <f ca="1">IFERROR(__xludf.DUMMYFUNCTION("""COMPUTED_VALUE"""),"")</f>
        <v/>
      </c>
      <c r="H64" s="17" t="str">
        <f ca="1">IFERROR(__xludf.DUMMYFUNCTION("""COMPUTED_VALUE"""),"")</f>
        <v/>
      </c>
      <c r="I64" s="17" t="str">
        <f ca="1">IFERROR(__xludf.DUMMYFUNCTION("""COMPUTED_VALUE"""),"")</f>
        <v/>
      </c>
      <c r="J64" s="17" t="str">
        <f ca="1">IFERROR(__xludf.DUMMYFUNCTION("""COMPUTED_VALUE"""),"")</f>
        <v/>
      </c>
      <c r="K64" s="18" t="str">
        <f ca="1">IFERROR(__xludf.DUMMYFUNCTION("""COMPUTED_VALUE"""),"")</f>
        <v/>
      </c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20"/>
      <c r="W64" s="20"/>
      <c r="X64" s="20"/>
      <c r="Y64" s="20"/>
      <c r="Z64" s="21"/>
      <c r="AA64" s="22"/>
      <c r="AB64" s="23"/>
    </row>
    <row r="65" spans="1:28" ht="13.5" customHeight="1" x14ac:dyDescent="0.35">
      <c r="A65" s="24" t="str">
        <f ca="1">IFERROR(__xludf.DUMMYFUNCTION("""COMPUTED_VALUE"""),"")</f>
        <v/>
      </c>
      <c r="B65" s="25" t="str">
        <f ca="1">IFERROR(__xludf.DUMMYFUNCTION("""COMPUTED_VALUE"""),"")</f>
        <v/>
      </c>
      <c r="C65" s="27" t="str">
        <f ca="1">IFERROR(__xludf.DUMMYFUNCTION("""COMPUTED_VALUE"""),"")</f>
        <v/>
      </c>
      <c r="D65" s="27" t="str">
        <f ca="1">IFERROR(__xludf.DUMMYFUNCTION("""COMPUTED_VALUE"""),"")</f>
        <v/>
      </c>
      <c r="E65" s="15" t="str">
        <f ca="1">IFERROR(__xludf.DUMMYFUNCTION("""COMPUTED_VALUE"""),"")</f>
        <v/>
      </c>
      <c r="F65" s="28" t="str">
        <f ca="1">IFERROR(__xludf.DUMMYFUNCTION("""COMPUTED_VALUE"""),"")</f>
        <v/>
      </c>
      <c r="G65" s="16" t="str">
        <f ca="1">IFERROR(__xludf.DUMMYFUNCTION("""COMPUTED_VALUE"""),"")</f>
        <v/>
      </c>
      <c r="H65" s="17" t="str">
        <f ca="1">IFERROR(__xludf.DUMMYFUNCTION("""COMPUTED_VALUE"""),"")</f>
        <v/>
      </c>
      <c r="I65" s="17" t="str">
        <f ca="1">IFERROR(__xludf.DUMMYFUNCTION("""COMPUTED_VALUE"""),"")</f>
        <v/>
      </c>
      <c r="J65" s="17" t="str">
        <f ca="1">IFERROR(__xludf.DUMMYFUNCTION("""COMPUTED_VALUE"""),"")</f>
        <v/>
      </c>
      <c r="K65" s="18" t="str">
        <f ca="1">IFERROR(__xludf.DUMMYFUNCTION("""COMPUTED_VALUE"""),"")</f>
        <v/>
      </c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20"/>
      <c r="W65" s="20"/>
      <c r="X65" s="20"/>
      <c r="Y65" s="20"/>
      <c r="Z65" s="21"/>
      <c r="AA65" s="22"/>
      <c r="AB65" s="23"/>
    </row>
    <row r="66" spans="1:28" ht="13.5" customHeight="1" x14ac:dyDescent="0.35">
      <c r="A66" s="24" t="str">
        <f ca="1">IFERROR(__xludf.DUMMYFUNCTION("""COMPUTED_VALUE"""),"")</f>
        <v/>
      </c>
      <c r="B66" s="28" t="str">
        <f ca="1">IFERROR(__xludf.DUMMYFUNCTION("""COMPUTED_VALUE"""),"")</f>
        <v/>
      </c>
      <c r="C66" s="27" t="str">
        <f ca="1">IFERROR(__xludf.DUMMYFUNCTION("""COMPUTED_VALUE"""),"")</f>
        <v/>
      </c>
      <c r="D66" s="27" t="str">
        <f ca="1">IFERROR(__xludf.DUMMYFUNCTION("""COMPUTED_VALUE"""),"")</f>
        <v/>
      </c>
      <c r="E66" s="15" t="str">
        <f ca="1">IFERROR(__xludf.DUMMYFUNCTION("""COMPUTED_VALUE"""),"")</f>
        <v/>
      </c>
      <c r="F66" s="28" t="str">
        <f ca="1">IFERROR(__xludf.DUMMYFUNCTION("""COMPUTED_VALUE"""),"")</f>
        <v/>
      </c>
      <c r="G66" s="16" t="str">
        <f ca="1">IFERROR(__xludf.DUMMYFUNCTION("""COMPUTED_VALUE"""),"")</f>
        <v/>
      </c>
      <c r="H66" s="17" t="str">
        <f ca="1">IFERROR(__xludf.DUMMYFUNCTION("""COMPUTED_VALUE"""),"")</f>
        <v/>
      </c>
      <c r="I66" s="17" t="str">
        <f ca="1">IFERROR(__xludf.DUMMYFUNCTION("""COMPUTED_VALUE"""),"")</f>
        <v/>
      </c>
      <c r="J66" s="17" t="str">
        <f ca="1">IFERROR(__xludf.DUMMYFUNCTION("""COMPUTED_VALUE"""),"")</f>
        <v/>
      </c>
      <c r="K66" s="18" t="str">
        <f ca="1">IFERROR(__xludf.DUMMYFUNCTION("""COMPUTED_VALUE"""),"")</f>
        <v/>
      </c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20"/>
      <c r="W66" s="20"/>
      <c r="X66" s="20"/>
      <c r="Y66" s="20"/>
      <c r="Z66" s="21"/>
      <c r="AA66" s="22"/>
      <c r="AB66" s="23"/>
    </row>
    <row r="67" spans="1:28" ht="13.5" customHeight="1" x14ac:dyDescent="0.35">
      <c r="A67" s="24" t="str">
        <f ca="1">IFERROR(__xludf.DUMMYFUNCTION("""COMPUTED_VALUE"""),"")</f>
        <v/>
      </c>
      <c r="B67" s="28" t="str">
        <f ca="1">IFERROR(__xludf.DUMMYFUNCTION("""COMPUTED_VALUE"""),"")</f>
        <v/>
      </c>
      <c r="C67" s="27" t="str">
        <f ca="1">IFERROR(__xludf.DUMMYFUNCTION("""COMPUTED_VALUE"""),"")</f>
        <v/>
      </c>
      <c r="D67" s="27" t="str">
        <f ca="1">IFERROR(__xludf.DUMMYFUNCTION("""COMPUTED_VALUE"""),"")</f>
        <v/>
      </c>
      <c r="E67" s="15" t="str">
        <f ca="1">IFERROR(__xludf.DUMMYFUNCTION("""COMPUTED_VALUE"""),"")</f>
        <v/>
      </c>
      <c r="F67" s="28" t="str">
        <f ca="1">IFERROR(__xludf.DUMMYFUNCTION("""COMPUTED_VALUE"""),"")</f>
        <v/>
      </c>
      <c r="G67" s="16" t="str">
        <f ca="1">IFERROR(__xludf.DUMMYFUNCTION("""COMPUTED_VALUE"""),"")</f>
        <v/>
      </c>
      <c r="H67" s="17" t="str">
        <f ca="1">IFERROR(__xludf.DUMMYFUNCTION("""COMPUTED_VALUE"""),"")</f>
        <v/>
      </c>
      <c r="I67" s="17" t="str">
        <f ca="1">IFERROR(__xludf.DUMMYFUNCTION("""COMPUTED_VALUE"""),"")</f>
        <v/>
      </c>
      <c r="J67" s="17" t="str">
        <f ca="1">IFERROR(__xludf.DUMMYFUNCTION("""COMPUTED_VALUE"""),"")</f>
        <v/>
      </c>
      <c r="K67" s="18" t="str">
        <f ca="1">IFERROR(__xludf.DUMMYFUNCTION("""COMPUTED_VALUE"""),"")</f>
        <v/>
      </c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20"/>
      <c r="W67" s="20"/>
      <c r="X67" s="20"/>
      <c r="Y67" s="20"/>
      <c r="Z67" s="21"/>
      <c r="AA67" s="22"/>
      <c r="AB67" s="23"/>
    </row>
    <row r="68" spans="1:28" ht="13.5" customHeight="1" x14ac:dyDescent="0.35">
      <c r="A68" s="24" t="str">
        <f ca="1">IFERROR(__xludf.DUMMYFUNCTION("""COMPUTED_VALUE"""),"")</f>
        <v/>
      </c>
      <c r="B68" s="28" t="str">
        <f ca="1">IFERROR(__xludf.DUMMYFUNCTION("""COMPUTED_VALUE"""),"")</f>
        <v/>
      </c>
      <c r="C68" s="27" t="str">
        <f ca="1">IFERROR(__xludf.DUMMYFUNCTION("""COMPUTED_VALUE"""),"")</f>
        <v/>
      </c>
      <c r="D68" s="27" t="str">
        <f ca="1">IFERROR(__xludf.DUMMYFUNCTION("""COMPUTED_VALUE"""),"")</f>
        <v/>
      </c>
      <c r="E68" s="15" t="str">
        <f ca="1">IFERROR(__xludf.DUMMYFUNCTION("""COMPUTED_VALUE"""),"")</f>
        <v/>
      </c>
      <c r="F68" s="28" t="str">
        <f ca="1">IFERROR(__xludf.DUMMYFUNCTION("""COMPUTED_VALUE"""),"")</f>
        <v/>
      </c>
      <c r="G68" s="16" t="str">
        <f ca="1">IFERROR(__xludf.DUMMYFUNCTION("""COMPUTED_VALUE"""),"")</f>
        <v/>
      </c>
      <c r="H68" s="17" t="str">
        <f ca="1">IFERROR(__xludf.DUMMYFUNCTION("""COMPUTED_VALUE"""),"")</f>
        <v/>
      </c>
      <c r="I68" s="17" t="str">
        <f ca="1">IFERROR(__xludf.DUMMYFUNCTION("""COMPUTED_VALUE"""),"")</f>
        <v/>
      </c>
      <c r="J68" s="17" t="str">
        <f ca="1">IFERROR(__xludf.DUMMYFUNCTION("""COMPUTED_VALUE"""),"")</f>
        <v/>
      </c>
      <c r="K68" s="18" t="str">
        <f ca="1">IFERROR(__xludf.DUMMYFUNCTION("""COMPUTED_VALUE"""),"")</f>
        <v/>
      </c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20"/>
      <c r="W68" s="20"/>
      <c r="X68" s="20"/>
      <c r="Y68" s="20"/>
      <c r="Z68" s="21"/>
      <c r="AA68" s="22"/>
      <c r="AB68" s="23"/>
    </row>
    <row r="69" spans="1:28" ht="13.5" customHeight="1" x14ac:dyDescent="0.35">
      <c r="A69" s="24" t="str">
        <f ca="1">IFERROR(__xludf.DUMMYFUNCTION("""COMPUTED_VALUE"""),"")</f>
        <v/>
      </c>
      <c r="B69" s="28" t="str">
        <f ca="1">IFERROR(__xludf.DUMMYFUNCTION("""COMPUTED_VALUE"""),"")</f>
        <v/>
      </c>
      <c r="C69" s="27" t="str">
        <f ca="1">IFERROR(__xludf.DUMMYFUNCTION("""COMPUTED_VALUE"""),"")</f>
        <v/>
      </c>
      <c r="D69" s="27" t="str">
        <f ca="1">IFERROR(__xludf.DUMMYFUNCTION("""COMPUTED_VALUE"""),"")</f>
        <v/>
      </c>
      <c r="E69" s="15" t="str">
        <f ca="1">IFERROR(__xludf.DUMMYFUNCTION("""COMPUTED_VALUE"""),"")</f>
        <v/>
      </c>
      <c r="F69" s="28" t="str">
        <f ca="1">IFERROR(__xludf.DUMMYFUNCTION("""COMPUTED_VALUE"""),"")</f>
        <v/>
      </c>
      <c r="G69" s="16" t="str">
        <f ca="1">IFERROR(__xludf.DUMMYFUNCTION("""COMPUTED_VALUE"""),"")</f>
        <v/>
      </c>
      <c r="H69" s="17" t="str">
        <f ca="1">IFERROR(__xludf.DUMMYFUNCTION("""COMPUTED_VALUE"""),"")</f>
        <v/>
      </c>
      <c r="I69" s="17" t="str">
        <f ca="1">IFERROR(__xludf.DUMMYFUNCTION("""COMPUTED_VALUE"""),"")</f>
        <v/>
      </c>
      <c r="J69" s="17" t="str">
        <f ca="1">IFERROR(__xludf.DUMMYFUNCTION("""COMPUTED_VALUE"""),"")</f>
        <v/>
      </c>
      <c r="K69" s="18" t="str">
        <f ca="1">IFERROR(__xludf.DUMMYFUNCTION("""COMPUTED_VALUE"""),"")</f>
        <v/>
      </c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20"/>
      <c r="W69" s="20"/>
      <c r="X69" s="20"/>
      <c r="Y69" s="20"/>
      <c r="Z69" s="21"/>
      <c r="AA69" s="22"/>
      <c r="AB69" s="23"/>
    </row>
    <row r="70" spans="1:28" ht="13.5" customHeight="1" x14ac:dyDescent="0.35">
      <c r="A70" s="24" t="str">
        <f ca="1">IFERROR(__xludf.DUMMYFUNCTION("""COMPUTED_VALUE"""),"")</f>
        <v/>
      </c>
      <c r="B70" s="28" t="str">
        <f ca="1">IFERROR(__xludf.DUMMYFUNCTION("""COMPUTED_VALUE"""),"")</f>
        <v/>
      </c>
      <c r="C70" s="27" t="str">
        <f ca="1">IFERROR(__xludf.DUMMYFUNCTION("""COMPUTED_VALUE"""),"")</f>
        <v/>
      </c>
      <c r="D70" s="27" t="str">
        <f ca="1">IFERROR(__xludf.DUMMYFUNCTION("""COMPUTED_VALUE"""),"")</f>
        <v/>
      </c>
      <c r="E70" s="15" t="str">
        <f ca="1">IFERROR(__xludf.DUMMYFUNCTION("""COMPUTED_VALUE"""),"")</f>
        <v/>
      </c>
      <c r="F70" s="28" t="str">
        <f ca="1">IFERROR(__xludf.DUMMYFUNCTION("""COMPUTED_VALUE"""),"")</f>
        <v/>
      </c>
      <c r="G70" s="16" t="str">
        <f ca="1">IFERROR(__xludf.DUMMYFUNCTION("""COMPUTED_VALUE"""),"")</f>
        <v/>
      </c>
      <c r="H70" s="17" t="str">
        <f ca="1">IFERROR(__xludf.DUMMYFUNCTION("""COMPUTED_VALUE"""),"")</f>
        <v/>
      </c>
      <c r="I70" s="17" t="str">
        <f ca="1">IFERROR(__xludf.DUMMYFUNCTION("""COMPUTED_VALUE"""),"")</f>
        <v/>
      </c>
      <c r="J70" s="17" t="str">
        <f ca="1">IFERROR(__xludf.DUMMYFUNCTION("""COMPUTED_VALUE"""),"")</f>
        <v/>
      </c>
      <c r="K70" s="18" t="str">
        <f ca="1">IFERROR(__xludf.DUMMYFUNCTION("""COMPUTED_VALUE"""),"")</f>
        <v/>
      </c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20"/>
      <c r="W70" s="20"/>
      <c r="X70" s="20"/>
      <c r="Y70" s="20"/>
      <c r="Z70" s="21"/>
      <c r="AA70" s="22"/>
      <c r="AB70" s="23"/>
    </row>
    <row r="71" spans="1:28" ht="13.5" customHeight="1" x14ac:dyDescent="0.35">
      <c r="A71" s="24" t="str">
        <f ca="1">IFERROR(__xludf.DUMMYFUNCTION("""COMPUTED_VALUE"""),"")</f>
        <v/>
      </c>
      <c r="B71" s="28" t="str">
        <f ca="1">IFERROR(__xludf.DUMMYFUNCTION("""COMPUTED_VALUE"""),"")</f>
        <v/>
      </c>
      <c r="C71" s="27" t="str">
        <f ca="1">IFERROR(__xludf.DUMMYFUNCTION("""COMPUTED_VALUE"""),"")</f>
        <v/>
      </c>
      <c r="D71" s="27" t="str">
        <f ca="1">IFERROR(__xludf.DUMMYFUNCTION("""COMPUTED_VALUE"""),"")</f>
        <v/>
      </c>
      <c r="E71" s="15" t="str">
        <f ca="1">IFERROR(__xludf.DUMMYFUNCTION("""COMPUTED_VALUE"""),"")</f>
        <v/>
      </c>
      <c r="F71" s="28" t="str">
        <f ca="1">IFERROR(__xludf.DUMMYFUNCTION("""COMPUTED_VALUE"""),"")</f>
        <v/>
      </c>
      <c r="G71" s="16" t="str">
        <f ca="1">IFERROR(__xludf.DUMMYFUNCTION("""COMPUTED_VALUE"""),"")</f>
        <v/>
      </c>
      <c r="H71" s="17" t="str">
        <f ca="1">IFERROR(__xludf.DUMMYFUNCTION("""COMPUTED_VALUE"""),"")</f>
        <v/>
      </c>
      <c r="I71" s="17" t="str">
        <f ca="1">IFERROR(__xludf.DUMMYFUNCTION("""COMPUTED_VALUE"""),"")</f>
        <v/>
      </c>
      <c r="J71" s="17" t="str">
        <f ca="1">IFERROR(__xludf.DUMMYFUNCTION("""COMPUTED_VALUE"""),"")</f>
        <v/>
      </c>
      <c r="K71" s="18" t="str">
        <f ca="1">IFERROR(__xludf.DUMMYFUNCTION("""COMPUTED_VALUE"""),"")</f>
        <v/>
      </c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20"/>
      <c r="W71" s="20"/>
      <c r="X71" s="20"/>
      <c r="Y71" s="20"/>
      <c r="Z71" s="21"/>
      <c r="AA71" s="22"/>
      <c r="AB71" s="23"/>
    </row>
    <row r="72" spans="1:28" ht="13.5" customHeight="1" x14ac:dyDescent="0.35">
      <c r="A72" s="24" t="str">
        <f ca="1">IFERROR(__xludf.DUMMYFUNCTION("""COMPUTED_VALUE"""),"")</f>
        <v/>
      </c>
      <c r="B72" s="28" t="str">
        <f ca="1">IFERROR(__xludf.DUMMYFUNCTION("""COMPUTED_VALUE"""),"")</f>
        <v/>
      </c>
      <c r="C72" s="27" t="str">
        <f ca="1">IFERROR(__xludf.DUMMYFUNCTION("""COMPUTED_VALUE"""),"")</f>
        <v/>
      </c>
      <c r="D72" s="27" t="str">
        <f ca="1">IFERROR(__xludf.DUMMYFUNCTION("""COMPUTED_VALUE"""),"")</f>
        <v/>
      </c>
      <c r="E72" s="15" t="str">
        <f ca="1">IFERROR(__xludf.DUMMYFUNCTION("""COMPUTED_VALUE"""),"")</f>
        <v/>
      </c>
      <c r="F72" s="28" t="str">
        <f ca="1">IFERROR(__xludf.DUMMYFUNCTION("""COMPUTED_VALUE"""),"")</f>
        <v/>
      </c>
      <c r="G72" s="16" t="str">
        <f ca="1">IFERROR(__xludf.DUMMYFUNCTION("""COMPUTED_VALUE"""),"")</f>
        <v/>
      </c>
      <c r="H72" s="17" t="str">
        <f ca="1">IFERROR(__xludf.DUMMYFUNCTION("""COMPUTED_VALUE"""),"")</f>
        <v/>
      </c>
      <c r="I72" s="17" t="str">
        <f ca="1">IFERROR(__xludf.DUMMYFUNCTION("""COMPUTED_VALUE"""),"")</f>
        <v/>
      </c>
      <c r="J72" s="17" t="str">
        <f ca="1">IFERROR(__xludf.DUMMYFUNCTION("""COMPUTED_VALUE"""),"")</f>
        <v/>
      </c>
      <c r="K72" s="18" t="str">
        <f ca="1">IFERROR(__xludf.DUMMYFUNCTION("""COMPUTED_VALUE"""),"")</f>
        <v/>
      </c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20"/>
      <c r="W72" s="20"/>
      <c r="X72" s="20"/>
      <c r="Y72" s="20"/>
      <c r="Z72" s="21"/>
      <c r="AA72" s="22"/>
      <c r="AB72" s="23"/>
    </row>
    <row r="73" spans="1:28" ht="13.5" customHeight="1" x14ac:dyDescent="0.35">
      <c r="A73" s="24" t="str">
        <f ca="1">IFERROR(__xludf.DUMMYFUNCTION("""COMPUTED_VALUE"""),"")</f>
        <v/>
      </c>
      <c r="B73" s="28" t="str">
        <f ca="1">IFERROR(__xludf.DUMMYFUNCTION("""COMPUTED_VALUE"""),"")</f>
        <v/>
      </c>
      <c r="C73" s="27" t="str">
        <f ca="1">IFERROR(__xludf.DUMMYFUNCTION("""COMPUTED_VALUE"""),"")</f>
        <v/>
      </c>
      <c r="D73" s="27" t="str">
        <f ca="1">IFERROR(__xludf.DUMMYFUNCTION("""COMPUTED_VALUE"""),"")</f>
        <v/>
      </c>
      <c r="E73" s="15" t="str">
        <f ca="1">IFERROR(__xludf.DUMMYFUNCTION("""COMPUTED_VALUE"""),"")</f>
        <v/>
      </c>
      <c r="F73" s="28" t="str">
        <f ca="1">IFERROR(__xludf.DUMMYFUNCTION("""COMPUTED_VALUE"""),"")</f>
        <v/>
      </c>
      <c r="G73" s="16" t="str">
        <f ca="1">IFERROR(__xludf.DUMMYFUNCTION("""COMPUTED_VALUE"""),"")</f>
        <v/>
      </c>
      <c r="H73" s="17" t="str">
        <f ca="1">IFERROR(__xludf.DUMMYFUNCTION("""COMPUTED_VALUE"""),"")</f>
        <v/>
      </c>
      <c r="I73" s="17" t="str">
        <f ca="1">IFERROR(__xludf.DUMMYFUNCTION("""COMPUTED_VALUE"""),"")</f>
        <v/>
      </c>
      <c r="J73" s="17" t="str">
        <f ca="1">IFERROR(__xludf.DUMMYFUNCTION("""COMPUTED_VALUE"""),"")</f>
        <v/>
      </c>
      <c r="K73" s="18" t="str">
        <f ca="1">IFERROR(__xludf.DUMMYFUNCTION("""COMPUTED_VALUE"""),"")</f>
        <v/>
      </c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20"/>
      <c r="W73" s="20"/>
      <c r="X73" s="20"/>
      <c r="Y73" s="20"/>
      <c r="Z73" s="21"/>
      <c r="AA73" s="22"/>
      <c r="AB73" s="23"/>
    </row>
    <row r="74" spans="1:28" ht="13.5" customHeight="1" x14ac:dyDescent="0.35">
      <c r="A74" s="24" t="str">
        <f ca="1">IFERROR(__xludf.DUMMYFUNCTION("""COMPUTED_VALUE"""),"")</f>
        <v/>
      </c>
      <c r="B74" s="28" t="str">
        <f ca="1">IFERROR(__xludf.DUMMYFUNCTION("""COMPUTED_VALUE"""),"")</f>
        <v/>
      </c>
      <c r="C74" s="27" t="str">
        <f ca="1">IFERROR(__xludf.DUMMYFUNCTION("""COMPUTED_VALUE"""),"")</f>
        <v/>
      </c>
      <c r="D74" s="27" t="str">
        <f ca="1">IFERROR(__xludf.DUMMYFUNCTION("""COMPUTED_VALUE"""),"")</f>
        <v/>
      </c>
      <c r="E74" s="15" t="str">
        <f ca="1">IFERROR(__xludf.DUMMYFUNCTION("""COMPUTED_VALUE"""),"")</f>
        <v/>
      </c>
      <c r="F74" s="28" t="str">
        <f ca="1">IFERROR(__xludf.DUMMYFUNCTION("""COMPUTED_VALUE"""),"")</f>
        <v/>
      </c>
      <c r="G74" s="16" t="str">
        <f ca="1">IFERROR(__xludf.DUMMYFUNCTION("""COMPUTED_VALUE"""),"")</f>
        <v/>
      </c>
      <c r="H74" s="17" t="str">
        <f ca="1">IFERROR(__xludf.DUMMYFUNCTION("""COMPUTED_VALUE"""),"")</f>
        <v/>
      </c>
      <c r="I74" s="17" t="str">
        <f ca="1">IFERROR(__xludf.DUMMYFUNCTION("""COMPUTED_VALUE"""),"")</f>
        <v/>
      </c>
      <c r="J74" s="17" t="str">
        <f ca="1">IFERROR(__xludf.DUMMYFUNCTION("""COMPUTED_VALUE"""),"")</f>
        <v/>
      </c>
      <c r="K74" s="18" t="str">
        <f ca="1">IFERROR(__xludf.DUMMYFUNCTION("""COMPUTED_VALUE"""),"")</f>
        <v/>
      </c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20"/>
      <c r="W74" s="20"/>
      <c r="X74" s="20"/>
      <c r="Y74" s="20"/>
      <c r="Z74" s="21"/>
      <c r="AA74" s="22"/>
      <c r="AB74" s="23"/>
    </row>
    <row r="75" spans="1:28" ht="13.5" customHeight="1" x14ac:dyDescent="0.35">
      <c r="A75" s="24" t="str">
        <f ca="1">IFERROR(__xludf.DUMMYFUNCTION("""COMPUTED_VALUE"""),"")</f>
        <v/>
      </c>
      <c r="B75" s="28" t="str">
        <f ca="1">IFERROR(__xludf.DUMMYFUNCTION("""COMPUTED_VALUE"""),"")</f>
        <v/>
      </c>
      <c r="C75" s="27" t="str">
        <f ca="1">IFERROR(__xludf.DUMMYFUNCTION("""COMPUTED_VALUE"""),"")</f>
        <v/>
      </c>
      <c r="D75" s="27" t="str">
        <f ca="1">IFERROR(__xludf.DUMMYFUNCTION("""COMPUTED_VALUE"""),"")</f>
        <v/>
      </c>
      <c r="E75" s="15" t="str">
        <f ca="1">IFERROR(__xludf.DUMMYFUNCTION("""COMPUTED_VALUE"""),"")</f>
        <v/>
      </c>
      <c r="F75" s="28" t="str">
        <f ca="1">IFERROR(__xludf.DUMMYFUNCTION("""COMPUTED_VALUE"""),"")</f>
        <v/>
      </c>
      <c r="G75" s="16" t="str">
        <f ca="1">IFERROR(__xludf.DUMMYFUNCTION("""COMPUTED_VALUE"""),"")</f>
        <v/>
      </c>
      <c r="H75" s="17" t="str">
        <f ca="1">IFERROR(__xludf.DUMMYFUNCTION("""COMPUTED_VALUE"""),"")</f>
        <v/>
      </c>
      <c r="I75" s="17" t="str">
        <f ca="1">IFERROR(__xludf.DUMMYFUNCTION("""COMPUTED_VALUE"""),"")</f>
        <v/>
      </c>
      <c r="J75" s="17" t="str">
        <f ca="1">IFERROR(__xludf.DUMMYFUNCTION("""COMPUTED_VALUE"""),"")</f>
        <v/>
      </c>
      <c r="K75" s="18" t="str">
        <f ca="1">IFERROR(__xludf.DUMMYFUNCTION("""COMPUTED_VALUE"""),"")</f>
        <v/>
      </c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20"/>
      <c r="W75" s="20"/>
      <c r="X75" s="20"/>
      <c r="Y75" s="20"/>
      <c r="Z75" s="21"/>
      <c r="AA75" s="22"/>
      <c r="AB75" s="23"/>
    </row>
    <row r="76" spans="1:28" ht="13.5" customHeight="1" x14ac:dyDescent="0.35">
      <c r="A76" s="24" t="str">
        <f ca="1">IFERROR(__xludf.DUMMYFUNCTION("""COMPUTED_VALUE"""),"")</f>
        <v/>
      </c>
      <c r="B76" s="28" t="str">
        <f ca="1">IFERROR(__xludf.DUMMYFUNCTION("""COMPUTED_VALUE"""),"")</f>
        <v/>
      </c>
      <c r="C76" s="27" t="str">
        <f ca="1">IFERROR(__xludf.DUMMYFUNCTION("""COMPUTED_VALUE"""),"")</f>
        <v/>
      </c>
      <c r="D76" s="27" t="str">
        <f ca="1">IFERROR(__xludf.DUMMYFUNCTION("""COMPUTED_VALUE"""),"")</f>
        <v/>
      </c>
      <c r="E76" s="15" t="str">
        <f ca="1">IFERROR(__xludf.DUMMYFUNCTION("""COMPUTED_VALUE"""),"")</f>
        <v/>
      </c>
      <c r="F76" s="28" t="str">
        <f ca="1">IFERROR(__xludf.DUMMYFUNCTION("""COMPUTED_VALUE"""),"")</f>
        <v/>
      </c>
      <c r="G76" s="16" t="str">
        <f ca="1">IFERROR(__xludf.DUMMYFUNCTION("""COMPUTED_VALUE"""),"")</f>
        <v/>
      </c>
      <c r="H76" s="17" t="str">
        <f ca="1">IFERROR(__xludf.DUMMYFUNCTION("""COMPUTED_VALUE"""),"")</f>
        <v/>
      </c>
      <c r="I76" s="17" t="str">
        <f ca="1">IFERROR(__xludf.DUMMYFUNCTION("""COMPUTED_VALUE"""),"")</f>
        <v/>
      </c>
      <c r="J76" s="17" t="str">
        <f ca="1">IFERROR(__xludf.DUMMYFUNCTION("""COMPUTED_VALUE"""),"")</f>
        <v/>
      </c>
      <c r="K76" s="18" t="str">
        <f ca="1">IFERROR(__xludf.DUMMYFUNCTION("""COMPUTED_VALUE"""),"")</f>
        <v/>
      </c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20"/>
      <c r="W76" s="20"/>
      <c r="X76" s="20"/>
      <c r="Y76" s="20"/>
      <c r="Z76" s="21"/>
      <c r="AA76" s="22"/>
      <c r="AB76" s="23"/>
    </row>
    <row r="77" spans="1:28" ht="13.5" customHeight="1" x14ac:dyDescent="0.35">
      <c r="A77" s="24" t="str">
        <f ca="1">IFERROR(__xludf.DUMMYFUNCTION("""COMPUTED_VALUE"""),"")</f>
        <v/>
      </c>
      <c r="B77" s="28" t="str">
        <f ca="1">IFERROR(__xludf.DUMMYFUNCTION("""COMPUTED_VALUE"""),"")</f>
        <v/>
      </c>
      <c r="C77" s="27" t="str">
        <f ca="1">IFERROR(__xludf.DUMMYFUNCTION("""COMPUTED_VALUE"""),"")</f>
        <v/>
      </c>
      <c r="D77" s="27" t="str">
        <f ca="1">IFERROR(__xludf.DUMMYFUNCTION("""COMPUTED_VALUE"""),"")</f>
        <v/>
      </c>
      <c r="E77" s="15" t="str">
        <f ca="1">IFERROR(__xludf.DUMMYFUNCTION("""COMPUTED_VALUE"""),"")</f>
        <v/>
      </c>
      <c r="F77" s="28" t="str">
        <f ca="1">IFERROR(__xludf.DUMMYFUNCTION("""COMPUTED_VALUE"""),"")</f>
        <v/>
      </c>
      <c r="G77" s="16" t="str">
        <f ca="1">IFERROR(__xludf.DUMMYFUNCTION("""COMPUTED_VALUE"""),"")</f>
        <v/>
      </c>
      <c r="H77" s="17" t="str">
        <f ca="1">IFERROR(__xludf.DUMMYFUNCTION("""COMPUTED_VALUE"""),"")</f>
        <v/>
      </c>
      <c r="I77" s="17" t="str">
        <f ca="1">IFERROR(__xludf.DUMMYFUNCTION("""COMPUTED_VALUE"""),"")</f>
        <v/>
      </c>
      <c r="J77" s="17" t="str">
        <f ca="1">IFERROR(__xludf.DUMMYFUNCTION("""COMPUTED_VALUE"""),"")</f>
        <v/>
      </c>
      <c r="K77" s="18" t="str">
        <f ca="1">IFERROR(__xludf.DUMMYFUNCTION("""COMPUTED_VALUE"""),"")</f>
        <v/>
      </c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20"/>
      <c r="W77" s="20"/>
      <c r="X77" s="20"/>
      <c r="Y77" s="20"/>
      <c r="Z77" s="21"/>
      <c r="AA77" s="22"/>
      <c r="AB77" s="23"/>
    </row>
    <row r="78" spans="1:28" ht="13.5" customHeight="1" x14ac:dyDescent="0.35">
      <c r="A78" s="24" t="str">
        <f ca="1">IFERROR(__xludf.DUMMYFUNCTION("""COMPUTED_VALUE"""),"")</f>
        <v/>
      </c>
      <c r="B78" s="28" t="str">
        <f ca="1">IFERROR(__xludf.DUMMYFUNCTION("""COMPUTED_VALUE"""),"")</f>
        <v/>
      </c>
      <c r="C78" s="27" t="str">
        <f ca="1">IFERROR(__xludf.DUMMYFUNCTION("""COMPUTED_VALUE"""),"")</f>
        <v/>
      </c>
      <c r="D78" s="27" t="str">
        <f ca="1">IFERROR(__xludf.DUMMYFUNCTION("""COMPUTED_VALUE"""),"")</f>
        <v/>
      </c>
      <c r="E78" s="15" t="str">
        <f ca="1">IFERROR(__xludf.DUMMYFUNCTION("""COMPUTED_VALUE"""),"")</f>
        <v/>
      </c>
      <c r="F78" s="28" t="str">
        <f ca="1">IFERROR(__xludf.DUMMYFUNCTION("""COMPUTED_VALUE"""),"")</f>
        <v/>
      </c>
      <c r="G78" s="16" t="str">
        <f ca="1">IFERROR(__xludf.DUMMYFUNCTION("""COMPUTED_VALUE"""),"")</f>
        <v/>
      </c>
      <c r="H78" s="17" t="str">
        <f ca="1">IFERROR(__xludf.DUMMYFUNCTION("""COMPUTED_VALUE"""),"")</f>
        <v/>
      </c>
      <c r="I78" s="17" t="str">
        <f ca="1">IFERROR(__xludf.DUMMYFUNCTION("""COMPUTED_VALUE"""),"")</f>
        <v/>
      </c>
      <c r="J78" s="17" t="str">
        <f ca="1">IFERROR(__xludf.DUMMYFUNCTION("""COMPUTED_VALUE"""),"")</f>
        <v/>
      </c>
      <c r="K78" s="18" t="str">
        <f ca="1">IFERROR(__xludf.DUMMYFUNCTION("""COMPUTED_VALUE"""),"")</f>
        <v/>
      </c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20"/>
      <c r="W78" s="20"/>
      <c r="X78" s="20"/>
      <c r="Y78" s="20"/>
      <c r="Z78" s="21"/>
      <c r="AA78" s="22"/>
      <c r="AB78" s="23"/>
    </row>
    <row r="79" spans="1:28" ht="13.5" customHeight="1" x14ac:dyDescent="0.35">
      <c r="A79" s="24" t="str">
        <f ca="1">IFERROR(__xludf.DUMMYFUNCTION("""COMPUTED_VALUE"""),"")</f>
        <v/>
      </c>
      <c r="B79" s="28" t="str">
        <f ca="1">IFERROR(__xludf.DUMMYFUNCTION("""COMPUTED_VALUE"""),"")</f>
        <v/>
      </c>
      <c r="C79" s="27" t="str">
        <f ca="1">IFERROR(__xludf.DUMMYFUNCTION("""COMPUTED_VALUE"""),"")</f>
        <v/>
      </c>
      <c r="D79" s="27" t="str">
        <f ca="1">IFERROR(__xludf.DUMMYFUNCTION("""COMPUTED_VALUE"""),"")</f>
        <v/>
      </c>
      <c r="E79" s="15" t="str">
        <f ca="1">IFERROR(__xludf.DUMMYFUNCTION("""COMPUTED_VALUE"""),"")</f>
        <v/>
      </c>
      <c r="F79" s="28" t="str">
        <f ca="1">IFERROR(__xludf.DUMMYFUNCTION("""COMPUTED_VALUE"""),"")</f>
        <v/>
      </c>
      <c r="G79" s="16" t="str">
        <f ca="1">IFERROR(__xludf.DUMMYFUNCTION("""COMPUTED_VALUE"""),"")</f>
        <v/>
      </c>
      <c r="H79" s="17" t="str">
        <f ca="1">IFERROR(__xludf.DUMMYFUNCTION("""COMPUTED_VALUE"""),"")</f>
        <v/>
      </c>
      <c r="I79" s="17" t="str">
        <f ca="1">IFERROR(__xludf.DUMMYFUNCTION("""COMPUTED_VALUE"""),"")</f>
        <v/>
      </c>
      <c r="J79" s="17" t="str">
        <f ca="1">IFERROR(__xludf.DUMMYFUNCTION("""COMPUTED_VALUE"""),"")</f>
        <v/>
      </c>
      <c r="K79" s="18" t="str">
        <f ca="1">IFERROR(__xludf.DUMMYFUNCTION("""COMPUTED_VALUE"""),"")</f>
        <v/>
      </c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20"/>
      <c r="W79" s="20"/>
      <c r="X79" s="20"/>
      <c r="Y79" s="20"/>
      <c r="Z79" s="21"/>
      <c r="AA79" s="22"/>
      <c r="AB79" s="23"/>
    </row>
    <row r="80" spans="1:28" ht="13.5" customHeight="1" x14ac:dyDescent="0.35">
      <c r="A80" s="24" t="str">
        <f ca="1">IFERROR(__xludf.DUMMYFUNCTION("""COMPUTED_VALUE"""),"")</f>
        <v/>
      </c>
      <c r="B80" s="28" t="str">
        <f ca="1">IFERROR(__xludf.DUMMYFUNCTION("""COMPUTED_VALUE"""),"")</f>
        <v/>
      </c>
      <c r="C80" s="27" t="str">
        <f ca="1">IFERROR(__xludf.DUMMYFUNCTION("""COMPUTED_VALUE"""),"")</f>
        <v/>
      </c>
      <c r="D80" s="27" t="str">
        <f ca="1">IFERROR(__xludf.DUMMYFUNCTION("""COMPUTED_VALUE"""),"")</f>
        <v/>
      </c>
      <c r="E80" s="15" t="str">
        <f ca="1">IFERROR(__xludf.DUMMYFUNCTION("""COMPUTED_VALUE"""),"")</f>
        <v/>
      </c>
      <c r="F80" s="28" t="str">
        <f ca="1">IFERROR(__xludf.DUMMYFUNCTION("""COMPUTED_VALUE"""),"")</f>
        <v/>
      </c>
      <c r="G80" s="16" t="str">
        <f ca="1">IFERROR(__xludf.DUMMYFUNCTION("""COMPUTED_VALUE"""),"")</f>
        <v/>
      </c>
      <c r="H80" s="17" t="str">
        <f ca="1">IFERROR(__xludf.DUMMYFUNCTION("""COMPUTED_VALUE"""),"")</f>
        <v/>
      </c>
      <c r="I80" s="17" t="str">
        <f ca="1">IFERROR(__xludf.DUMMYFUNCTION("""COMPUTED_VALUE"""),"")</f>
        <v/>
      </c>
      <c r="J80" s="17" t="str">
        <f ca="1">IFERROR(__xludf.DUMMYFUNCTION("""COMPUTED_VALUE"""),"")</f>
        <v/>
      </c>
      <c r="K80" s="18" t="str">
        <f ca="1">IFERROR(__xludf.DUMMYFUNCTION("""COMPUTED_VALUE"""),"")</f>
        <v/>
      </c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20"/>
      <c r="W80" s="20"/>
      <c r="X80" s="20"/>
      <c r="Y80" s="20"/>
      <c r="Z80" s="21"/>
      <c r="AA80" s="22"/>
      <c r="AB80" s="23"/>
    </row>
    <row r="81" spans="1:28" ht="13.5" customHeight="1" x14ac:dyDescent="0.35">
      <c r="A81" s="24" t="str">
        <f ca="1">IFERROR(__xludf.DUMMYFUNCTION("""COMPUTED_VALUE"""),"")</f>
        <v/>
      </c>
      <c r="B81" s="28" t="str">
        <f ca="1">IFERROR(__xludf.DUMMYFUNCTION("""COMPUTED_VALUE"""),"")</f>
        <v/>
      </c>
      <c r="C81" s="27" t="str">
        <f ca="1">IFERROR(__xludf.DUMMYFUNCTION("""COMPUTED_VALUE"""),"")</f>
        <v/>
      </c>
      <c r="D81" s="27" t="str">
        <f ca="1">IFERROR(__xludf.DUMMYFUNCTION("""COMPUTED_VALUE"""),"")</f>
        <v/>
      </c>
      <c r="E81" s="15" t="str">
        <f ca="1">IFERROR(__xludf.DUMMYFUNCTION("""COMPUTED_VALUE"""),"")</f>
        <v/>
      </c>
      <c r="F81" s="28" t="str">
        <f ca="1">IFERROR(__xludf.DUMMYFUNCTION("""COMPUTED_VALUE"""),"")</f>
        <v/>
      </c>
      <c r="G81" s="16" t="str">
        <f ca="1">IFERROR(__xludf.DUMMYFUNCTION("""COMPUTED_VALUE"""),"")</f>
        <v/>
      </c>
      <c r="H81" s="17" t="str">
        <f ca="1">IFERROR(__xludf.DUMMYFUNCTION("""COMPUTED_VALUE"""),"")</f>
        <v/>
      </c>
      <c r="I81" s="17" t="str">
        <f ca="1">IFERROR(__xludf.DUMMYFUNCTION("""COMPUTED_VALUE"""),"")</f>
        <v/>
      </c>
      <c r="J81" s="17" t="str">
        <f ca="1">IFERROR(__xludf.DUMMYFUNCTION("""COMPUTED_VALUE"""),"")</f>
        <v/>
      </c>
      <c r="K81" s="18" t="str">
        <f ca="1">IFERROR(__xludf.DUMMYFUNCTION("""COMPUTED_VALUE"""),"")</f>
        <v/>
      </c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20"/>
      <c r="W81" s="20"/>
      <c r="X81" s="20"/>
      <c r="Y81" s="20"/>
      <c r="Z81" s="21"/>
      <c r="AA81" s="22"/>
      <c r="AB81" s="23"/>
    </row>
    <row r="82" spans="1:28" ht="13.5" customHeight="1" x14ac:dyDescent="0.35">
      <c r="A82" s="24" t="str">
        <f ca="1">IFERROR(__xludf.DUMMYFUNCTION("""COMPUTED_VALUE"""),"")</f>
        <v/>
      </c>
      <c r="B82" s="28" t="str">
        <f ca="1">IFERROR(__xludf.DUMMYFUNCTION("""COMPUTED_VALUE"""),"")</f>
        <v/>
      </c>
      <c r="C82" s="27" t="str">
        <f ca="1">IFERROR(__xludf.DUMMYFUNCTION("""COMPUTED_VALUE"""),"")</f>
        <v/>
      </c>
      <c r="D82" s="27" t="str">
        <f ca="1">IFERROR(__xludf.DUMMYFUNCTION("""COMPUTED_VALUE"""),"")</f>
        <v/>
      </c>
      <c r="E82" s="15" t="str">
        <f ca="1">IFERROR(__xludf.DUMMYFUNCTION("""COMPUTED_VALUE"""),"")</f>
        <v/>
      </c>
      <c r="F82" s="28" t="str">
        <f ca="1">IFERROR(__xludf.DUMMYFUNCTION("""COMPUTED_VALUE"""),"")</f>
        <v/>
      </c>
      <c r="G82" s="16" t="str">
        <f ca="1">IFERROR(__xludf.DUMMYFUNCTION("""COMPUTED_VALUE"""),"")</f>
        <v/>
      </c>
      <c r="H82" s="17" t="str">
        <f ca="1">IFERROR(__xludf.DUMMYFUNCTION("""COMPUTED_VALUE"""),"")</f>
        <v/>
      </c>
      <c r="I82" s="17" t="str">
        <f ca="1">IFERROR(__xludf.DUMMYFUNCTION("""COMPUTED_VALUE"""),"")</f>
        <v/>
      </c>
      <c r="J82" s="17" t="str">
        <f ca="1">IFERROR(__xludf.DUMMYFUNCTION("""COMPUTED_VALUE"""),"")</f>
        <v/>
      </c>
      <c r="K82" s="18" t="str">
        <f ca="1">IFERROR(__xludf.DUMMYFUNCTION("""COMPUTED_VALUE"""),"")</f>
        <v/>
      </c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20"/>
      <c r="W82" s="20"/>
      <c r="X82" s="20"/>
      <c r="Y82" s="20"/>
      <c r="Z82" s="21"/>
      <c r="AA82" s="22"/>
      <c r="AB82" s="23"/>
    </row>
    <row r="83" spans="1:28" ht="13.5" customHeight="1" x14ac:dyDescent="0.35">
      <c r="A83" s="24" t="str">
        <f ca="1">IFERROR(__xludf.DUMMYFUNCTION("""COMPUTED_VALUE"""),"")</f>
        <v/>
      </c>
      <c r="B83" s="28" t="str">
        <f ca="1">IFERROR(__xludf.DUMMYFUNCTION("""COMPUTED_VALUE"""),"")</f>
        <v/>
      </c>
      <c r="C83" s="27" t="str">
        <f ca="1">IFERROR(__xludf.DUMMYFUNCTION("""COMPUTED_VALUE"""),"")</f>
        <v/>
      </c>
      <c r="D83" s="27" t="str">
        <f ca="1">IFERROR(__xludf.DUMMYFUNCTION("""COMPUTED_VALUE"""),"")</f>
        <v/>
      </c>
      <c r="E83" s="15" t="str">
        <f ca="1">IFERROR(__xludf.DUMMYFUNCTION("""COMPUTED_VALUE"""),"")</f>
        <v/>
      </c>
      <c r="F83" s="28" t="str">
        <f ca="1">IFERROR(__xludf.DUMMYFUNCTION("""COMPUTED_VALUE"""),"")</f>
        <v/>
      </c>
      <c r="G83" s="16" t="str">
        <f ca="1">IFERROR(__xludf.DUMMYFUNCTION("""COMPUTED_VALUE"""),"")</f>
        <v/>
      </c>
      <c r="H83" s="17" t="str">
        <f ca="1">IFERROR(__xludf.DUMMYFUNCTION("""COMPUTED_VALUE"""),"")</f>
        <v/>
      </c>
      <c r="I83" s="17" t="str">
        <f ca="1">IFERROR(__xludf.DUMMYFUNCTION("""COMPUTED_VALUE"""),"")</f>
        <v/>
      </c>
      <c r="J83" s="17" t="str">
        <f ca="1">IFERROR(__xludf.DUMMYFUNCTION("""COMPUTED_VALUE"""),"")</f>
        <v/>
      </c>
      <c r="K83" s="18" t="str">
        <f ca="1">IFERROR(__xludf.DUMMYFUNCTION("""COMPUTED_VALUE"""),"")</f>
        <v/>
      </c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20"/>
      <c r="W83" s="20"/>
      <c r="X83" s="20"/>
      <c r="Y83" s="20"/>
      <c r="Z83" s="21"/>
      <c r="AA83" s="22"/>
      <c r="AB83" s="23"/>
    </row>
    <row r="84" spans="1:28" ht="13.5" customHeight="1" x14ac:dyDescent="0.35">
      <c r="A84" s="24" t="str">
        <f ca="1">IFERROR(__xludf.DUMMYFUNCTION("""COMPUTED_VALUE"""),"")</f>
        <v/>
      </c>
      <c r="B84" s="28" t="str">
        <f ca="1">IFERROR(__xludf.DUMMYFUNCTION("""COMPUTED_VALUE"""),"")</f>
        <v/>
      </c>
      <c r="C84" s="27" t="str">
        <f ca="1">IFERROR(__xludf.DUMMYFUNCTION("""COMPUTED_VALUE"""),"")</f>
        <v/>
      </c>
      <c r="D84" s="27" t="str">
        <f ca="1">IFERROR(__xludf.DUMMYFUNCTION("""COMPUTED_VALUE"""),"")</f>
        <v/>
      </c>
      <c r="E84" s="15" t="str">
        <f ca="1">IFERROR(__xludf.DUMMYFUNCTION("""COMPUTED_VALUE"""),"")</f>
        <v/>
      </c>
      <c r="F84" s="28" t="str">
        <f ca="1">IFERROR(__xludf.DUMMYFUNCTION("""COMPUTED_VALUE"""),"")</f>
        <v/>
      </c>
      <c r="G84" s="16" t="str">
        <f ca="1">IFERROR(__xludf.DUMMYFUNCTION("""COMPUTED_VALUE"""),"")</f>
        <v/>
      </c>
      <c r="H84" s="17" t="str">
        <f ca="1">IFERROR(__xludf.DUMMYFUNCTION("""COMPUTED_VALUE"""),"")</f>
        <v/>
      </c>
      <c r="I84" s="17" t="str">
        <f ca="1">IFERROR(__xludf.DUMMYFUNCTION("""COMPUTED_VALUE"""),"")</f>
        <v/>
      </c>
      <c r="J84" s="17" t="str">
        <f ca="1">IFERROR(__xludf.DUMMYFUNCTION("""COMPUTED_VALUE"""),"")</f>
        <v/>
      </c>
      <c r="K84" s="18" t="str">
        <f ca="1">IFERROR(__xludf.DUMMYFUNCTION("""COMPUTED_VALUE"""),"")</f>
        <v/>
      </c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20"/>
      <c r="W84" s="20"/>
      <c r="X84" s="20"/>
      <c r="Y84" s="20"/>
      <c r="Z84" s="21"/>
      <c r="AA84" s="22"/>
      <c r="AB84" s="23"/>
    </row>
    <row r="85" spans="1:28" ht="13.5" customHeight="1" x14ac:dyDescent="0.35">
      <c r="A85" s="24" t="str">
        <f ca="1">IFERROR(__xludf.DUMMYFUNCTION("""COMPUTED_VALUE"""),"")</f>
        <v/>
      </c>
      <c r="B85" s="28" t="str">
        <f ca="1">IFERROR(__xludf.DUMMYFUNCTION("""COMPUTED_VALUE"""),"")</f>
        <v/>
      </c>
      <c r="C85" s="27" t="str">
        <f ca="1">IFERROR(__xludf.DUMMYFUNCTION("""COMPUTED_VALUE"""),"")</f>
        <v/>
      </c>
      <c r="D85" s="27" t="str">
        <f ca="1">IFERROR(__xludf.DUMMYFUNCTION("""COMPUTED_VALUE"""),"")</f>
        <v/>
      </c>
      <c r="E85" s="15" t="str">
        <f ca="1">IFERROR(__xludf.DUMMYFUNCTION("""COMPUTED_VALUE"""),"")</f>
        <v/>
      </c>
      <c r="F85" s="28" t="str">
        <f ca="1">IFERROR(__xludf.DUMMYFUNCTION("""COMPUTED_VALUE"""),"")</f>
        <v/>
      </c>
      <c r="G85" s="16" t="str">
        <f ca="1">IFERROR(__xludf.DUMMYFUNCTION("""COMPUTED_VALUE"""),"")</f>
        <v/>
      </c>
      <c r="H85" s="17" t="str">
        <f ca="1">IFERROR(__xludf.DUMMYFUNCTION("""COMPUTED_VALUE"""),"")</f>
        <v/>
      </c>
      <c r="I85" s="17" t="str">
        <f ca="1">IFERROR(__xludf.DUMMYFUNCTION("""COMPUTED_VALUE"""),"")</f>
        <v/>
      </c>
      <c r="J85" s="17" t="str">
        <f ca="1">IFERROR(__xludf.DUMMYFUNCTION("""COMPUTED_VALUE"""),"")</f>
        <v/>
      </c>
      <c r="K85" s="18" t="str">
        <f ca="1">IFERROR(__xludf.DUMMYFUNCTION("""COMPUTED_VALUE"""),"")</f>
        <v/>
      </c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20"/>
      <c r="W85" s="20"/>
      <c r="X85" s="20"/>
      <c r="Y85" s="20"/>
      <c r="Z85" s="21"/>
      <c r="AA85" s="22"/>
      <c r="AB85" s="23"/>
    </row>
    <row r="86" spans="1:28" ht="13.5" customHeight="1" x14ac:dyDescent="0.35">
      <c r="A86" s="24" t="str">
        <f ca="1">IFERROR(__xludf.DUMMYFUNCTION("""COMPUTED_VALUE"""),"")</f>
        <v/>
      </c>
      <c r="B86" s="28" t="str">
        <f ca="1">IFERROR(__xludf.DUMMYFUNCTION("""COMPUTED_VALUE"""),"")</f>
        <v/>
      </c>
      <c r="C86" s="27" t="str">
        <f ca="1">IFERROR(__xludf.DUMMYFUNCTION("""COMPUTED_VALUE"""),"")</f>
        <v/>
      </c>
      <c r="D86" s="27" t="str">
        <f ca="1">IFERROR(__xludf.DUMMYFUNCTION("""COMPUTED_VALUE"""),"")</f>
        <v/>
      </c>
      <c r="E86" s="15" t="str">
        <f ca="1">IFERROR(__xludf.DUMMYFUNCTION("""COMPUTED_VALUE"""),"")</f>
        <v/>
      </c>
      <c r="F86" s="28" t="str">
        <f ca="1">IFERROR(__xludf.DUMMYFUNCTION("""COMPUTED_VALUE"""),"")</f>
        <v/>
      </c>
      <c r="G86" s="16" t="str">
        <f ca="1">IFERROR(__xludf.DUMMYFUNCTION("""COMPUTED_VALUE"""),"")</f>
        <v/>
      </c>
      <c r="H86" s="17" t="str">
        <f ca="1">IFERROR(__xludf.DUMMYFUNCTION("""COMPUTED_VALUE"""),"")</f>
        <v/>
      </c>
      <c r="I86" s="17" t="str">
        <f ca="1">IFERROR(__xludf.DUMMYFUNCTION("""COMPUTED_VALUE"""),"")</f>
        <v/>
      </c>
      <c r="J86" s="17" t="str">
        <f ca="1">IFERROR(__xludf.DUMMYFUNCTION("""COMPUTED_VALUE"""),"")</f>
        <v/>
      </c>
      <c r="K86" s="18" t="str">
        <f ca="1">IFERROR(__xludf.DUMMYFUNCTION("""COMPUTED_VALUE"""),"")</f>
        <v/>
      </c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20"/>
      <c r="W86" s="20"/>
      <c r="X86" s="20"/>
      <c r="Y86" s="20"/>
      <c r="Z86" s="21"/>
      <c r="AA86" s="22"/>
      <c r="AB86" s="23"/>
    </row>
    <row r="87" spans="1:28" ht="13.5" customHeight="1" x14ac:dyDescent="0.35">
      <c r="A87" s="24" t="str">
        <f ca="1">IFERROR(__xludf.DUMMYFUNCTION("""COMPUTED_VALUE"""),"")</f>
        <v/>
      </c>
      <c r="B87" s="28" t="str">
        <f ca="1">IFERROR(__xludf.DUMMYFUNCTION("""COMPUTED_VALUE"""),"")</f>
        <v/>
      </c>
      <c r="C87" s="27" t="str">
        <f ca="1">IFERROR(__xludf.DUMMYFUNCTION("""COMPUTED_VALUE"""),"")</f>
        <v/>
      </c>
      <c r="D87" s="27" t="str">
        <f ca="1">IFERROR(__xludf.DUMMYFUNCTION("""COMPUTED_VALUE"""),"")</f>
        <v/>
      </c>
      <c r="E87" s="15" t="str">
        <f ca="1">IFERROR(__xludf.DUMMYFUNCTION("""COMPUTED_VALUE"""),"")</f>
        <v/>
      </c>
      <c r="F87" s="28" t="str">
        <f ca="1">IFERROR(__xludf.DUMMYFUNCTION("""COMPUTED_VALUE"""),"")</f>
        <v/>
      </c>
      <c r="G87" s="16" t="str">
        <f ca="1">IFERROR(__xludf.DUMMYFUNCTION("""COMPUTED_VALUE"""),"")</f>
        <v/>
      </c>
      <c r="H87" s="17" t="str">
        <f ca="1">IFERROR(__xludf.DUMMYFUNCTION("""COMPUTED_VALUE"""),"")</f>
        <v/>
      </c>
      <c r="I87" s="17" t="str">
        <f ca="1">IFERROR(__xludf.DUMMYFUNCTION("""COMPUTED_VALUE"""),"")</f>
        <v/>
      </c>
      <c r="J87" s="17" t="str">
        <f ca="1">IFERROR(__xludf.DUMMYFUNCTION("""COMPUTED_VALUE"""),"")</f>
        <v/>
      </c>
      <c r="K87" s="18" t="str">
        <f ca="1">IFERROR(__xludf.DUMMYFUNCTION("""COMPUTED_VALUE"""),"")</f>
        <v/>
      </c>
      <c r="L87" s="19"/>
      <c r="M87" s="19"/>
      <c r="N87" s="19"/>
      <c r="O87" s="19"/>
      <c r="P87" s="19"/>
      <c r="Q87" s="19"/>
      <c r="R87" s="19"/>
      <c r="S87" s="19"/>
      <c r="T87" s="19"/>
      <c r="U87" s="19"/>
      <c r="V87" s="20"/>
      <c r="W87" s="20"/>
      <c r="X87" s="20"/>
      <c r="Y87" s="20"/>
      <c r="Z87" s="21"/>
      <c r="AA87" s="22"/>
      <c r="AB87" s="23"/>
    </row>
    <row r="88" spans="1:28" ht="13.5" customHeight="1" x14ac:dyDescent="0.35">
      <c r="A88" s="24" t="str">
        <f ca="1">IFERROR(__xludf.DUMMYFUNCTION("""COMPUTED_VALUE"""),"")</f>
        <v/>
      </c>
      <c r="B88" s="28" t="str">
        <f ca="1">IFERROR(__xludf.DUMMYFUNCTION("""COMPUTED_VALUE"""),"")</f>
        <v/>
      </c>
      <c r="C88" s="27" t="str">
        <f ca="1">IFERROR(__xludf.DUMMYFUNCTION("""COMPUTED_VALUE"""),"")</f>
        <v/>
      </c>
      <c r="D88" s="27" t="str">
        <f ca="1">IFERROR(__xludf.DUMMYFUNCTION("""COMPUTED_VALUE"""),"")</f>
        <v/>
      </c>
      <c r="E88" s="15" t="str">
        <f ca="1">IFERROR(__xludf.DUMMYFUNCTION("""COMPUTED_VALUE"""),"")</f>
        <v/>
      </c>
      <c r="F88" s="28" t="str">
        <f ca="1">IFERROR(__xludf.DUMMYFUNCTION("""COMPUTED_VALUE"""),"")</f>
        <v/>
      </c>
      <c r="G88" s="16" t="str">
        <f ca="1">IFERROR(__xludf.DUMMYFUNCTION("""COMPUTED_VALUE"""),"")</f>
        <v/>
      </c>
      <c r="H88" s="17" t="str">
        <f ca="1">IFERROR(__xludf.DUMMYFUNCTION("""COMPUTED_VALUE"""),"")</f>
        <v/>
      </c>
      <c r="I88" s="17" t="str">
        <f ca="1">IFERROR(__xludf.DUMMYFUNCTION("""COMPUTED_VALUE"""),"")</f>
        <v/>
      </c>
      <c r="J88" s="17" t="str">
        <f ca="1">IFERROR(__xludf.DUMMYFUNCTION("""COMPUTED_VALUE"""),"")</f>
        <v/>
      </c>
      <c r="K88" s="18" t="str">
        <f ca="1">IFERROR(__xludf.DUMMYFUNCTION("""COMPUTED_VALUE"""),"")</f>
        <v/>
      </c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20"/>
      <c r="W88" s="20"/>
      <c r="X88" s="20"/>
      <c r="Y88" s="20"/>
      <c r="Z88" s="21"/>
      <c r="AA88" s="22"/>
      <c r="AB88" s="23"/>
    </row>
    <row r="89" spans="1:28" ht="13.5" customHeight="1" x14ac:dyDescent="0.35">
      <c r="A89" s="24" t="str">
        <f ca="1">IFERROR(__xludf.DUMMYFUNCTION("""COMPUTED_VALUE"""),"")</f>
        <v/>
      </c>
      <c r="B89" s="28" t="str">
        <f ca="1">IFERROR(__xludf.DUMMYFUNCTION("""COMPUTED_VALUE"""),"")</f>
        <v/>
      </c>
      <c r="C89" s="27" t="str">
        <f ca="1">IFERROR(__xludf.DUMMYFUNCTION("""COMPUTED_VALUE"""),"")</f>
        <v/>
      </c>
      <c r="D89" s="27" t="str">
        <f ca="1">IFERROR(__xludf.DUMMYFUNCTION("""COMPUTED_VALUE"""),"")</f>
        <v/>
      </c>
      <c r="E89" s="15" t="str">
        <f ca="1">IFERROR(__xludf.DUMMYFUNCTION("""COMPUTED_VALUE"""),"")</f>
        <v/>
      </c>
      <c r="F89" s="28" t="str">
        <f ca="1">IFERROR(__xludf.DUMMYFUNCTION("""COMPUTED_VALUE"""),"")</f>
        <v/>
      </c>
      <c r="G89" s="16" t="str">
        <f ca="1">IFERROR(__xludf.DUMMYFUNCTION("""COMPUTED_VALUE"""),"")</f>
        <v/>
      </c>
      <c r="H89" s="17" t="str">
        <f ca="1">IFERROR(__xludf.DUMMYFUNCTION("""COMPUTED_VALUE"""),"")</f>
        <v/>
      </c>
      <c r="I89" s="17" t="str">
        <f ca="1">IFERROR(__xludf.DUMMYFUNCTION("""COMPUTED_VALUE"""),"")</f>
        <v/>
      </c>
      <c r="J89" s="17" t="str">
        <f ca="1">IFERROR(__xludf.DUMMYFUNCTION("""COMPUTED_VALUE"""),"")</f>
        <v/>
      </c>
      <c r="K89" s="18" t="str">
        <f ca="1">IFERROR(__xludf.DUMMYFUNCTION("""COMPUTED_VALUE"""),"")</f>
        <v/>
      </c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20"/>
      <c r="W89" s="20"/>
      <c r="X89" s="20"/>
      <c r="Y89" s="20"/>
      <c r="Z89" s="21"/>
      <c r="AA89" s="22"/>
      <c r="AB89" s="23"/>
    </row>
    <row r="90" spans="1:28" ht="13.5" customHeight="1" x14ac:dyDescent="0.35">
      <c r="A90" s="24" t="str">
        <f ca="1">IFERROR(__xludf.DUMMYFUNCTION("""COMPUTED_VALUE"""),"")</f>
        <v/>
      </c>
      <c r="B90" s="28" t="str">
        <f ca="1">IFERROR(__xludf.DUMMYFUNCTION("""COMPUTED_VALUE"""),"")</f>
        <v/>
      </c>
      <c r="C90" s="27" t="str">
        <f ca="1">IFERROR(__xludf.DUMMYFUNCTION("""COMPUTED_VALUE"""),"")</f>
        <v/>
      </c>
      <c r="D90" s="27" t="str">
        <f ca="1">IFERROR(__xludf.DUMMYFUNCTION("""COMPUTED_VALUE"""),"")</f>
        <v/>
      </c>
      <c r="E90" s="15" t="str">
        <f ca="1">IFERROR(__xludf.DUMMYFUNCTION("""COMPUTED_VALUE"""),"")</f>
        <v/>
      </c>
      <c r="F90" s="28" t="str">
        <f ca="1">IFERROR(__xludf.DUMMYFUNCTION("""COMPUTED_VALUE"""),"")</f>
        <v/>
      </c>
      <c r="G90" s="16" t="str">
        <f ca="1">IFERROR(__xludf.DUMMYFUNCTION("""COMPUTED_VALUE"""),"")</f>
        <v/>
      </c>
      <c r="H90" s="17" t="str">
        <f ca="1">IFERROR(__xludf.DUMMYFUNCTION("""COMPUTED_VALUE"""),"")</f>
        <v/>
      </c>
      <c r="I90" s="17" t="str">
        <f ca="1">IFERROR(__xludf.DUMMYFUNCTION("""COMPUTED_VALUE"""),"")</f>
        <v/>
      </c>
      <c r="J90" s="17" t="str">
        <f ca="1">IFERROR(__xludf.DUMMYFUNCTION("""COMPUTED_VALUE"""),"")</f>
        <v/>
      </c>
      <c r="K90" s="18" t="str">
        <f ca="1">IFERROR(__xludf.DUMMYFUNCTION("""COMPUTED_VALUE"""),"")</f>
        <v/>
      </c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20"/>
      <c r="W90" s="20"/>
      <c r="X90" s="20"/>
      <c r="Y90" s="20"/>
      <c r="Z90" s="21"/>
      <c r="AA90" s="22"/>
      <c r="AB90" s="23"/>
    </row>
    <row r="91" spans="1:28" ht="13.5" customHeight="1" x14ac:dyDescent="0.35">
      <c r="A91" s="24" t="str">
        <f ca="1">IFERROR(__xludf.DUMMYFUNCTION("""COMPUTED_VALUE"""),"")</f>
        <v/>
      </c>
      <c r="B91" s="28" t="str">
        <f ca="1">IFERROR(__xludf.DUMMYFUNCTION("""COMPUTED_VALUE"""),"")</f>
        <v/>
      </c>
      <c r="C91" s="27" t="str">
        <f ca="1">IFERROR(__xludf.DUMMYFUNCTION("""COMPUTED_VALUE"""),"")</f>
        <v/>
      </c>
      <c r="D91" s="27" t="str">
        <f ca="1">IFERROR(__xludf.DUMMYFUNCTION("""COMPUTED_VALUE"""),"")</f>
        <v/>
      </c>
      <c r="E91" s="15" t="str">
        <f ca="1">IFERROR(__xludf.DUMMYFUNCTION("""COMPUTED_VALUE"""),"")</f>
        <v/>
      </c>
      <c r="F91" s="28" t="str">
        <f ca="1">IFERROR(__xludf.DUMMYFUNCTION("""COMPUTED_VALUE"""),"")</f>
        <v/>
      </c>
      <c r="G91" s="16" t="str">
        <f ca="1">IFERROR(__xludf.DUMMYFUNCTION("""COMPUTED_VALUE"""),"")</f>
        <v/>
      </c>
      <c r="H91" s="17" t="str">
        <f ca="1">IFERROR(__xludf.DUMMYFUNCTION("""COMPUTED_VALUE"""),"")</f>
        <v/>
      </c>
      <c r="I91" s="17" t="str">
        <f ca="1">IFERROR(__xludf.DUMMYFUNCTION("""COMPUTED_VALUE"""),"")</f>
        <v/>
      </c>
      <c r="J91" s="17" t="str">
        <f ca="1">IFERROR(__xludf.DUMMYFUNCTION("""COMPUTED_VALUE"""),"")</f>
        <v/>
      </c>
      <c r="K91" s="18" t="str">
        <f ca="1">IFERROR(__xludf.DUMMYFUNCTION("""COMPUTED_VALUE"""),"")</f>
        <v/>
      </c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20"/>
      <c r="W91" s="20"/>
      <c r="X91" s="20"/>
      <c r="Y91" s="20"/>
      <c r="Z91" s="21"/>
      <c r="AA91" s="22"/>
      <c r="AB91" s="23"/>
    </row>
    <row r="92" spans="1:28" ht="13.5" customHeight="1" x14ac:dyDescent="0.35">
      <c r="A92" s="24" t="str">
        <f ca="1">IFERROR(__xludf.DUMMYFUNCTION("""COMPUTED_VALUE"""),"")</f>
        <v/>
      </c>
      <c r="B92" s="28" t="str">
        <f ca="1">IFERROR(__xludf.DUMMYFUNCTION("""COMPUTED_VALUE"""),"")</f>
        <v/>
      </c>
      <c r="C92" s="27" t="str">
        <f ca="1">IFERROR(__xludf.DUMMYFUNCTION("""COMPUTED_VALUE"""),"")</f>
        <v/>
      </c>
      <c r="D92" s="27" t="str">
        <f ca="1">IFERROR(__xludf.DUMMYFUNCTION("""COMPUTED_VALUE"""),"")</f>
        <v/>
      </c>
      <c r="E92" s="15" t="str">
        <f ca="1">IFERROR(__xludf.DUMMYFUNCTION("""COMPUTED_VALUE"""),"")</f>
        <v/>
      </c>
      <c r="F92" s="28" t="str">
        <f ca="1">IFERROR(__xludf.DUMMYFUNCTION("""COMPUTED_VALUE"""),"")</f>
        <v/>
      </c>
      <c r="G92" s="16" t="str">
        <f ca="1">IFERROR(__xludf.DUMMYFUNCTION("""COMPUTED_VALUE"""),"")</f>
        <v/>
      </c>
      <c r="H92" s="17" t="str">
        <f ca="1">IFERROR(__xludf.DUMMYFUNCTION("""COMPUTED_VALUE"""),"")</f>
        <v/>
      </c>
      <c r="I92" s="17" t="str">
        <f ca="1">IFERROR(__xludf.DUMMYFUNCTION("""COMPUTED_VALUE"""),"")</f>
        <v/>
      </c>
      <c r="J92" s="17" t="str">
        <f ca="1">IFERROR(__xludf.DUMMYFUNCTION("""COMPUTED_VALUE"""),"")</f>
        <v/>
      </c>
      <c r="K92" s="18" t="str">
        <f ca="1">IFERROR(__xludf.DUMMYFUNCTION("""COMPUTED_VALUE"""),"")</f>
        <v/>
      </c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20"/>
      <c r="W92" s="20"/>
      <c r="X92" s="20"/>
      <c r="Y92" s="20"/>
      <c r="Z92" s="21"/>
      <c r="AA92" s="22"/>
      <c r="AB92" s="23"/>
    </row>
    <row r="93" spans="1:28" ht="13.5" customHeight="1" x14ac:dyDescent="0.35">
      <c r="A93" s="24" t="str">
        <f ca="1">IFERROR(__xludf.DUMMYFUNCTION("""COMPUTED_VALUE"""),"")</f>
        <v/>
      </c>
      <c r="B93" s="28" t="str">
        <f ca="1">IFERROR(__xludf.DUMMYFUNCTION("""COMPUTED_VALUE"""),"")</f>
        <v/>
      </c>
      <c r="C93" s="27" t="str">
        <f ca="1">IFERROR(__xludf.DUMMYFUNCTION("""COMPUTED_VALUE"""),"")</f>
        <v/>
      </c>
      <c r="D93" s="27" t="str">
        <f ca="1">IFERROR(__xludf.DUMMYFUNCTION("""COMPUTED_VALUE"""),"")</f>
        <v/>
      </c>
      <c r="E93" s="15" t="str">
        <f ca="1">IFERROR(__xludf.DUMMYFUNCTION("""COMPUTED_VALUE"""),"")</f>
        <v/>
      </c>
      <c r="F93" s="28" t="str">
        <f ca="1">IFERROR(__xludf.DUMMYFUNCTION("""COMPUTED_VALUE"""),"")</f>
        <v/>
      </c>
      <c r="G93" s="16" t="str">
        <f ca="1">IFERROR(__xludf.DUMMYFUNCTION("""COMPUTED_VALUE"""),"")</f>
        <v/>
      </c>
      <c r="H93" s="17" t="str">
        <f ca="1">IFERROR(__xludf.DUMMYFUNCTION("""COMPUTED_VALUE"""),"")</f>
        <v/>
      </c>
      <c r="I93" s="17" t="str">
        <f ca="1">IFERROR(__xludf.DUMMYFUNCTION("""COMPUTED_VALUE"""),"")</f>
        <v/>
      </c>
      <c r="J93" s="17" t="str">
        <f ca="1">IFERROR(__xludf.DUMMYFUNCTION("""COMPUTED_VALUE"""),"")</f>
        <v/>
      </c>
      <c r="K93" s="18" t="str">
        <f ca="1">IFERROR(__xludf.DUMMYFUNCTION("""COMPUTED_VALUE"""),"")</f>
        <v/>
      </c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20"/>
      <c r="W93" s="20"/>
      <c r="X93" s="20"/>
      <c r="Y93" s="20"/>
      <c r="Z93" s="21"/>
      <c r="AA93" s="22"/>
      <c r="AB93" s="23"/>
    </row>
    <row r="94" spans="1:28" ht="13.5" customHeight="1" x14ac:dyDescent="0.35">
      <c r="A94" s="24" t="str">
        <f ca="1">IFERROR(__xludf.DUMMYFUNCTION("""COMPUTED_VALUE"""),"")</f>
        <v/>
      </c>
      <c r="B94" s="28" t="str">
        <f ca="1">IFERROR(__xludf.DUMMYFUNCTION("""COMPUTED_VALUE"""),"")</f>
        <v/>
      </c>
      <c r="C94" s="27" t="str">
        <f ca="1">IFERROR(__xludf.DUMMYFUNCTION("""COMPUTED_VALUE"""),"")</f>
        <v/>
      </c>
      <c r="D94" s="27" t="str">
        <f ca="1">IFERROR(__xludf.DUMMYFUNCTION("""COMPUTED_VALUE"""),"")</f>
        <v/>
      </c>
      <c r="E94" s="15" t="str">
        <f ca="1">IFERROR(__xludf.DUMMYFUNCTION("""COMPUTED_VALUE"""),"")</f>
        <v/>
      </c>
      <c r="F94" s="28" t="str">
        <f ca="1">IFERROR(__xludf.DUMMYFUNCTION("""COMPUTED_VALUE"""),"")</f>
        <v/>
      </c>
      <c r="G94" s="16" t="str">
        <f ca="1">IFERROR(__xludf.DUMMYFUNCTION("""COMPUTED_VALUE"""),"")</f>
        <v/>
      </c>
      <c r="H94" s="17" t="str">
        <f ca="1">IFERROR(__xludf.DUMMYFUNCTION("""COMPUTED_VALUE"""),"")</f>
        <v/>
      </c>
      <c r="I94" s="17" t="str">
        <f ca="1">IFERROR(__xludf.DUMMYFUNCTION("""COMPUTED_VALUE"""),"")</f>
        <v/>
      </c>
      <c r="J94" s="17" t="str">
        <f ca="1">IFERROR(__xludf.DUMMYFUNCTION("""COMPUTED_VALUE"""),"")</f>
        <v/>
      </c>
      <c r="K94" s="18" t="str">
        <f ca="1">IFERROR(__xludf.DUMMYFUNCTION("""COMPUTED_VALUE"""),"")</f>
        <v/>
      </c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20"/>
      <c r="W94" s="20"/>
      <c r="X94" s="20"/>
      <c r="Y94" s="20"/>
      <c r="Z94" s="21"/>
      <c r="AA94" s="22"/>
      <c r="AB94" s="23"/>
    </row>
    <row r="95" spans="1:28" ht="13.5" customHeight="1" x14ac:dyDescent="0.35">
      <c r="A95" s="24" t="str">
        <f ca="1">IFERROR(__xludf.DUMMYFUNCTION("""COMPUTED_VALUE"""),"")</f>
        <v/>
      </c>
      <c r="B95" s="28" t="str">
        <f ca="1">IFERROR(__xludf.DUMMYFUNCTION("""COMPUTED_VALUE"""),"")</f>
        <v/>
      </c>
      <c r="C95" s="27" t="str">
        <f ca="1">IFERROR(__xludf.DUMMYFUNCTION("""COMPUTED_VALUE"""),"")</f>
        <v/>
      </c>
      <c r="D95" s="27" t="str">
        <f ca="1">IFERROR(__xludf.DUMMYFUNCTION("""COMPUTED_VALUE"""),"")</f>
        <v/>
      </c>
      <c r="E95" s="15" t="str">
        <f ca="1">IFERROR(__xludf.DUMMYFUNCTION("""COMPUTED_VALUE"""),"")</f>
        <v/>
      </c>
      <c r="F95" s="28" t="str">
        <f ca="1">IFERROR(__xludf.DUMMYFUNCTION("""COMPUTED_VALUE"""),"")</f>
        <v/>
      </c>
      <c r="G95" s="16" t="str">
        <f ca="1">IFERROR(__xludf.DUMMYFUNCTION("""COMPUTED_VALUE"""),"")</f>
        <v/>
      </c>
      <c r="H95" s="17" t="str">
        <f ca="1">IFERROR(__xludf.DUMMYFUNCTION("""COMPUTED_VALUE"""),"")</f>
        <v/>
      </c>
      <c r="I95" s="17" t="str">
        <f ca="1">IFERROR(__xludf.DUMMYFUNCTION("""COMPUTED_VALUE"""),"")</f>
        <v/>
      </c>
      <c r="J95" s="17" t="str">
        <f ca="1">IFERROR(__xludf.DUMMYFUNCTION("""COMPUTED_VALUE"""),"")</f>
        <v/>
      </c>
      <c r="K95" s="18" t="str">
        <f ca="1">IFERROR(__xludf.DUMMYFUNCTION("""COMPUTED_VALUE"""),"")</f>
        <v/>
      </c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20"/>
      <c r="W95" s="20"/>
      <c r="X95" s="20"/>
      <c r="Y95" s="20"/>
      <c r="Z95" s="21"/>
      <c r="AA95" s="22"/>
      <c r="AB95" s="23"/>
    </row>
    <row r="96" spans="1:28" ht="13.5" customHeight="1" x14ac:dyDescent="0.35">
      <c r="A96" s="24" t="str">
        <f ca="1">IFERROR(__xludf.DUMMYFUNCTION("""COMPUTED_VALUE"""),"")</f>
        <v/>
      </c>
      <c r="B96" s="28" t="str">
        <f ca="1">IFERROR(__xludf.DUMMYFUNCTION("""COMPUTED_VALUE"""),"")</f>
        <v/>
      </c>
      <c r="C96" s="27" t="str">
        <f ca="1">IFERROR(__xludf.DUMMYFUNCTION("""COMPUTED_VALUE"""),"")</f>
        <v/>
      </c>
      <c r="D96" s="27" t="str">
        <f ca="1">IFERROR(__xludf.DUMMYFUNCTION("""COMPUTED_VALUE"""),"")</f>
        <v/>
      </c>
      <c r="E96" s="15" t="str">
        <f ca="1">IFERROR(__xludf.DUMMYFUNCTION("""COMPUTED_VALUE"""),"")</f>
        <v/>
      </c>
      <c r="F96" s="28" t="str">
        <f ca="1">IFERROR(__xludf.DUMMYFUNCTION("""COMPUTED_VALUE"""),"")</f>
        <v/>
      </c>
      <c r="G96" s="16" t="str">
        <f ca="1">IFERROR(__xludf.DUMMYFUNCTION("""COMPUTED_VALUE"""),"")</f>
        <v/>
      </c>
      <c r="H96" s="17" t="str">
        <f ca="1">IFERROR(__xludf.DUMMYFUNCTION("""COMPUTED_VALUE"""),"")</f>
        <v/>
      </c>
      <c r="I96" s="17" t="str">
        <f ca="1">IFERROR(__xludf.DUMMYFUNCTION("""COMPUTED_VALUE"""),"")</f>
        <v/>
      </c>
      <c r="J96" s="17" t="str">
        <f ca="1">IFERROR(__xludf.DUMMYFUNCTION("""COMPUTED_VALUE"""),"")</f>
        <v/>
      </c>
      <c r="K96" s="18" t="str">
        <f ca="1">IFERROR(__xludf.DUMMYFUNCTION("""COMPUTED_VALUE"""),"")</f>
        <v/>
      </c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20"/>
      <c r="W96" s="20"/>
      <c r="X96" s="20"/>
      <c r="Y96" s="20"/>
      <c r="Z96" s="21"/>
      <c r="AA96" s="22"/>
      <c r="AB96" s="23"/>
    </row>
    <row r="97" spans="1:28" ht="13.5" customHeight="1" x14ac:dyDescent="0.35">
      <c r="A97" s="24" t="str">
        <f ca="1">IFERROR(__xludf.DUMMYFUNCTION("""COMPUTED_VALUE"""),"")</f>
        <v/>
      </c>
      <c r="B97" s="28" t="str">
        <f ca="1">IFERROR(__xludf.DUMMYFUNCTION("""COMPUTED_VALUE"""),"")</f>
        <v/>
      </c>
      <c r="C97" s="27" t="str">
        <f ca="1">IFERROR(__xludf.DUMMYFUNCTION("""COMPUTED_VALUE"""),"")</f>
        <v/>
      </c>
      <c r="D97" s="27" t="str">
        <f ca="1">IFERROR(__xludf.DUMMYFUNCTION("""COMPUTED_VALUE"""),"")</f>
        <v/>
      </c>
      <c r="E97" s="15" t="str">
        <f ca="1">IFERROR(__xludf.DUMMYFUNCTION("""COMPUTED_VALUE"""),"")</f>
        <v/>
      </c>
      <c r="F97" s="28" t="str">
        <f ca="1">IFERROR(__xludf.DUMMYFUNCTION("""COMPUTED_VALUE"""),"")</f>
        <v/>
      </c>
      <c r="G97" s="16" t="str">
        <f ca="1">IFERROR(__xludf.DUMMYFUNCTION("""COMPUTED_VALUE"""),"")</f>
        <v/>
      </c>
      <c r="H97" s="17" t="str">
        <f ca="1">IFERROR(__xludf.DUMMYFUNCTION("""COMPUTED_VALUE"""),"")</f>
        <v/>
      </c>
      <c r="I97" s="17" t="str">
        <f ca="1">IFERROR(__xludf.DUMMYFUNCTION("""COMPUTED_VALUE"""),"")</f>
        <v/>
      </c>
      <c r="J97" s="17" t="str">
        <f ca="1">IFERROR(__xludf.DUMMYFUNCTION("""COMPUTED_VALUE"""),"")</f>
        <v/>
      </c>
      <c r="K97" s="18" t="str">
        <f ca="1">IFERROR(__xludf.DUMMYFUNCTION("""COMPUTED_VALUE"""),"")</f>
        <v/>
      </c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20"/>
      <c r="W97" s="20"/>
      <c r="X97" s="20"/>
      <c r="Y97" s="20"/>
      <c r="Z97" s="21"/>
      <c r="AA97" s="22"/>
      <c r="AB97" s="23"/>
    </row>
    <row r="98" spans="1:28" ht="13.5" customHeight="1" x14ac:dyDescent="0.35">
      <c r="A98" s="24" t="str">
        <f ca="1">IFERROR(__xludf.DUMMYFUNCTION("""COMPUTED_VALUE"""),"")</f>
        <v/>
      </c>
      <c r="B98" s="28" t="str">
        <f ca="1">IFERROR(__xludf.DUMMYFUNCTION("""COMPUTED_VALUE"""),"")</f>
        <v/>
      </c>
      <c r="C98" s="27" t="str">
        <f ca="1">IFERROR(__xludf.DUMMYFUNCTION("""COMPUTED_VALUE"""),"")</f>
        <v/>
      </c>
      <c r="D98" s="27" t="str">
        <f ca="1">IFERROR(__xludf.DUMMYFUNCTION("""COMPUTED_VALUE"""),"")</f>
        <v/>
      </c>
      <c r="E98" s="15" t="str">
        <f ca="1">IFERROR(__xludf.DUMMYFUNCTION("""COMPUTED_VALUE"""),"")</f>
        <v/>
      </c>
      <c r="F98" s="28" t="str">
        <f ca="1">IFERROR(__xludf.DUMMYFUNCTION("""COMPUTED_VALUE"""),"")</f>
        <v/>
      </c>
      <c r="G98" s="16" t="str">
        <f ca="1">IFERROR(__xludf.DUMMYFUNCTION("""COMPUTED_VALUE"""),"")</f>
        <v/>
      </c>
      <c r="H98" s="17" t="str">
        <f ca="1">IFERROR(__xludf.DUMMYFUNCTION("""COMPUTED_VALUE"""),"")</f>
        <v/>
      </c>
      <c r="I98" s="17" t="str">
        <f ca="1">IFERROR(__xludf.DUMMYFUNCTION("""COMPUTED_VALUE"""),"")</f>
        <v/>
      </c>
      <c r="J98" s="17" t="str">
        <f ca="1">IFERROR(__xludf.DUMMYFUNCTION("""COMPUTED_VALUE"""),"")</f>
        <v/>
      </c>
      <c r="K98" s="18" t="str">
        <f ca="1">IFERROR(__xludf.DUMMYFUNCTION("""COMPUTED_VALUE"""),"")</f>
        <v/>
      </c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20"/>
      <c r="W98" s="20"/>
      <c r="X98" s="20"/>
      <c r="Y98" s="20"/>
      <c r="Z98" s="21"/>
      <c r="AA98" s="22"/>
      <c r="AB98" s="23"/>
    </row>
    <row r="99" spans="1:28" ht="13.5" customHeight="1" x14ac:dyDescent="0.35">
      <c r="A99" s="24" t="str">
        <f ca="1">IFERROR(__xludf.DUMMYFUNCTION("""COMPUTED_VALUE"""),"")</f>
        <v/>
      </c>
      <c r="B99" s="28" t="str">
        <f ca="1">IFERROR(__xludf.DUMMYFUNCTION("""COMPUTED_VALUE"""),"")</f>
        <v/>
      </c>
      <c r="C99" s="27" t="str">
        <f ca="1">IFERROR(__xludf.DUMMYFUNCTION("""COMPUTED_VALUE"""),"")</f>
        <v/>
      </c>
      <c r="D99" s="27" t="str">
        <f ca="1">IFERROR(__xludf.DUMMYFUNCTION("""COMPUTED_VALUE"""),"")</f>
        <v/>
      </c>
      <c r="E99" s="15" t="str">
        <f ca="1">IFERROR(__xludf.DUMMYFUNCTION("""COMPUTED_VALUE"""),"")</f>
        <v/>
      </c>
      <c r="F99" s="28" t="str">
        <f ca="1">IFERROR(__xludf.DUMMYFUNCTION("""COMPUTED_VALUE"""),"")</f>
        <v/>
      </c>
      <c r="G99" s="16" t="str">
        <f ca="1">IFERROR(__xludf.DUMMYFUNCTION("""COMPUTED_VALUE"""),"")</f>
        <v/>
      </c>
      <c r="H99" s="17" t="str">
        <f ca="1">IFERROR(__xludf.DUMMYFUNCTION("""COMPUTED_VALUE"""),"")</f>
        <v/>
      </c>
      <c r="I99" s="17" t="str">
        <f ca="1">IFERROR(__xludf.DUMMYFUNCTION("""COMPUTED_VALUE"""),"")</f>
        <v/>
      </c>
      <c r="J99" s="17" t="str">
        <f ca="1">IFERROR(__xludf.DUMMYFUNCTION("""COMPUTED_VALUE"""),"")</f>
        <v/>
      </c>
      <c r="K99" s="18" t="str">
        <f ca="1">IFERROR(__xludf.DUMMYFUNCTION("""COMPUTED_VALUE"""),"")</f>
        <v/>
      </c>
      <c r="L99" s="19"/>
      <c r="M99" s="19"/>
      <c r="N99" s="19"/>
      <c r="O99" s="19"/>
      <c r="P99" s="19"/>
      <c r="Q99" s="19"/>
      <c r="R99" s="19"/>
      <c r="S99" s="19"/>
      <c r="T99" s="19"/>
      <c r="U99" s="19"/>
      <c r="V99" s="20"/>
      <c r="W99" s="20"/>
      <c r="X99" s="20"/>
      <c r="Y99" s="20"/>
      <c r="Z99" s="21"/>
      <c r="AA99" s="22"/>
      <c r="AB99" s="23"/>
    </row>
    <row r="100" spans="1:28" ht="13.5" customHeight="1" x14ac:dyDescent="0.35">
      <c r="A100" s="24" t="str">
        <f ca="1">IFERROR(__xludf.DUMMYFUNCTION("""COMPUTED_VALUE"""),"")</f>
        <v/>
      </c>
      <c r="B100" s="28" t="str">
        <f ca="1">IFERROR(__xludf.DUMMYFUNCTION("""COMPUTED_VALUE"""),"")</f>
        <v/>
      </c>
      <c r="C100" s="27" t="str">
        <f ca="1">IFERROR(__xludf.DUMMYFUNCTION("""COMPUTED_VALUE"""),"")</f>
        <v/>
      </c>
      <c r="D100" s="27" t="str">
        <f ca="1">IFERROR(__xludf.DUMMYFUNCTION("""COMPUTED_VALUE"""),"")</f>
        <v/>
      </c>
      <c r="E100" s="15" t="str">
        <f ca="1">IFERROR(__xludf.DUMMYFUNCTION("""COMPUTED_VALUE"""),"")</f>
        <v/>
      </c>
      <c r="F100" s="28" t="str">
        <f ca="1">IFERROR(__xludf.DUMMYFUNCTION("""COMPUTED_VALUE"""),"")</f>
        <v/>
      </c>
      <c r="G100" s="16" t="str">
        <f ca="1">IFERROR(__xludf.DUMMYFUNCTION("""COMPUTED_VALUE"""),"")</f>
        <v/>
      </c>
      <c r="H100" s="17" t="str">
        <f ca="1">IFERROR(__xludf.DUMMYFUNCTION("""COMPUTED_VALUE"""),"")</f>
        <v/>
      </c>
      <c r="I100" s="17" t="str">
        <f ca="1">IFERROR(__xludf.DUMMYFUNCTION("""COMPUTED_VALUE"""),"")</f>
        <v/>
      </c>
      <c r="J100" s="17" t="str">
        <f ca="1">IFERROR(__xludf.DUMMYFUNCTION("""COMPUTED_VALUE"""),"")</f>
        <v/>
      </c>
      <c r="K100" s="18" t="str">
        <f ca="1">IFERROR(__xludf.DUMMYFUNCTION("""COMPUTED_VALUE"""),"")</f>
        <v/>
      </c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20"/>
      <c r="W100" s="20"/>
      <c r="X100" s="20"/>
      <c r="Y100" s="20"/>
      <c r="Z100" s="21"/>
      <c r="AA100" s="22"/>
      <c r="AB100" s="23"/>
    </row>
    <row r="101" spans="1:28" ht="13.5" customHeight="1" x14ac:dyDescent="0.35">
      <c r="A101" s="24" t="str">
        <f ca="1">IFERROR(__xludf.DUMMYFUNCTION("""COMPUTED_VALUE"""),"")</f>
        <v/>
      </c>
      <c r="B101" s="28" t="str">
        <f ca="1">IFERROR(__xludf.DUMMYFUNCTION("""COMPUTED_VALUE"""),"")</f>
        <v/>
      </c>
      <c r="C101" s="27" t="str">
        <f ca="1">IFERROR(__xludf.DUMMYFUNCTION("""COMPUTED_VALUE"""),"")</f>
        <v/>
      </c>
      <c r="D101" s="27" t="str">
        <f ca="1">IFERROR(__xludf.DUMMYFUNCTION("""COMPUTED_VALUE"""),"")</f>
        <v/>
      </c>
      <c r="E101" s="15" t="str">
        <f ca="1">IFERROR(__xludf.DUMMYFUNCTION("""COMPUTED_VALUE"""),"")</f>
        <v/>
      </c>
      <c r="F101" s="28" t="str">
        <f ca="1">IFERROR(__xludf.DUMMYFUNCTION("""COMPUTED_VALUE"""),"")</f>
        <v/>
      </c>
      <c r="G101" s="16" t="str">
        <f ca="1">IFERROR(__xludf.DUMMYFUNCTION("""COMPUTED_VALUE"""),"")</f>
        <v/>
      </c>
      <c r="H101" s="17" t="str">
        <f ca="1">IFERROR(__xludf.DUMMYFUNCTION("""COMPUTED_VALUE"""),"")</f>
        <v/>
      </c>
      <c r="I101" s="17" t="str">
        <f ca="1">IFERROR(__xludf.DUMMYFUNCTION("""COMPUTED_VALUE"""),"")</f>
        <v/>
      </c>
      <c r="J101" s="17" t="str">
        <f ca="1">IFERROR(__xludf.DUMMYFUNCTION("""COMPUTED_VALUE"""),"")</f>
        <v/>
      </c>
      <c r="K101" s="18" t="str">
        <f ca="1">IFERROR(__xludf.DUMMYFUNCTION("""COMPUTED_VALUE"""),"")</f>
        <v/>
      </c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20"/>
      <c r="W101" s="20"/>
      <c r="X101" s="20"/>
      <c r="Y101" s="20"/>
      <c r="Z101" s="21"/>
      <c r="AA101" s="22"/>
      <c r="AB101" s="23"/>
    </row>
    <row r="102" spans="1:28" ht="13.5" customHeight="1" x14ac:dyDescent="0.35">
      <c r="A102" s="24" t="str">
        <f ca="1">IFERROR(__xludf.DUMMYFUNCTION("""COMPUTED_VALUE"""),"")</f>
        <v/>
      </c>
      <c r="B102" s="28" t="str">
        <f ca="1">IFERROR(__xludf.DUMMYFUNCTION("""COMPUTED_VALUE"""),"")</f>
        <v/>
      </c>
      <c r="C102" s="27" t="str">
        <f ca="1">IFERROR(__xludf.DUMMYFUNCTION("""COMPUTED_VALUE"""),"")</f>
        <v/>
      </c>
      <c r="D102" s="27" t="str">
        <f ca="1">IFERROR(__xludf.DUMMYFUNCTION("""COMPUTED_VALUE"""),"")</f>
        <v/>
      </c>
      <c r="E102" s="15" t="str">
        <f ca="1">IFERROR(__xludf.DUMMYFUNCTION("""COMPUTED_VALUE"""),"")</f>
        <v/>
      </c>
      <c r="F102" s="28" t="str">
        <f ca="1">IFERROR(__xludf.DUMMYFUNCTION("""COMPUTED_VALUE"""),"")</f>
        <v/>
      </c>
      <c r="G102" s="16" t="str">
        <f ca="1">IFERROR(__xludf.DUMMYFUNCTION("""COMPUTED_VALUE"""),"")</f>
        <v/>
      </c>
      <c r="H102" s="17" t="str">
        <f ca="1">IFERROR(__xludf.DUMMYFUNCTION("""COMPUTED_VALUE"""),"")</f>
        <v/>
      </c>
      <c r="I102" s="17" t="str">
        <f ca="1">IFERROR(__xludf.DUMMYFUNCTION("""COMPUTED_VALUE"""),"")</f>
        <v/>
      </c>
      <c r="J102" s="17" t="str">
        <f ca="1">IFERROR(__xludf.DUMMYFUNCTION("""COMPUTED_VALUE"""),"")</f>
        <v/>
      </c>
      <c r="K102" s="18" t="str">
        <f ca="1">IFERROR(__xludf.DUMMYFUNCTION("""COMPUTED_VALUE"""),"")</f>
        <v/>
      </c>
      <c r="L102" s="19"/>
      <c r="M102" s="19"/>
      <c r="N102" s="19"/>
      <c r="O102" s="19"/>
      <c r="P102" s="19"/>
      <c r="Q102" s="19"/>
      <c r="R102" s="19"/>
      <c r="S102" s="19"/>
      <c r="T102" s="19"/>
      <c r="U102" s="19"/>
      <c r="V102" s="20"/>
      <c r="W102" s="20"/>
      <c r="X102" s="20"/>
      <c r="Y102" s="20"/>
      <c r="Z102" s="21"/>
      <c r="AA102" s="22"/>
      <c r="AB102" s="23"/>
    </row>
    <row r="103" spans="1:28" ht="13.5" customHeight="1" x14ac:dyDescent="0.35">
      <c r="A103" s="24" t="str">
        <f ca="1">IFERROR(__xludf.DUMMYFUNCTION("""COMPUTED_VALUE"""),"")</f>
        <v/>
      </c>
      <c r="B103" s="28" t="str">
        <f ca="1">IFERROR(__xludf.DUMMYFUNCTION("""COMPUTED_VALUE"""),"")</f>
        <v/>
      </c>
      <c r="C103" s="27" t="str">
        <f ca="1">IFERROR(__xludf.DUMMYFUNCTION("""COMPUTED_VALUE"""),"")</f>
        <v/>
      </c>
      <c r="D103" s="27" t="str">
        <f ca="1">IFERROR(__xludf.DUMMYFUNCTION("""COMPUTED_VALUE"""),"")</f>
        <v/>
      </c>
      <c r="E103" s="15" t="str">
        <f ca="1">IFERROR(__xludf.DUMMYFUNCTION("""COMPUTED_VALUE"""),"")</f>
        <v/>
      </c>
      <c r="F103" s="28" t="str">
        <f ca="1">IFERROR(__xludf.DUMMYFUNCTION("""COMPUTED_VALUE"""),"")</f>
        <v/>
      </c>
      <c r="G103" s="16" t="str">
        <f ca="1">IFERROR(__xludf.DUMMYFUNCTION("""COMPUTED_VALUE"""),"")</f>
        <v/>
      </c>
      <c r="H103" s="17" t="str">
        <f ca="1">IFERROR(__xludf.DUMMYFUNCTION("""COMPUTED_VALUE"""),"")</f>
        <v/>
      </c>
      <c r="I103" s="17" t="str">
        <f ca="1">IFERROR(__xludf.DUMMYFUNCTION("""COMPUTED_VALUE"""),"")</f>
        <v/>
      </c>
      <c r="J103" s="17" t="str">
        <f ca="1">IFERROR(__xludf.DUMMYFUNCTION("""COMPUTED_VALUE"""),"")</f>
        <v/>
      </c>
      <c r="K103" s="18" t="str">
        <f ca="1">IFERROR(__xludf.DUMMYFUNCTION("""COMPUTED_VALUE"""),"")</f>
        <v/>
      </c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20"/>
      <c r="W103" s="20"/>
      <c r="X103" s="20"/>
      <c r="Y103" s="20"/>
      <c r="Z103" s="21"/>
      <c r="AA103" s="22"/>
      <c r="AB103" s="23"/>
    </row>
    <row r="104" spans="1:28" ht="13.5" customHeight="1" x14ac:dyDescent="0.35">
      <c r="A104" s="24" t="str">
        <f ca="1">IFERROR(__xludf.DUMMYFUNCTION("""COMPUTED_VALUE"""),"")</f>
        <v/>
      </c>
      <c r="B104" s="28" t="str">
        <f ca="1">IFERROR(__xludf.DUMMYFUNCTION("""COMPUTED_VALUE"""),"")</f>
        <v/>
      </c>
      <c r="C104" s="27" t="str">
        <f ca="1">IFERROR(__xludf.DUMMYFUNCTION("""COMPUTED_VALUE"""),"")</f>
        <v/>
      </c>
      <c r="D104" s="27" t="str">
        <f ca="1">IFERROR(__xludf.DUMMYFUNCTION("""COMPUTED_VALUE"""),"")</f>
        <v/>
      </c>
      <c r="E104" s="15" t="str">
        <f ca="1">IFERROR(__xludf.DUMMYFUNCTION("""COMPUTED_VALUE"""),"")</f>
        <v/>
      </c>
      <c r="F104" s="28" t="str">
        <f ca="1">IFERROR(__xludf.DUMMYFUNCTION("""COMPUTED_VALUE"""),"")</f>
        <v/>
      </c>
      <c r="G104" s="16" t="str">
        <f ca="1">IFERROR(__xludf.DUMMYFUNCTION("""COMPUTED_VALUE"""),"")</f>
        <v/>
      </c>
      <c r="H104" s="17" t="str">
        <f ca="1">IFERROR(__xludf.DUMMYFUNCTION("""COMPUTED_VALUE"""),"")</f>
        <v/>
      </c>
      <c r="I104" s="17" t="str">
        <f ca="1">IFERROR(__xludf.DUMMYFUNCTION("""COMPUTED_VALUE"""),"")</f>
        <v/>
      </c>
      <c r="J104" s="17" t="str">
        <f ca="1">IFERROR(__xludf.DUMMYFUNCTION("""COMPUTED_VALUE"""),"")</f>
        <v/>
      </c>
      <c r="K104" s="18" t="str">
        <f ca="1">IFERROR(__xludf.DUMMYFUNCTION("""COMPUTED_VALUE"""),"")</f>
        <v/>
      </c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20"/>
      <c r="W104" s="20"/>
      <c r="X104" s="20"/>
      <c r="Y104" s="20"/>
      <c r="Z104" s="21"/>
      <c r="AA104" s="22"/>
      <c r="AB104" s="23"/>
    </row>
    <row r="105" spans="1:28" ht="13.5" customHeight="1" x14ac:dyDescent="0.35">
      <c r="A105" s="24" t="str">
        <f ca="1">IFERROR(__xludf.DUMMYFUNCTION("""COMPUTED_VALUE"""),"")</f>
        <v/>
      </c>
      <c r="B105" s="28" t="str">
        <f ca="1">IFERROR(__xludf.DUMMYFUNCTION("""COMPUTED_VALUE"""),"")</f>
        <v/>
      </c>
      <c r="C105" s="27" t="str">
        <f ca="1">IFERROR(__xludf.DUMMYFUNCTION("""COMPUTED_VALUE"""),"")</f>
        <v/>
      </c>
      <c r="D105" s="27" t="str">
        <f ca="1">IFERROR(__xludf.DUMMYFUNCTION("""COMPUTED_VALUE"""),"")</f>
        <v/>
      </c>
      <c r="E105" s="15" t="str">
        <f ca="1">IFERROR(__xludf.DUMMYFUNCTION("""COMPUTED_VALUE"""),"")</f>
        <v/>
      </c>
      <c r="F105" s="28" t="str">
        <f ca="1">IFERROR(__xludf.DUMMYFUNCTION("""COMPUTED_VALUE"""),"")</f>
        <v/>
      </c>
      <c r="G105" s="16" t="str">
        <f ca="1">IFERROR(__xludf.DUMMYFUNCTION("""COMPUTED_VALUE"""),"")</f>
        <v/>
      </c>
      <c r="H105" s="17" t="str">
        <f ca="1">IFERROR(__xludf.DUMMYFUNCTION("""COMPUTED_VALUE"""),"")</f>
        <v/>
      </c>
      <c r="I105" s="17" t="str">
        <f ca="1">IFERROR(__xludf.DUMMYFUNCTION("""COMPUTED_VALUE"""),"")</f>
        <v/>
      </c>
      <c r="J105" s="17" t="str">
        <f ca="1">IFERROR(__xludf.DUMMYFUNCTION("""COMPUTED_VALUE"""),"")</f>
        <v/>
      </c>
      <c r="K105" s="18" t="str">
        <f ca="1">IFERROR(__xludf.DUMMYFUNCTION("""COMPUTED_VALUE"""),"")</f>
        <v/>
      </c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V105" s="20"/>
      <c r="W105" s="20"/>
      <c r="X105" s="20"/>
      <c r="Y105" s="20"/>
      <c r="Z105" s="21"/>
      <c r="AA105" s="22"/>
      <c r="AB105" s="23"/>
    </row>
    <row r="106" spans="1:28" ht="13.5" customHeight="1" x14ac:dyDescent="0.35">
      <c r="A106" s="24" t="str">
        <f ca="1">IFERROR(__xludf.DUMMYFUNCTION("""COMPUTED_VALUE"""),"")</f>
        <v/>
      </c>
      <c r="B106" s="28" t="str">
        <f ca="1">IFERROR(__xludf.DUMMYFUNCTION("""COMPUTED_VALUE"""),"")</f>
        <v/>
      </c>
      <c r="C106" s="27" t="str">
        <f ca="1">IFERROR(__xludf.DUMMYFUNCTION("""COMPUTED_VALUE"""),"")</f>
        <v/>
      </c>
      <c r="D106" s="27" t="str">
        <f ca="1">IFERROR(__xludf.DUMMYFUNCTION("""COMPUTED_VALUE"""),"")</f>
        <v/>
      </c>
      <c r="E106" s="15" t="str">
        <f ca="1">IFERROR(__xludf.DUMMYFUNCTION("""COMPUTED_VALUE"""),"")</f>
        <v/>
      </c>
      <c r="F106" s="28" t="str">
        <f ca="1">IFERROR(__xludf.DUMMYFUNCTION("""COMPUTED_VALUE"""),"")</f>
        <v/>
      </c>
      <c r="G106" s="16" t="str">
        <f ca="1">IFERROR(__xludf.DUMMYFUNCTION("""COMPUTED_VALUE"""),"")</f>
        <v/>
      </c>
      <c r="H106" s="17" t="str">
        <f ca="1">IFERROR(__xludf.DUMMYFUNCTION("""COMPUTED_VALUE"""),"")</f>
        <v/>
      </c>
      <c r="I106" s="17" t="str">
        <f ca="1">IFERROR(__xludf.DUMMYFUNCTION("""COMPUTED_VALUE"""),"")</f>
        <v/>
      </c>
      <c r="J106" s="17" t="str">
        <f ca="1">IFERROR(__xludf.DUMMYFUNCTION("""COMPUTED_VALUE"""),"")</f>
        <v/>
      </c>
      <c r="K106" s="18" t="str">
        <f ca="1">IFERROR(__xludf.DUMMYFUNCTION("""COMPUTED_VALUE"""),"")</f>
        <v/>
      </c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20"/>
      <c r="W106" s="20"/>
      <c r="X106" s="20"/>
      <c r="Y106" s="20"/>
      <c r="Z106" s="21"/>
      <c r="AA106" s="22"/>
      <c r="AB106" s="23"/>
    </row>
    <row r="107" spans="1:28" ht="13.5" customHeight="1" x14ac:dyDescent="0.35">
      <c r="A107" s="24" t="str">
        <f ca="1">IFERROR(__xludf.DUMMYFUNCTION("""COMPUTED_VALUE"""),"")</f>
        <v/>
      </c>
      <c r="B107" s="28" t="str">
        <f ca="1">IFERROR(__xludf.DUMMYFUNCTION("""COMPUTED_VALUE"""),"")</f>
        <v/>
      </c>
      <c r="C107" s="27" t="str">
        <f ca="1">IFERROR(__xludf.DUMMYFUNCTION("""COMPUTED_VALUE"""),"")</f>
        <v/>
      </c>
      <c r="D107" s="27" t="str">
        <f ca="1">IFERROR(__xludf.DUMMYFUNCTION("""COMPUTED_VALUE"""),"")</f>
        <v/>
      </c>
      <c r="E107" s="15" t="str">
        <f ca="1">IFERROR(__xludf.DUMMYFUNCTION("""COMPUTED_VALUE"""),"")</f>
        <v/>
      </c>
      <c r="F107" s="28" t="str">
        <f ca="1">IFERROR(__xludf.DUMMYFUNCTION("""COMPUTED_VALUE"""),"")</f>
        <v/>
      </c>
      <c r="G107" s="16" t="str">
        <f ca="1">IFERROR(__xludf.DUMMYFUNCTION("""COMPUTED_VALUE"""),"")</f>
        <v/>
      </c>
      <c r="H107" s="17" t="str">
        <f ca="1">IFERROR(__xludf.DUMMYFUNCTION("""COMPUTED_VALUE"""),"")</f>
        <v/>
      </c>
      <c r="I107" s="17" t="str">
        <f ca="1">IFERROR(__xludf.DUMMYFUNCTION("""COMPUTED_VALUE"""),"")</f>
        <v/>
      </c>
      <c r="J107" s="17" t="str">
        <f ca="1">IFERROR(__xludf.DUMMYFUNCTION("""COMPUTED_VALUE"""),"")</f>
        <v/>
      </c>
      <c r="K107" s="18" t="str">
        <f ca="1">IFERROR(__xludf.DUMMYFUNCTION("""COMPUTED_VALUE"""),"")</f>
        <v/>
      </c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20"/>
      <c r="W107" s="20"/>
      <c r="X107" s="20"/>
      <c r="Y107" s="20"/>
      <c r="Z107" s="21"/>
      <c r="AA107" s="22"/>
      <c r="AB107" s="23"/>
    </row>
    <row r="108" spans="1:28" ht="13.5" customHeight="1" x14ac:dyDescent="0.35">
      <c r="A108" s="24" t="str">
        <f ca="1">IFERROR(__xludf.DUMMYFUNCTION("""COMPUTED_VALUE"""),"")</f>
        <v/>
      </c>
      <c r="B108" s="28" t="str">
        <f ca="1">IFERROR(__xludf.DUMMYFUNCTION("""COMPUTED_VALUE"""),"")</f>
        <v/>
      </c>
      <c r="C108" s="27" t="str">
        <f ca="1">IFERROR(__xludf.DUMMYFUNCTION("""COMPUTED_VALUE"""),"")</f>
        <v/>
      </c>
      <c r="D108" s="27" t="str">
        <f ca="1">IFERROR(__xludf.DUMMYFUNCTION("""COMPUTED_VALUE"""),"")</f>
        <v/>
      </c>
      <c r="E108" s="15" t="str">
        <f ca="1">IFERROR(__xludf.DUMMYFUNCTION("""COMPUTED_VALUE"""),"")</f>
        <v/>
      </c>
      <c r="F108" s="28" t="str">
        <f ca="1">IFERROR(__xludf.DUMMYFUNCTION("""COMPUTED_VALUE"""),"")</f>
        <v/>
      </c>
      <c r="G108" s="16" t="str">
        <f ca="1">IFERROR(__xludf.DUMMYFUNCTION("""COMPUTED_VALUE"""),"")</f>
        <v/>
      </c>
      <c r="H108" s="17" t="str">
        <f ca="1">IFERROR(__xludf.DUMMYFUNCTION("""COMPUTED_VALUE"""),"")</f>
        <v/>
      </c>
      <c r="I108" s="17" t="str">
        <f ca="1">IFERROR(__xludf.DUMMYFUNCTION("""COMPUTED_VALUE"""),"")</f>
        <v/>
      </c>
      <c r="J108" s="17" t="str">
        <f ca="1">IFERROR(__xludf.DUMMYFUNCTION("""COMPUTED_VALUE"""),"")</f>
        <v/>
      </c>
      <c r="K108" s="18" t="str">
        <f ca="1">IFERROR(__xludf.DUMMYFUNCTION("""COMPUTED_VALUE"""),"")</f>
        <v/>
      </c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20"/>
      <c r="W108" s="20"/>
      <c r="X108" s="20"/>
      <c r="Y108" s="20"/>
      <c r="Z108" s="21"/>
      <c r="AA108" s="22"/>
      <c r="AB108" s="23"/>
    </row>
    <row r="109" spans="1:28" ht="13.5" customHeight="1" x14ac:dyDescent="0.35">
      <c r="A109" s="24" t="str">
        <f ca="1">IFERROR(__xludf.DUMMYFUNCTION("""COMPUTED_VALUE"""),"")</f>
        <v/>
      </c>
      <c r="B109" s="28" t="str">
        <f ca="1">IFERROR(__xludf.DUMMYFUNCTION("""COMPUTED_VALUE"""),"")</f>
        <v/>
      </c>
      <c r="C109" s="27" t="str">
        <f ca="1">IFERROR(__xludf.DUMMYFUNCTION("""COMPUTED_VALUE"""),"")</f>
        <v/>
      </c>
      <c r="D109" s="27" t="str">
        <f ca="1">IFERROR(__xludf.DUMMYFUNCTION("""COMPUTED_VALUE"""),"")</f>
        <v/>
      </c>
      <c r="E109" s="15" t="str">
        <f ca="1">IFERROR(__xludf.DUMMYFUNCTION("""COMPUTED_VALUE"""),"")</f>
        <v/>
      </c>
      <c r="F109" s="28" t="str">
        <f ca="1">IFERROR(__xludf.DUMMYFUNCTION("""COMPUTED_VALUE"""),"")</f>
        <v/>
      </c>
      <c r="G109" s="16" t="str">
        <f ca="1">IFERROR(__xludf.DUMMYFUNCTION("""COMPUTED_VALUE"""),"")</f>
        <v/>
      </c>
      <c r="H109" s="17" t="str">
        <f ca="1">IFERROR(__xludf.DUMMYFUNCTION("""COMPUTED_VALUE"""),"")</f>
        <v/>
      </c>
      <c r="I109" s="17" t="str">
        <f ca="1">IFERROR(__xludf.DUMMYFUNCTION("""COMPUTED_VALUE"""),"")</f>
        <v/>
      </c>
      <c r="J109" s="17" t="str">
        <f ca="1">IFERROR(__xludf.DUMMYFUNCTION("""COMPUTED_VALUE"""),"")</f>
        <v/>
      </c>
      <c r="K109" s="18" t="str">
        <f ca="1">IFERROR(__xludf.DUMMYFUNCTION("""COMPUTED_VALUE"""),"")</f>
        <v/>
      </c>
      <c r="L109" s="19"/>
      <c r="M109" s="19"/>
      <c r="N109" s="19"/>
      <c r="O109" s="19"/>
      <c r="P109" s="19"/>
      <c r="Q109" s="19"/>
      <c r="R109" s="19"/>
      <c r="S109" s="19"/>
      <c r="T109" s="19"/>
      <c r="U109" s="19"/>
      <c r="V109" s="20"/>
      <c r="W109" s="20"/>
      <c r="X109" s="20"/>
      <c r="Y109" s="20"/>
      <c r="Z109" s="21"/>
      <c r="AA109" s="22"/>
      <c r="AB109" s="23"/>
    </row>
    <row r="110" spans="1:28" ht="13.5" customHeight="1" x14ac:dyDescent="0.35">
      <c r="A110" s="24" t="str">
        <f ca="1">IFERROR(__xludf.DUMMYFUNCTION("""COMPUTED_VALUE"""),"")</f>
        <v/>
      </c>
      <c r="B110" s="28" t="str">
        <f ca="1">IFERROR(__xludf.DUMMYFUNCTION("""COMPUTED_VALUE"""),"")</f>
        <v/>
      </c>
      <c r="C110" s="27" t="str">
        <f ca="1">IFERROR(__xludf.DUMMYFUNCTION("""COMPUTED_VALUE"""),"")</f>
        <v/>
      </c>
      <c r="D110" s="27" t="str">
        <f ca="1">IFERROR(__xludf.DUMMYFUNCTION("""COMPUTED_VALUE"""),"")</f>
        <v/>
      </c>
      <c r="E110" s="15" t="str">
        <f ca="1">IFERROR(__xludf.DUMMYFUNCTION("""COMPUTED_VALUE"""),"")</f>
        <v/>
      </c>
      <c r="F110" s="28" t="str">
        <f ca="1">IFERROR(__xludf.DUMMYFUNCTION("""COMPUTED_VALUE"""),"")</f>
        <v/>
      </c>
      <c r="G110" s="16" t="str">
        <f ca="1">IFERROR(__xludf.DUMMYFUNCTION("""COMPUTED_VALUE"""),"")</f>
        <v/>
      </c>
      <c r="H110" s="17" t="str">
        <f ca="1">IFERROR(__xludf.DUMMYFUNCTION("""COMPUTED_VALUE"""),"")</f>
        <v/>
      </c>
      <c r="I110" s="17" t="str">
        <f ca="1">IFERROR(__xludf.DUMMYFUNCTION("""COMPUTED_VALUE"""),"")</f>
        <v/>
      </c>
      <c r="J110" s="17" t="str">
        <f ca="1">IFERROR(__xludf.DUMMYFUNCTION("""COMPUTED_VALUE"""),"")</f>
        <v/>
      </c>
      <c r="K110" s="18" t="str">
        <f ca="1">IFERROR(__xludf.DUMMYFUNCTION("""COMPUTED_VALUE"""),"")</f>
        <v/>
      </c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20"/>
      <c r="W110" s="20"/>
      <c r="X110" s="20"/>
      <c r="Y110" s="20"/>
      <c r="Z110" s="21"/>
      <c r="AA110" s="22"/>
      <c r="AB110" s="23"/>
    </row>
    <row r="111" spans="1:28" ht="13.5" customHeight="1" x14ac:dyDescent="0.35">
      <c r="A111" s="24" t="str">
        <f ca="1">IFERROR(__xludf.DUMMYFUNCTION("""COMPUTED_VALUE"""),"")</f>
        <v/>
      </c>
      <c r="B111" s="28" t="str">
        <f ca="1">IFERROR(__xludf.DUMMYFUNCTION("""COMPUTED_VALUE"""),"")</f>
        <v/>
      </c>
      <c r="C111" s="27" t="str">
        <f ca="1">IFERROR(__xludf.DUMMYFUNCTION("""COMPUTED_VALUE"""),"")</f>
        <v/>
      </c>
      <c r="D111" s="27" t="str">
        <f ca="1">IFERROR(__xludf.DUMMYFUNCTION("""COMPUTED_VALUE"""),"")</f>
        <v/>
      </c>
      <c r="E111" s="15" t="str">
        <f ca="1">IFERROR(__xludf.DUMMYFUNCTION("""COMPUTED_VALUE"""),"")</f>
        <v/>
      </c>
      <c r="F111" s="28" t="str">
        <f ca="1">IFERROR(__xludf.DUMMYFUNCTION("""COMPUTED_VALUE"""),"")</f>
        <v/>
      </c>
      <c r="G111" s="16" t="str">
        <f ca="1">IFERROR(__xludf.DUMMYFUNCTION("""COMPUTED_VALUE"""),"")</f>
        <v/>
      </c>
      <c r="H111" s="17" t="str">
        <f ca="1">IFERROR(__xludf.DUMMYFUNCTION("""COMPUTED_VALUE"""),"")</f>
        <v/>
      </c>
      <c r="I111" s="17" t="str">
        <f ca="1">IFERROR(__xludf.DUMMYFUNCTION("""COMPUTED_VALUE"""),"")</f>
        <v/>
      </c>
      <c r="J111" s="17" t="str">
        <f ca="1">IFERROR(__xludf.DUMMYFUNCTION("""COMPUTED_VALUE"""),"")</f>
        <v/>
      </c>
      <c r="K111" s="18" t="str">
        <f ca="1">IFERROR(__xludf.DUMMYFUNCTION("""COMPUTED_VALUE"""),"")</f>
        <v/>
      </c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V111" s="20"/>
      <c r="W111" s="20"/>
      <c r="X111" s="20"/>
      <c r="Y111" s="20"/>
      <c r="Z111" s="21"/>
      <c r="AA111" s="22"/>
      <c r="AB111" s="23"/>
    </row>
    <row r="112" spans="1:28" ht="13.5" customHeight="1" x14ac:dyDescent="0.35">
      <c r="A112" s="24" t="str">
        <f ca="1">IFERROR(__xludf.DUMMYFUNCTION("""COMPUTED_VALUE"""),"")</f>
        <v/>
      </c>
      <c r="B112" s="28" t="str">
        <f ca="1">IFERROR(__xludf.DUMMYFUNCTION("""COMPUTED_VALUE"""),"")</f>
        <v/>
      </c>
      <c r="C112" s="27" t="str">
        <f ca="1">IFERROR(__xludf.DUMMYFUNCTION("""COMPUTED_VALUE"""),"")</f>
        <v/>
      </c>
      <c r="D112" s="27" t="str">
        <f ca="1">IFERROR(__xludf.DUMMYFUNCTION("""COMPUTED_VALUE"""),"")</f>
        <v/>
      </c>
      <c r="E112" s="15" t="str">
        <f ca="1">IFERROR(__xludf.DUMMYFUNCTION("""COMPUTED_VALUE"""),"")</f>
        <v/>
      </c>
      <c r="F112" s="28" t="str">
        <f ca="1">IFERROR(__xludf.DUMMYFUNCTION("""COMPUTED_VALUE"""),"")</f>
        <v/>
      </c>
      <c r="G112" s="16" t="str">
        <f ca="1">IFERROR(__xludf.DUMMYFUNCTION("""COMPUTED_VALUE"""),"")</f>
        <v/>
      </c>
      <c r="H112" s="17" t="str">
        <f ca="1">IFERROR(__xludf.DUMMYFUNCTION("""COMPUTED_VALUE"""),"")</f>
        <v/>
      </c>
      <c r="I112" s="17" t="str">
        <f ca="1">IFERROR(__xludf.DUMMYFUNCTION("""COMPUTED_VALUE"""),"")</f>
        <v/>
      </c>
      <c r="J112" s="17" t="str">
        <f ca="1">IFERROR(__xludf.DUMMYFUNCTION("""COMPUTED_VALUE"""),"")</f>
        <v/>
      </c>
      <c r="K112" s="18" t="str">
        <f ca="1">IFERROR(__xludf.DUMMYFUNCTION("""COMPUTED_VALUE"""),"")</f>
        <v/>
      </c>
      <c r="L112" s="19"/>
      <c r="M112" s="19"/>
      <c r="N112" s="19"/>
      <c r="O112" s="19"/>
      <c r="P112" s="19"/>
      <c r="Q112" s="19"/>
      <c r="R112" s="19"/>
      <c r="S112" s="19"/>
      <c r="T112" s="19"/>
      <c r="U112" s="19"/>
      <c r="V112" s="20"/>
      <c r="W112" s="20"/>
      <c r="X112" s="20"/>
      <c r="Y112" s="20"/>
      <c r="Z112" s="21"/>
      <c r="AA112" s="22"/>
      <c r="AB112" s="23"/>
    </row>
    <row r="113" spans="1:28" ht="13.5" customHeight="1" x14ac:dyDescent="0.35">
      <c r="A113" s="24" t="str">
        <f ca="1">IFERROR(__xludf.DUMMYFUNCTION("""COMPUTED_VALUE"""),"")</f>
        <v/>
      </c>
      <c r="B113" s="28" t="str">
        <f ca="1">IFERROR(__xludf.DUMMYFUNCTION("""COMPUTED_VALUE"""),"")</f>
        <v/>
      </c>
      <c r="C113" s="27" t="str">
        <f ca="1">IFERROR(__xludf.DUMMYFUNCTION("""COMPUTED_VALUE"""),"")</f>
        <v/>
      </c>
      <c r="D113" s="27" t="str">
        <f ca="1">IFERROR(__xludf.DUMMYFUNCTION("""COMPUTED_VALUE"""),"")</f>
        <v/>
      </c>
      <c r="E113" s="15" t="str">
        <f ca="1">IFERROR(__xludf.DUMMYFUNCTION("""COMPUTED_VALUE"""),"")</f>
        <v/>
      </c>
      <c r="F113" s="28" t="str">
        <f ca="1">IFERROR(__xludf.DUMMYFUNCTION("""COMPUTED_VALUE"""),"")</f>
        <v/>
      </c>
      <c r="G113" s="16" t="str">
        <f ca="1">IFERROR(__xludf.DUMMYFUNCTION("""COMPUTED_VALUE"""),"")</f>
        <v/>
      </c>
      <c r="H113" s="17" t="str">
        <f ca="1">IFERROR(__xludf.DUMMYFUNCTION("""COMPUTED_VALUE"""),"")</f>
        <v/>
      </c>
      <c r="I113" s="17" t="str">
        <f ca="1">IFERROR(__xludf.DUMMYFUNCTION("""COMPUTED_VALUE"""),"")</f>
        <v/>
      </c>
      <c r="J113" s="17" t="str">
        <f ca="1">IFERROR(__xludf.DUMMYFUNCTION("""COMPUTED_VALUE"""),"")</f>
        <v/>
      </c>
      <c r="K113" s="18" t="str">
        <f ca="1">IFERROR(__xludf.DUMMYFUNCTION("""COMPUTED_VALUE"""),"")</f>
        <v/>
      </c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20"/>
      <c r="W113" s="20"/>
      <c r="X113" s="20"/>
      <c r="Y113" s="20"/>
      <c r="Z113" s="21"/>
      <c r="AA113" s="22"/>
      <c r="AB113" s="23"/>
    </row>
    <row r="114" spans="1:28" ht="13.5" customHeight="1" x14ac:dyDescent="0.35">
      <c r="A114" s="24" t="str">
        <f ca="1">IFERROR(__xludf.DUMMYFUNCTION("""COMPUTED_VALUE"""),"")</f>
        <v/>
      </c>
      <c r="B114" s="28" t="str">
        <f ca="1">IFERROR(__xludf.DUMMYFUNCTION("""COMPUTED_VALUE"""),"")</f>
        <v/>
      </c>
      <c r="C114" s="27" t="str">
        <f ca="1">IFERROR(__xludf.DUMMYFUNCTION("""COMPUTED_VALUE"""),"")</f>
        <v/>
      </c>
      <c r="D114" s="27" t="str">
        <f ca="1">IFERROR(__xludf.DUMMYFUNCTION("""COMPUTED_VALUE"""),"")</f>
        <v/>
      </c>
      <c r="E114" s="15" t="str">
        <f ca="1">IFERROR(__xludf.DUMMYFUNCTION("""COMPUTED_VALUE"""),"")</f>
        <v/>
      </c>
      <c r="F114" s="28" t="str">
        <f ca="1">IFERROR(__xludf.DUMMYFUNCTION("""COMPUTED_VALUE"""),"")</f>
        <v/>
      </c>
      <c r="G114" s="16" t="str">
        <f ca="1">IFERROR(__xludf.DUMMYFUNCTION("""COMPUTED_VALUE"""),"")</f>
        <v/>
      </c>
      <c r="H114" s="17" t="str">
        <f ca="1">IFERROR(__xludf.DUMMYFUNCTION("""COMPUTED_VALUE"""),"")</f>
        <v/>
      </c>
      <c r="I114" s="17" t="str">
        <f ca="1">IFERROR(__xludf.DUMMYFUNCTION("""COMPUTED_VALUE"""),"")</f>
        <v/>
      </c>
      <c r="J114" s="17" t="str">
        <f ca="1">IFERROR(__xludf.DUMMYFUNCTION("""COMPUTED_VALUE"""),"")</f>
        <v/>
      </c>
      <c r="K114" s="18" t="str">
        <f ca="1">IFERROR(__xludf.DUMMYFUNCTION("""COMPUTED_VALUE"""),"")</f>
        <v/>
      </c>
      <c r="L114" s="19"/>
      <c r="M114" s="19"/>
      <c r="N114" s="19"/>
      <c r="O114" s="19"/>
      <c r="P114" s="19"/>
      <c r="Q114" s="19"/>
      <c r="R114" s="19"/>
      <c r="S114" s="19"/>
      <c r="T114" s="19"/>
      <c r="U114" s="19"/>
      <c r="V114" s="20"/>
      <c r="W114" s="20"/>
      <c r="X114" s="20"/>
      <c r="Y114" s="20"/>
      <c r="Z114" s="21"/>
      <c r="AA114" s="22"/>
      <c r="AB114" s="23"/>
    </row>
    <row r="115" spans="1:28" ht="13.5" customHeight="1" x14ac:dyDescent="0.35">
      <c r="A115" s="24" t="str">
        <f ca="1">IFERROR(__xludf.DUMMYFUNCTION("""COMPUTED_VALUE"""),"")</f>
        <v/>
      </c>
      <c r="B115" s="28" t="str">
        <f ca="1">IFERROR(__xludf.DUMMYFUNCTION("""COMPUTED_VALUE"""),"")</f>
        <v/>
      </c>
      <c r="C115" s="27" t="str">
        <f ca="1">IFERROR(__xludf.DUMMYFUNCTION("""COMPUTED_VALUE"""),"")</f>
        <v/>
      </c>
      <c r="D115" s="27" t="str">
        <f ca="1">IFERROR(__xludf.DUMMYFUNCTION("""COMPUTED_VALUE"""),"")</f>
        <v/>
      </c>
      <c r="E115" s="15" t="str">
        <f ca="1">IFERROR(__xludf.DUMMYFUNCTION("""COMPUTED_VALUE"""),"")</f>
        <v/>
      </c>
      <c r="F115" s="28" t="str">
        <f ca="1">IFERROR(__xludf.DUMMYFUNCTION("""COMPUTED_VALUE"""),"")</f>
        <v/>
      </c>
      <c r="G115" s="16" t="str">
        <f ca="1">IFERROR(__xludf.DUMMYFUNCTION("""COMPUTED_VALUE"""),"")</f>
        <v/>
      </c>
      <c r="H115" s="17" t="str">
        <f ca="1">IFERROR(__xludf.DUMMYFUNCTION("""COMPUTED_VALUE"""),"")</f>
        <v/>
      </c>
      <c r="I115" s="17" t="str">
        <f ca="1">IFERROR(__xludf.DUMMYFUNCTION("""COMPUTED_VALUE"""),"")</f>
        <v/>
      </c>
      <c r="J115" s="17" t="str">
        <f ca="1">IFERROR(__xludf.DUMMYFUNCTION("""COMPUTED_VALUE"""),"")</f>
        <v/>
      </c>
      <c r="K115" s="18" t="str">
        <f ca="1">IFERROR(__xludf.DUMMYFUNCTION("""COMPUTED_VALUE"""),"")</f>
        <v/>
      </c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20"/>
      <c r="W115" s="20"/>
      <c r="X115" s="20"/>
      <c r="Y115" s="20"/>
      <c r="Z115" s="21"/>
      <c r="AA115" s="22"/>
      <c r="AB115" s="23"/>
    </row>
    <row r="116" spans="1:28" ht="13.5" customHeight="1" x14ac:dyDescent="0.35">
      <c r="A116" s="24" t="str">
        <f ca="1">IFERROR(__xludf.DUMMYFUNCTION("""COMPUTED_VALUE"""),"")</f>
        <v/>
      </c>
      <c r="B116" s="28" t="str">
        <f ca="1">IFERROR(__xludf.DUMMYFUNCTION("""COMPUTED_VALUE"""),"")</f>
        <v/>
      </c>
      <c r="C116" s="27" t="str">
        <f ca="1">IFERROR(__xludf.DUMMYFUNCTION("""COMPUTED_VALUE"""),"")</f>
        <v/>
      </c>
      <c r="D116" s="27" t="str">
        <f ca="1">IFERROR(__xludf.DUMMYFUNCTION("""COMPUTED_VALUE"""),"")</f>
        <v/>
      </c>
      <c r="E116" s="15" t="str">
        <f ca="1">IFERROR(__xludf.DUMMYFUNCTION("""COMPUTED_VALUE"""),"")</f>
        <v/>
      </c>
      <c r="F116" s="28" t="str">
        <f ca="1">IFERROR(__xludf.DUMMYFUNCTION("""COMPUTED_VALUE"""),"")</f>
        <v/>
      </c>
      <c r="G116" s="16" t="str">
        <f ca="1">IFERROR(__xludf.DUMMYFUNCTION("""COMPUTED_VALUE"""),"")</f>
        <v/>
      </c>
      <c r="H116" s="17" t="str">
        <f ca="1">IFERROR(__xludf.DUMMYFUNCTION("""COMPUTED_VALUE"""),"")</f>
        <v/>
      </c>
      <c r="I116" s="17" t="str">
        <f ca="1">IFERROR(__xludf.DUMMYFUNCTION("""COMPUTED_VALUE"""),"")</f>
        <v/>
      </c>
      <c r="J116" s="17" t="str">
        <f ca="1">IFERROR(__xludf.DUMMYFUNCTION("""COMPUTED_VALUE"""),"")</f>
        <v/>
      </c>
      <c r="K116" s="18" t="str">
        <f ca="1">IFERROR(__xludf.DUMMYFUNCTION("""COMPUTED_VALUE"""),"")</f>
        <v/>
      </c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20"/>
      <c r="W116" s="20"/>
      <c r="X116" s="20"/>
      <c r="Y116" s="20"/>
      <c r="Z116" s="21"/>
      <c r="AA116" s="22"/>
      <c r="AB116" s="23"/>
    </row>
    <row r="117" spans="1:28" ht="13.5" customHeight="1" x14ac:dyDescent="0.35">
      <c r="A117" s="24" t="str">
        <f ca="1">IFERROR(__xludf.DUMMYFUNCTION("""COMPUTED_VALUE"""),"")</f>
        <v/>
      </c>
      <c r="B117" s="28" t="str">
        <f ca="1">IFERROR(__xludf.DUMMYFUNCTION("""COMPUTED_VALUE"""),"")</f>
        <v/>
      </c>
      <c r="C117" s="27" t="str">
        <f ca="1">IFERROR(__xludf.DUMMYFUNCTION("""COMPUTED_VALUE"""),"")</f>
        <v/>
      </c>
      <c r="D117" s="27" t="str">
        <f ca="1">IFERROR(__xludf.DUMMYFUNCTION("""COMPUTED_VALUE"""),"")</f>
        <v/>
      </c>
      <c r="E117" s="15" t="str">
        <f ca="1">IFERROR(__xludf.DUMMYFUNCTION("""COMPUTED_VALUE"""),"")</f>
        <v/>
      </c>
      <c r="F117" s="28" t="str">
        <f ca="1">IFERROR(__xludf.DUMMYFUNCTION("""COMPUTED_VALUE"""),"")</f>
        <v/>
      </c>
      <c r="G117" s="16" t="str">
        <f ca="1">IFERROR(__xludf.DUMMYFUNCTION("""COMPUTED_VALUE"""),"")</f>
        <v/>
      </c>
      <c r="H117" s="17" t="str">
        <f ca="1">IFERROR(__xludf.DUMMYFUNCTION("""COMPUTED_VALUE"""),"")</f>
        <v/>
      </c>
      <c r="I117" s="17" t="str">
        <f ca="1">IFERROR(__xludf.DUMMYFUNCTION("""COMPUTED_VALUE"""),"")</f>
        <v/>
      </c>
      <c r="J117" s="17" t="str">
        <f ca="1">IFERROR(__xludf.DUMMYFUNCTION("""COMPUTED_VALUE"""),"")</f>
        <v/>
      </c>
      <c r="K117" s="18" t="str">
        <f ca="1">IFERROR(__xludf.DUMMYFUNCTION("""COMPUTED_VALUE"""),"")</f>
        <v/>
      </c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20"/>
      <c r="W117" s="20"/>
      <c r="X117" s="20"/>
      <c r="Y117" s="20"/>
      <c r="Z117" s="21"/>
      <c r="AA117" s="22"/>
      <c r="AB117" s="23"/>
    </row>
    <row r="118" spans="1:28" ht="13.5" customHeight="1" x14ac:dyDescent="0.35">
      <c r="A118" s="24" t="str">
        <f ca="1">IFERROR(__xludf.DUMMYFUNCTION("""COMPUTED_VALUE"""),"")</f>
        <v/>
      </c>
      <c r="B118" s="28" t="str">
        <f ca="1">IFERROR(__xludf.DUMMYFUNCTION("""COMPUTED_VALUE"""),"")</f>
        <v/>
      </c>
      <c r="C118" s="27" t="str">
        <f ca="1">IFERROR(__xludf.DUMMYFUNCTION("""COMPUTED_VALUE"""),"")</f>
        <v/>
      </c>
      <c r="D118" s="27" t="str">
        <f ca="1">IFERROR(__xludf.DUMMYFUNCTION("""COMPUTED_VALUE"""),"")</f>
        <v/>
      </c>
      <c r="E118" s="15" t="str">
        <f ca="1">IFERROR(__xludf.DUMMYFUNCTION("""COMPUTED_VALUE"""),"")</f>
        <v/>
      </c>
      <c r="F118" s="28" t="str">
        <f ca="1">IFERROR(__xludf.DUMMYFUNCTION("""COMPUTED_VALUE"""),"")</f>
        <v/>
      </c>
      <c r="G118" s="16" t="str">
        <f ca="1">IFERROR(__xludf.DUMMYFUNCTION("""COMPUTED_VALUE"""),"")</f>
        <v/>
      </c>
      <c r="H118" s="17" t="str">
        <f ca="1">IFERROR(__xludf.DUMMYFUNCTION("""COMPUTED_VALUE"""),"")</f>
        <v/>
      </c>
      <c r="I118" s="17" t="str">
        <f ca="1">IFERROR(__xludf.DUMMYFUNCTION("""COMPUTED_VALUE"""),"")</f>
        <v/>
      </c>
      <c r="J118" s="17" t="str">
        <f ca="1">IFERROR(__xludf.DUMMYFUNCTION("""COMPUTED_VALUE"""),"")</f>
        <v/>
      </c>
      <c r="K118" s="18" t="str">
        <f ca="1">IFERROR(__xludf.DUMMYFUNCTION("""COMPUTED_VALUE"""),"")</f>
        <v/>
      </c>
      <c r="L118" s="19"/>
      <c r="M118" s="19"/>
      <c r="N118" s="19"/>
      <c r="O118" s="19"/>
      <c r="P118" s="19"/>
      <c r="Q118" s="19"/>
      <c r="R118" s="19"/>
      <c r="S118" s="19"/>
      <c r="T118" s="19"/>
      <c r="U118" s="19"/>
      <c r="V118" s="20"/>
      <c r="W118" s="20"/>
      <c r="X118" s="20"/>
      <c r="Y118" s="20"/>
      <c r="Z118" s="21"/>
      <c r="AA118" s="22"/>
      <c r="AB118" s="23"/>
    </row>
    <row r="119" spans="1:28" ht="13.5" customHeight="1" x14ac:dyDescent="0.35">
      <c r="A119" s="24" t="str">
        <f ca="1">IFERROR(__xludf.DUMMYFUNCTION("""COMPUTED_VALUE"""),"")</f>
        <v/>
      </c>
      <c r="B119" s="28" t="str">
        <f ca="1">IFERROR(__xludf.DUMMYFUNCTION("""COMPUTED_VALUE"""),"")</f>
        <v/>
      </c>
      <c r="C119" s="27" t="str">
        <f ca="1">IFERROR(__xludf.DUMMYFUNCTION("""COMPUTED_VALUE"""),"")</f>
        <v/>
      </c>
      <c r="D119" s="27" t="str">
        <f ca="1">IFERROR(__xludf.DUMMYFUNCTION("""COMPUTED_VALUE"""),"")</f>
        <v/>
      </c>
      <c r="E119" s="15" t="str">
        <f ca="1">IFERROR(__xludf.DUMMYFUNCTION("""COMPUTED_VALUE"""),"")</f>
        <v/>
      </c>
      <c r="F119" s="28" t="str">
        <f ca="1">IFERROR(__xludf.DUMMYFUNCTION("""COMPUTED_VALUE"""),"")</f>
        <v/>
      </c>
      <c r="G119" s="16" t="str">
        <f ca="1">IFERROR(__xludf.DUMMYFUNCTION("""COMPUTED_VALUE"""),"")</f>
        <v/>
      </c>
      <c r="H119" s="17" t="str">
        <f ca="1">IFERROR(__xludf.DUMMYFUNCTION("""COMPUTED_VALUE"""),"")</f>
        <v/>
      </c>
      <c r="I119" s="17" t="str">
        <f ca="1">IFERROR(__xludf.DUMMYFUNCTION("""COMPUTED_VALUE"""),"")</f>
        <v/>
      </c>
      <c r="J119" s="17" t="str">
        <f ca="1">IFERROR(__xludf.DUMMYFUNCTION("""COMPUTED_VALUE"""),"")</f>
        <v/>
      </c>
      <c r="K119" s="18" t="str">
        <f ca="1">IFERROR(__xludf.DUMMYFUNCTION("""COMPUTED_VALUE"""),"")</f>
        <v/>
      </c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20"/>
      <c r="W119" s="20"/>
      <c r="X119" s="20"/>
      <c r="Y119" s="20"/>
      <c r="Z119" s="21"/>
      <c r="AA119" s="22"/>
      <c r="AB119" s="23"/>
    </row>
    <row r="120" spans="1:28" ht="13.5" customHeight="1" x14ac:dyDescent="0.35">
      <c r="A120" s="24" t="str">
        <f ca="1">IFERROR(__xludf.DUMMYFUNCTION("""COMPUTED_VALUE"""),"")</f>
        <v/>
      </c>
      <c r="B120" s="28" t="str">
        <f ca="1">IFERROR(__xludf.DUMMYFUNCTION("""COMPUTED_VALUE"""),"")</f>
        <v/>
      </c>
      <c r="C120" s="27" t="str">
        <f ca="1">IFERROR(__xludf.DUMMYFUNCTION("""COMPUTED_VALUE"""),"")</f>
        <v/>
      </c>
      <c r="D120" s="27" t="str">
        <f ca="1">IFERROR(__xludf.DUMMYFUNCTION("""COMPUTED_VALUE"""),"")</f>
        <v/>
      </c>
      <c r="E120" s="15" t="str">
        <f ca="1">IFERROR(__xludf.DUMMYFUNCTION("""COMPUTED_VALUE"""),"")</f>
        <v/>
      </c>
      <c r="F120" s="28" t="str">
        <f ca="1">IFERROR(__xludf.DUMMYFUNCTION("""COMPUTED_VALUE"""),"")</f>
        <v/>
      </c>
      <c r="G120" s="16" t="str">
        <f ca="1">IFERROR(__xludf.DUMMYFUNCTION("""COMPUTED_VALUE"""),"")</f>
        <v/>
      </c>
      <c r="H120" s="17" t="str">
        <f ca="1">IFERROR(__xludf.DUMMYFUNCTION("""COMPUTED_VALUE"""),"")</f>
        <v/>
      </c>
      <c r="I120" s="17" t="str">
        <f ca="1">IFERROR(__xludf.DUMMYFUNCTION("""COMPUTED_VALUE"""),"")</f>
        <v/>
      </c>
      <c r="J120" s="17" t="str">
        <f ca="1">IFERROR(__xludf.DUMMYFUNCTION("""COMPUTED_VALUE"""),"")</f>
        <v/>
      </c>
      <c r="K120" s="18" t="str">
        <f ca="1">IFERROR(__xludf.DUMMYFUNCTION("""COMPUTED_VALUE"""),"")</f>
        <v/>
      </c>
      <c r="L120" s="19"/>
      <c r="M120" s="19"/>
      <c r="N120" s="19"/>
      <c r="O120" s="19"/>
      <c r="P120" s="19"/>
      <c r="Q120" s="19"/>
      <c r="R120" s="19"/>
      <c r="S120" s="19"/>
      <c r="T120" s="19"/>
      <c r="U120" s="19"/>
      <c r="V120" s="20"/>
      <c r="W120" s="20"/>
      <c r="X120" s="20"/>
      <c r="Y120" s="20"/>
      <c r="Z120" s="21"/>
      <c r="AA120" s="22"/>
      <c r="AB120" s="23"/>
    </row>
    <row r="121" spans="1:28" ht="13.5" customHeight="1" x14ac:dyDescent="0.35">
      <c r="A121" s="24" t="str">
        <f ca="1">IFERROR(__xludf.DUMMYFUNCTION("""COMPUTED_VALUE"""),"")</f>
        <v/>
      </c>
      <c r="B121" s="28" t="str">
        <f ca="1">IFERROR(__xludf.DUMMYFUNCTION("""COMPUTED_VALUE"""),"")</f>
        <v/>
      </c>
      <c r="C121" s="27" t="str">
        <f ca="1">IFERROR(__xludf.DUMMYFUNCTION("""COMPUTED_VALUE"""),"")</f>
        <v/>
      </c>
      <c r="D121" s="27" t="str">
        <f ca="1">IFERROR(__xludf.DUMMYFUNCTION("""COMPUTED_VALUE"""),"")</f>
        <v/>
      </c>
      <c r="E121" s="15" t="str">
        <f ca="1">IFERROR(__xludf.DUMMYFUNCTION("""COMPUTED_VALUE"""),"")</f>
        <v/>
      </c>
      <c r="F121" s="28" t="str">
        <f ca="1">IFERROR(__xludf.DUMMYFUNCTION("""COMPUTED_VALUE"""),"")</f>
        <v/>
      </c>
      <c r="G121" s="16" t="str">
        <f ca="1">IFERROR(__xludf.DUMMYFUNCTION("""COMPUTED_VALUE"""),"")</f>
        <v/>
      </c>
      <c r="H121" s="17" t="str">
        <f ca="1">IFERROR(__xludf.DUMMYFUNCTION("""COMPUTED_VALUE"""),"")</f>
        <v/>
      </c>
      <c r="I121" s="17" t="str">
        <f ca="1">IFERROR(__xludf.DUMMYFUNCTION("""COMPUTED_VALUE"""),"")</f>
        <v/>
      </c>
      <c r="J121" s="17" t="str">
        <f ca="1">IFERROR(__xludf.DUMMYFUNCTION("""COMPUTED_VALUE"""),"")</f>
        <v/>
      </c>
      <c r="K121" s="18" t="str">
        <f ca="1">IFERROR(__xludf.DUMMYFUNCTION("""COMPUTED_VALUE"""),"")</f>
        <v/>
      </c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20"/>
      <c r="W121" s="20"/>
      <c r="X121" s="20"/>
      <c r="Y121" s="20"/>
      <c r="Z121" s="21"/>
      <c r="AA121" s="22"/>
      <c r="AB121" s="23"/>
    </row>
    <row r="122" spans="1:28" ht="13.5" customHeight="1" x14ac:dyDescent="0.35">
      <c r="A122" s="24" t="str">
        <f ca="1">IFERROR(__xludf.DUMMYFUNCTION("""COMPUTED_VALUE"""),"")</f>
        <v/>
      </c>
      <c r="B122" s="28" t="str">
        <f ca="1">IFERROR(__xludf.DUMMYFUNCTION("""COMPUTED_VALUE"""),"")</f>
        <v/>
      </c>
      <c r="C122" s="27" t="str">
        <f ca="1">IFERROR(__xludf.DUMMYFUNCTION("""COMPUTED_VALUE"""),"")</f>
        <v/>
      </c>
      <c r="D122" s="27" t="str">
        <f ca="1">IFERROR(__xludf.DUMMYFUNCTION("""COMPUTED_VALUE"""),"")</f>
        <v/>
      </c>
      <c r="E122" s="15" t="str">
        <f ca="1">IFERROR(__xludf.DUMMYFUNCTION("""COMPUTED_VALUE"""),"")</f>
        <v/>
      </c>
      <c r="F122" s="28" t="str">
        <f ca="1">IFERROR(__xludf.DUMMYFUNCTION("""COMPUTED_VALUE"""),"")</f>
        <v/>
      </c>
      <c r="G122" s="16" t="str">
        <f ca="1">IFERROR(__xludf.DUMMYFUNCTION("""COMPUTED_VALUE"""),"")</f>
        <v/>
      </c>
      <c r="H122" s="17" t="str">
        <f ca="1">IFERROR(__xludf.DUMMYFUNCTION("""COMPUTED_VALUE"""),"")</f>
        <v/>
      </c>
      <c r="I122" s="17" t="str">
        <f ca="1">IFERROR(__xludf.DUMMYFUNCTION("""COMPUTED_VALUE"""),"")</f>
        <v/>
      </c>
      <c r="J122" s="17" t="str">
        <f ca="1">IFERROR(__xludf.DUMMYFUNCTION("""COMPUTED_VALUE"""),"")</f>
        <v/>
      </c>
      <c r="K122" s="18" t="str">
        <f ca="1">IFERROR(__xludf.DUMMYFUNCTION("""COMPUTED_VALUE"""),"")</f>
        <v/>
      </c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20"/>
      <c r="W122" s="20"/>
      <c r="X122" s="20"/>
      <c r="Y122" s="20"/>
      <c r="Z122" s="21"/>
      <c r="AA122" s="22"/>
      <c r="AB122" s="23"/>
    </row>
    <row r="123" spans="1:28" ht="13.5" customHeight="1" x14ac:dyDescent="0.35">
      <c r="A123" s="24" t="str">
        <f ca="1">IFERROR(__xludf.DUMMYFUNCTION("""COMPUTED_VALUE"""),"")</f>
        <v/>
      </c>
      <c r="B123" s="28" t="str">
        <f ca="1">IFERROR(__xludf.DUMMYFUNCTION("""COMPUTED_VALUE"""),"")</f>
        <v/>
      </c>
      <c r="C123" s="27" t="str">
        <f ca="1">IFERROR(__xludf.DUMMYFUNCTION("""COMPUTED_VALUE"""),"")</f>
        <v/>
      </c>
      <c r="D123" s="27" t="str">
        <f ca="1">IFERROR(__xludf.DUMMYFUNCTION("""COMPUTED_VALUE"""),"")</f>
        <v/>
      </c>
      <c r="E123" s="15" t="str">
        <f ca="1">IFERROR(__xludf.DUMMYFUNCTION("""COMPUTED_VALUE"""),"")</f>
        <v/>
      </c>
      <c r="F123" s="28" t="str">
        <f ca="1">IFERROR(__xludf.DUMMYFUNCTION("""COMPUTED_VALUE"""),"")</f>
        <v/>
      </c>
      <c r="G123" s="16" t="str">
        <f ca="1">IFERROR(__xludf.DUMMYFUNCTION("""COMPUTED_VALUE"""),"")</f>
        <v/>
      </c>
      <c r="H123" s="17" t="str">
        <f ca="1">IFERROR(__xludf.DUMMYFUNCTION("""COMPUTED_VALUE"""),"")</f>
        <v/>
      </c>
      <c r="I123" s="17" t="str">
        <f ca="1">IFERROR(__xludf.DUMMYFUNCTION("""COMPUTED_VALUE"""),"")</f>
        <v/>
      </c>
      <c r="J123" s="17" t="str">
        <f ca="1">IFERROR(__xludf.DUMMYFUNCTION("""COMPUTED_VALUE"""),"")</f>
        <v/>
      </c>
      <c r="K123" s="18" t="str">
        <f ca="1">IFERROR(__xludf.DUMMYFUNCTION("""COMPUTED_VALUE"""),"")</f>
        <v/>
      </c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V123" s="20"/>
      <c r="W123" s="20"/>
      <c r="X123" s="20"/>
      <c r="Y123" s="20"/>
      <c r="Z123" s="21"/>
      <c r="AA123" s="22"/>
      <c r="AB123" s="23"/>
    </row>
    <row r="124" spans="1:28" ht="13.5" customHeight="1" x14ac:dyDescent="0.35">
      <c r="A124" s="24" t="str">
        <f ca="1">IFERROR(__xludf.DUMMYFUNCTION("""COMPUTED_VALUE"""),"")</f>
        <v/>
      </c>
      <c r="B124" s="28" t="str">
        <f ca="1">IFERROR(__xludf.DUMMYFUNCTION("""COMPUTED_VALUE"""),"")</f>
        <v/>
      </c>
      <c r="C124" s="27" t="str">
        <f ca="1">IFERROR(__xludf.DUMMYFUNCTION("""COMPUTED_VALUE"""),"")</f>
        <v/>
      </c>
      <c r="D124" s="27" t="str">
        <f ca="1">IFERROR(__xludf.DUMMYFUNCTION("""COMPUTED_VALUE"""),"")</f>
        <v/>
      </c>
      <c r="E124" s="15" t="str">
        <f ca="1">IFERROR(__xludf.DUMMYFUNCTION("""COMPUTED_VALUE"""),"")</f>
        <v/>
      </c>
      <c r="F124" s="28" t="str">
        <f ca="1">IFERROR(__xludf.DUMMYFUNCTION("""COMPUTED_VALUE"""),"")</f>
        <v/>
      </c>
      <c r="G124" s="16" t="str">
        <f ca="1">IFERROR(__xludf.DUMMYFUNCTION("""COMPUTED_VALUE"""),"")</f>
        <v/>
      </c>
      <c r="H124" s="17" t="str">
        <f ca="1">IFERROR(__xludf.DUMMYFUNCTION("""COMPUTED_VALUE"""),"")</f>
        <v/>
      </c>
      <c r="I124" s="17" t="str">
        <f ca="1">IFERROR(__xludf.DUMMYFUNCTION("""COMPUTED_VALUE"""),"")</f>
        <v/>
      </c>
      <c r="J124" s="17" t="str">
        <f ca="1">IFERROR(__xludf.DUMMYFUNCTION("""COMPUTED_VALUE"""),"")</f>
        <v/>
      </c>
      <c r="K124" s="18" t="str">
        <f ca="1">IFERROR(__xludf.DUMMYFUNCTION("""COMPUTED_VALUE"""),"")</f>
        <v/>
      </c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20"/>
      <c r="W124" s="20"/>
      <c r="X124" s="20"/>
      <c r="Y124" s="20"/>
      <c r="Z124" s="21"/>
      <c r="AA124" s="22"/>
      <c r="AB124" s="23"/>
    </row>
    <row r="125" spans="1:28" ht="13.5" customHeight="1" x14ac:dyDescent="0.35">
      <c r="A125" s="24" t="str">
        <f ca="1">IFERROR(__xludf.DUMMYFUNCTION("""COMPUTED_VALUE"""),"")</f>
        <v/>
      </c>
      <c r="B125" s="28" t="str">
        <f ca="1">IFERROR(__xludf.DUMMYFUNCTION("""COMPUTED_VALUE"""),"")</f>
        <v/>
      </c>
      <c r="C125" s="27" t="str">
        <f ca="1">IFERROR(__xludf.DUMMYFUNCTION("""COMPUTED_VALUE"""),"")</f>
        <v/>
      </c>
      <c r="D125" s="27" t="str">
        <f ca="1">IFERROR(__xludf.DUMMYFUNCTION("""COMPUTED_VALUE"""),"")</f>
        <v/>
      </c>
      <c r="E125" s="15" t="str">
        <f ca="1">IFERROR(__xludf.DUMMYFUNCTION("""COMPUTED_VALUE"""),"")</f>
        <v/>
      </c>
      <c r="F125" s="28" t="str">
        <f ca="1">IFERROR(__xludf.DUMMYFUNCTION("""COMPUTED_VALUE"""),"")</f>
        <v/>
      </c>
      <c r="G125" s="16" t="str">
        <f ca="1">IFERROR(__xludf.DUMMYFUNCTION("""COMPUTED_VALUE"""),"")</f>
        <v/>
      </c>
      <c r="H125" s="17" t="str">
        <f ca="1">IFERROR(__xludf.DUMMYFUNCTION("""COMPUTED_VALUE"""),"")</f>
        <v/>
      </c>
      <c r="I125" s="17" t="str">
        <f ca="1">IFERROR(__xludf.DUMMYFUNCTION("""COMPUTED_VALUE"""),"")</f>
        <v/>
      </c>
      <c r="J125" s="17" t="str">
        <f ca="1">IFERROR(__xludf.DUMMYFUNCTION("""COMPUTED_VALUE"""),"")</f>
        <v/>
      </c>
      <c r="K125" s="18" t="str">
        <f ca="1">IFERROR(__xludf.DUMMYFUNCTION("""COMPUTED_VALUE"""),"")</f>
        <v/>
      </c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20"/>
      <c r="W125" s="20"/>
      <c r="X125" s="20"/>
      <c r="Y125" s="20"/>
      <c r="Z125" s="21"/>
      <c r="AA125" s="22"/>
      <c r="AB125" s="23"/>
    </row>
    <row r="126" spans="1:28" ht="13.5" customHeight="1" x14ac:dyDescent="0.35">
      <c r="A126" s="24" t="str">
        <f ca="1">IFERROR(__xludf.DUMMYFUNCTION("""COMPUTED_VALUE"""),"")</f>
        <v/>
      </c>
      <c r="B126" s="28" t="str">
        <f ca="1">IFERROR(__xludf.DUMMYFUNCTION("""COMPUTED_VALUE"""),"")</f>
        <v/>
      </c>
      <c r="C126" s="27" t="str">
        <f ca="1">IFERROR(__xludf.DUMMYFUNCTION("""COMPUTED_VALUE"""),"")</f>
        <v/>
      </c>
      <c r="D126" s="27" t="str">
        <f ca="1">IFERROR(__xludf.DUMMYFUNCTION("""COMPUTED_VALUE"""),"")</f>
        <v/>
      </c>
      <c r="E126" s="15" t="str">
        <f ca="1">IFERROR(__xludf.DUMMYFUNCTION("""COMPUTED_VALUE"""),"")</f>
        <v/>
      </c>
      <c r="F126" s="28" t="str">
        <f ca="1">IFERROR(__xludf.DUMMYFUNCTION("""COMPUTED_VALUE"""),"")</f>
        <v/>
      </c>
      <c r="G126" s="16" t="str">
        <f ca="1">IFERROR(__xludf.DUMMYFUNCTION("""COMPUTED_VALUE"""),"")</f>
        <v/>
      </c>
      <c r="H126" s="17" t="str">
        <f ca="1">IFERROR(__xludf.DUMMYFUNCTION("""COMPUTED_VALUE"""),"")</f>
        <v/>
      </c>
      <c r="I126" s="17" t="str">
        <f ca="1">IFERROR(__xludf.DUMMYFUNCTION("""COMPUTED_VALUE"""),"")</f>
        <v/>
      </c>
      <c r="J126" s="17" t="str">
        <f ca="1">IFERROR(__xludf.DUMMYFUNCTION("""COMPUTED_VALUE"""),"")</f>
        <v/>
      </c>
      <c r="K126" s="18" t="str">
        <f ca="1">IFERROR(__xludf.DUMMYFUNCTION("""COMPUTED_VALUE"""),"")</f>
        <v/>
      </c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20"/>
      <c r="W126" s="20"/>
      <c r="X126" s="20"/>
      <c r="Y126" s="20"/>
      <c r="Z126" s="21"/>
      <c r="AA126" s="22"/>
      <c r="AB126" s="23"/>
    </row>
    <row r="127" spans="1:28" ht="13.5" customHeight="1" x14ac:dyDescent="0.35">
      <c r="A127" s="24" t="str">
        <f ca="1">IFERROR(__xludf.DUMMYFUNCTION("""COMPUTED_VALUE"""),"")</f>
        <v/>
      </c>
      <c r="B127" s="28" t="str">
        <f ca="1">IFERROR(__xludf.DUMMYFUNCTION("""COMPUTED_VALUE"""),"")</f>
        <v/>
      </c>
      <c r="C127" s="27" t="str">
        <f ca="1">IFERROR(__xludf.DUMMYFUNCTION("""COMPUTED_VALUE"""),"")</f>
        <v/>
      </c>
      <c r="D127" s="27" t="str">
        <f ca="1">IFERROR(__xludf.DUMMYFUNCTION("""COMPUTED_VALUE"""),"")</f>
        <v/>
      </c>
      <c r="E127" s="15" t="str">
        <f ca="1">IFERROR(__xludf.DUMMYFUNCTION("""COMPUTED_VALUE"""),"")</f>
        <v/>
      </c>
      <c r="F127" s="28" t="str">
        <f ca="1">IFERROR(__xludf.DUMMYFUNCTION("""COMPUTED_VALUE"""),"")</f>
        <v/>
      </c>
      <c r="G127" s="16" t="str">
        <f ca="1">IFERROR(__xludf.DUMMYFUNCTION("""COMPUTED_VALUE"""),"")</f>
        <v/>
      </c>
      <c r="H127" s="17" t="str">
        <f ca="1">IFERROR(__xludf.DUMMYFUNCTION("""COMPUTED_VALUE"""),"")</f>
        <v/>
      </c>
      <c r="I127" s="17" t="str">
        <f ca="1">IFERROR(__xludf.DUMMYFUNCTION("""COMPUTED_VALUE"""),"")</f>
        <v/>
      </c>
      <c r="J127" s="17" t="str">
        <f ca="1">IFERROR(__xludf.DUMMYFUNCTION("""COMPUTED_VALUE"""),"")</f>
        <v/>
      </c>
      <c r="K127" s="18" t="str">
        <f ca="1">IFERROR(__xludf.DUMMYFUNCTION("""COMPUTED_VALUE"""),"")</f>
        <v/>
      </c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20"/>
      <c r="W127" s="20"/>
      <c r="X127" s="20"/>
      <c r="Y127" s="20"/>
      <c r="Z127" s="21"/>
      <c r="AA127" s="22"/>
      <c r="AB127" s="23"/>
    </row>
    <row r="128" spans="1:28" ht="13.5" customHeight="1" x14ac:dyDescent="0.35">
      <c r="A128" s="24" t="str">
        <f ca="1">IFERROR(__xludf.DUMMYFUNCTION("""COMPUTED_VALUE"""),"")</f>
        <v/>
      </c>
      <c r="B128" s="28" t="str">
        <f ca="1">IFERROR(__xludf.DUMMYFUNCTION("""COMPUTED_VALUE"""),"")</f>
        <v/>
      </c>
      <c r="C128" s="27" t="str">
        <f ca="1">IFERROR(__xludf.DUMMYFUNCTION("""COMPUTED_VALUE"""),"")</f>
        <v/>
      </c>
      <c r="D128" s="27" t="str">
        <f ca="1">IFERROR(__xludf.DUMMYFUNCTION("""COMPUTED_VALUE"""),"")</f>
        <v/>
      </c>
      <c r="E128" s="15" t="str">
        <f ca="1">IFERROR(__xludf.DUMMYFUNCTION("""COMPUTED_VALUE"""),"")</f>
        <v/>
      </c>
      <c r="F128" s="28" t="str">
        <f ca="1">IFERROR(__xludf.DUMMYFUNCTION("""COMPUTED_VALUE"""),"")</f>
        <v/>
      </c>
      <c r="G128" s="16" t="str">
        <f ca="1">IFERROR(__xludf.DUMMYFUNCTION("""COMPUTED_VALUE"""),"")</f>
        <v/>
      </c>
      <c r="H128" s="17" t="str">
        <f ca="1">IFERROR(__xludf.DUMMYFUNCTION("""COMPUTED_VALUE"""),"")</f>
        <v/>
      </c>
      <c r="I128" s="17" t="str">
        <f ca="1">IFERROR(__xludf.DUMMYFUNCTION("""COMPUTED_VALUE"""),"")</f>
        <v/>
      </c>
      <c r="J128" s="17" t="str">
        <f ca="1">IFERROR(__xludf.DUMMYFUNCTION("""COMPUTED_VALUE"""),"")</f>
        <v/>
      </c>
      <c r="K128" s="18" t="str">
        <f ca="1">IFERROR(__xludf.DUMMYFUNCTION("""COMPUTED_VALUE"""),"")</f>
        <v/>
      </c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20"/>
      <c r="W128" s="20"/>
      <c r="X128" s="20"/>
      <c r="Y128" s="20"/>
      <c r="Z128" s="21"/>
      <c r="AA128" s="22"/>
      <c r="AB128" s="23"/>
    </row>
    <row r="129" spans="1:28" ht="13.5" customHeight="1" x14ac:dyDescent="0.35">
      <c r="A129" s="24" t="str">
        <f ca="1">IFERROR(__xludf.DUMMYFUNCTION("""COMPUTED_VALUE"""),"")</f>
        <v/>
      </c>
      <c r="B129" s="28" t="str">
        <f ca="1">IFERROR(__xludf.DUMMYFUNCTION("""COMPUTED_VALUE"""),"")</f>
        <v/>
      </c>
      <c r="C129" s="27" t="str">
        <f ca="1">IFERROR(__xludf.DUMMYFUNCTION("""COMPUTED_VALUE"""),"")</f>
        <v/>
      </c>
      <c r="D129" s="27" t="str">
        <f ca="1">IFERROR(__xludf.DUMMYFUNCTION("""COMPUTED_VALUE"""),"")</f>
        <v/>
      </c>
      <c r="E129" s="15" t="str">
        <f ca="1">IFERROR(__xludf.DUMMYFUNCTION("""COMPUTED_VALUE"""),"")</f>
        <v/>
      </c>
      <c r="F129" s="28" t="str">
        <f ca="1">IFERROR(__xludf.DUMMYFUNCTION("""COMPUTED_VALUE"""),"")</f>
        <v/>
      </c>
      <c r="G129" s="16" t="str">
        <f ca="1">IFERROR(__xludf.DUMMYFUNCTION("""COMPUTED_VALUE"""),"")</f>
        <v/>
      </c>
      <c r="H129" s="17" t="str">
        <f ca="1">IFERROR(__xludf.DUMMYFUNCTION("""COMPUTED_VALUE"""),"")</f>
        <v/>
      </c>
      <c r="I129" s="17" t="str">
        <f ca="1">IFERROR(__xludf.DUMMYFUNCTION("""COMPUTED_VALUE"""),"")</f>
        <v/>
      </c>
      <c r="J129" s="17" t="str">
        <f ca="1">IFERROR(__xludf.DUMMYFUNCTION("""COMPUTED_VALUE"""),"")</f>
        <v/>
      </c>
      <c r="K129" s="18" t="str">
        <f ca="1">IFERROR(__xludf.DUMMYFUNCTION("""COMPUTED_VALUE"""),"")</f>
        <v/>
      </c>
      <c r="L129" s="19"/>
      <c r="M129" s="19"/>
      <c r="N129" s="19"/>
      <c r="O129" s="19"/>
      <c r="P129" s="19"/>
      <c r="Q129" s="19"/>
      <c r="R129" s="19"/>
      <c r="S129" s="19"/>
      <c r="T129" s="19"/>
      <c r="U129" s="19"/>
      <c r="V129" s="20"/>
      <c r="W129" s="20"/>
      <c r="X129" s="20"/>
      <c r="Y129" s="20"/>
      <c r="Z129" s="21"/>
      <c r="AA129" s="22"/>
      <c r="AB129" s="23"/>
    </row>
    <row r="130" spans="1:28" ht="13.5" customHeight="1" x14ac:dyDescent="0.35">
      <c r="A130" s="24" t="str">
        <f ca="1">IFERROR(__xludf.DUMMYFUNCTION("""COMPUTED_VALUE"""),"")</f>
        <v/>
      </c>
      <c r="B130" s="28" t="str">
        <f ca="1">IFERROR(__xludf.DUMMYFUNCTION("""COMPUTED_VALUE"""),"")</f>
        <v/>
      </c>
      <c r="C130" s="27" t="str">
        <f ca="1">IFERROR(__xludf.DUMMYFUNCTION("""COMPUTED_VALUE"""),"")</f>
        <v/>
      </c>
      <c r="D130" s="27" t="str">
        <f ca="1">IFERROR(__xludf.DUMMYFUNCTION("""COMPUTED_VALUE"""),"")</f>
        <v/>
      </c>
      <c r="E130" s="15" t="str">
        <f ca="1">IFERROR(__xludf.DUMMYFUNCTION("""COMPUTED_VALUE"""),"")</f>
        <v/>
      </c>
      <c r="F130" s="28" t="str">
        <f ca="1">IFERROR(__xludf.DUMMYFUNCTION("""COMPUTED_VALUE"""),"")</f>
        <v/>
      </c>
      <c r="G130" s="16" t="str">
        <f ca="1">IFERROR(__xludf.DUMMYFUNCTION("""COMPUTED_VALUE"""),"")</f>
        <v/>
      </c>
      <c r="H130" s="17" t="str">
        <f ca="1">IFERROR(__xludf.DUMMYFUNCTION("""COMPUTED_VALUE"""),"")</f>
        <v/>
      </c>
      <c r="I130" s="17" t="str">
        <f ca="1">IFERROR(__xludf.DUMMYFUNCTION("""COMPUTED_VALUE"""),"")</f>
        <v/>
      </c>
      <c r="J130" s="17" t="str">
        <f ca="1">IFERROR(__xludf.DUMMYFUNCTION("""COMPUTED_VALUE"""),"")</f>
        <v/>
      </c>
      <c r="K130" s="18" t="str">
        <f ca="1">IFERROR(__xludf.DUMMYFUNCTION("""COMPUTED_VALUE"""),"")</f>
        <v/>
      </c>
      <c r="L130" s="19"/>
      <c r="M130" s="19"/>
      <c r="N130" s="19"/>
      <c r="O130" s="19"/>
      <c r="P130" s="19"/>
      <c r="Q130" s="19"/>
      <c r="R130" s="19"/>
      <c r="S130" s="19"/>
      <c r="T130" s="19"/>
      <c r="U130" s="19"/>
      <c r="V130" s="20"/>
      <c r="W130" s="20"/>
      <c r="X130" s="20"/>
      <c r="Y130" s="20"/>
      <c r="Z130" s="21"/>
      <c r="AA130" s="22"/>
      <c r="AB130" s="23"/>
    </row>
    <row r="131" spans="1:28" ht="13.5" customHeight="1" x14ac:dyDescent="0.35">
      <c r="A131" s="24" t="str">
        <f ca="1">IFERROR(__xludf.DUMMYFUNCTION("""COMPUTED_VALUE"""),"")</f>
        <v/>
      </c>
      <c r="B131" s="28" t="str">
        <f ca="1">IFERROR(__xludf.DUMMYFUNCTION("""COMPUTED_VALUE"""),"")</f>
        <v/>
      </c>
      <c r="C131" s="27" t="str">
        <f ca="1">IFERROR(__xludf.DUMMYFUNCTION("""COMPUTED_VALUE"""),"")</f>
        <v/>
      </c>
      <c r="D131" s="27" t="str">
        <f ca="1">IFERROR(__xludf.DUMMYFUNCTION("""COMPUTED_VALUE"""),"")</f>
        <v/>
      </c>
      <c r="E131" s="15" t="str">
        <f ca="1">IFERROR(__xludf.DUMMYFUNCTION("""COMPUTED_VALUE"""),"")</f>
        <v/>
      </c>
      <c r="F131" s="28" t="str">
        <f ca="1">IFERROR(__xludf.DUMMYFUNCTION("""COMPUTED_VALUE"""),"")</f>
        <v/>
      </c>
      <c r="G131" s="16" t="str">
        <f ca="1">IFERROR(__xludf.DUMMYFUNCTION("""COMPUTED_VALUE"""),"")</f>
        <v/>
      </c>
      <c r="H131" s="17" t="str">
        <f ca="1">IFERROR(__xludf.DUMMYFUNCTION("""COMPUTED_VALUE"""),"")</f>
        <v/>
      </c>
      <c r="I131" s="17" t="str">
        <f ca="1">IFERROR(__xludf.DUMMYFUNCTION("""COMPUTED_VALUE"""),"")</f>
        <v/>
      </c>
      <c r="J131" s="17" t="str">
        <f ca="1">IFERROR(__xludf.DUMMYFUNCTION("""COMPUTED_VALUE"""),"")</f>
        <v/>
      </c>
      <c r="K131" s="18" t="str">
        <f ca="1">IFERROR(__xludf.DUMMYFUNCTION("""COMPUTED_VALUE"""),"")</f>
        <v/>
      </c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20"/>
      <c r="W131" s="20"/>
      <c r="X131" s="20"/>
      <c r="Y131" s="20"/>
      <c r="Z131" s="21"/>
      <c r="AA131" s="22"/>
      <c r="AB131" s="23"/>
    </row>
    <row r="132" spans="1:28" ht="13.5" customHeight="1" x14ac:dyDescent="0.35">
      <c r="A132" s="24" t="str">
        <f ca="1">IFERROR(__xludf.DUMMYFUNCTION("""COMPUTED_VALUE"""),"")</f>
        <v/>
      </c>
      <c r="B132" s="28" t="str">
        <f ca="1">IFERROR(__xludf.DUMMYFUNCTION("""COMPUTED_VALUE"""),"")</f>
        <v/>
      </c>
      <c r="C132" s="27" t="str">
        <f ca="1">IFERROR(__xludf.DUMMYFUNCTION("""COMPUTED_VALUE"""),"")</f>
        <v/>
      </c>
      <c r="D132" s="27" t="str">
        <f ca="1">IFERROR(__xludf.DUMMYFUNCTION("""COMPUTED_VALUE"""),"")</f>
        <v/>
      </c>
      <c r="E132" s="15" t="str">
        <f ca="1">IFERROR(__xludf.DUMMYFUNCTION("""COMPUTED_VALUE"""),"")</f>
        <v/>
      </c>
      <c r="F132" s="28" t="str">
        <f ca="1">IFERROR(__xludf.DUMMYFUNCTION("""COMPUTED_VALUE"""),"")</f>
        <v/>
      </c>
      <c r="G132" s="16" t="str">
        <f ca="1">IFERROR(__xludf.DUMMYFUNCTION("""COMPUTED_VALUE"""),"")</f>
        <v/>
      </c>
      <c r="H132" s="17" t="str">
        <f ca="1">IFERROR(__xludf.DUMMYFUNCTION("""COMPUTED_VALUE"""),"")</f>
        <v/>
      </c>
      <c r="I132" s="17" t="str">
        <f ca="1">IFERROR(__xludf.DUMMYFUNCTION("""COMPUTED_VALUE"""),"")</f>
        <v/>
      </c>
      <c r="J132" s="17" t="str">
        <f ca="1">IFERROR(__xludf.DUMMYFUNCTION("""COMPUTED_VALUE"""),"")</f>
        <v/>
      </c>
      <c r="K132" s="18" t="str">
        <f ca="1">IFERROR(__xludf.DUMMYFUNCTION("""COMPUTED_VALUE"""),"")</f>
        <v/>
      </c>
      <c r="L132" s="19"/>
      <c r="M132" s="19"/>
      <c r="N132" s="19"/>
      <c r="O132" s="19"/>
      <c r="P132" s="19"/>
      <c r="Q132" s="19"/>
      <c r="R132" s="19"/>
      <c r="S132" s="19"/>
      <c r="T132" s="19"/>
      <c r="U132" s="19"/>
      <c r="V132" s="20"/>
      <c r="W132" s="20"/>
      <c r="X132" s="20"/>
      <c r="Y132" s="20"/>
      <c r="Z132" s="21"/>
      <c r="AA132" s="22"/>
      <c r="AB132" s="23"/>
    </row>
    <row r="133" spans="1:28" ht="13.5" customHeight="1" x14ac:dyDescent="0.35">
      <c r="A133" s="24" t="str">
        <f ca="1">IFERROR(__xludf.DUMMYFUNCTION("""COMPUTED_VALUE"""),"")</f>
        <v/>
      </c>
      <c r="B133" s="28" t="str">
        <f ca="1">IFERROR(__xludf.DUMMYFUNCTION("""COMPUTED_VALUE"""),"")</f>
        <v/>
      </c>
      <c r="C133" s="27" t="str">
        <f ca="1">IFERROR(__xludf.DUMMYFUNCTION("""COMPUTED_VALUE"""),"")</f>
        <v/>
      </c>
      <c r="D133" s="27" t="str">
        <f ca="1">IFERROR(__xludf.DUMMYFUNCTION("""COMPUTED_VALUE"""),"")</f>
        <v/>
      </c>
      <c r="E133" s="15" t="str">
        <f ca="1">IFERROR(__xludf.DUMMYFUNCTION("""COMPUTED_VALUE"""),"")</f>
        <v/>
      </c>
      <c r="F133" s="28" t="str">
        <f ca="1">IFERROR(__xludf.DUMMYFUNCTION("""COMPUTED_VALUE"""),"")</f>
        <v/>
      </c>
      <c r="G133" s="16" t="str">
        <f ca="1">IFERROR(__xludf.DUMMYFUNCTION("""COMPUTED_VALUE"""),"")</f>
        <v/>
      </c>
      <c r="H133" s="17" t="str">
        <f ca="1">IFERROR(__xludf.DUMMYFUNCTION("""COMPUTED_VALUE"""),"")</f>
        <v/>
      </c>
      <c r="I133" s="17" t="str">
        <f ca="1">IFERROR(__xludf.DUMMYFUNCTION("""COMPUTED_VALUE"""),"")</f>
        <v/>
      </c>
      <c r="J133" s="17" t="str">
        <f ca="1">IFERROR(__xludf.DUMMYFUNCTION("""COMPUTED_VALUE"""),"")</f>
        <v/>
      </c>
      <c r="K133" s="18" t="str">
        <f ca="1">IFERROR(__xludf.DUMMYFUNCTION("""COMPUTED_VALUE"""),"")</f>
        <v/>
      </c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20"/>
      <c r="W133" s="20"/>
      <c r="X133" s="20"/>
      <c r="Y133" s="20"/>
      <c r="Z133" s="21"/>
      <c r="AA133" s="22"/>
      <c r="AB133" s="23"/>
    </row>
    <row r="134" spans="1:28" ht="13.5" customHeight="1" x14ac:dyDescent="0.35">
      <c r="A134" s="24" t="str">
        <f ca="1">IFERROR(__xludf.DUMMYFUNCTION("""COMPUTED_VALUE"""),"")</f>
        <v/>
      </c>
      <c r="B134" s="28" t="str">
        <f ca="1">IFERROR(__xludf.DUMMYFUNCTION("""COMPUTED_VALUE"""),"")</f>
        <v/>
      </c>
      <c r="C134" s="27" t="str">
        <f ca="1">IFERROR(__xludf.DUMMYFUNCTION("""COMPUTED_VALUE"""),"")</f>
        <v/>
      </c>
      <c r="D134" s="27" t="str">
        <f ca="1">IFERROR(__xludf.DUMMYFUNCTION("""COMPUTED_VALUE"""),"")</f>
        <v/>
      </c>
      <c r="E134" s="15" t="str">
        <f ca="1">IFERROR(__xludf.DUMMYFUNCTION("""COMPUTED_VALUE"""),"")</f>
        <v/>
      </c>
      <c r="F134" s="28" t="str">
        <f ca="1">IFERROR(__xludf.DUMMYFUNCTION("""COMPUTED_VALUE"""),"")</f>
        <v/>
      </c>
      <c r="G134" s="16" t="str">
        <f ca="1">IFERROR(__xludf.DUMMYFUNCTION("""COMPUTED_VALUE"""),"")</f>
        <v/>
      </c>
      <c r="H134" s="17" t="str">
        <f ca="1">IFERROR(__xludf.DUMMYFUNCTION("""COMPUTED_VALUE"""),"")</f>
        <v/>
      </c>
      <c r="I134" s="17" t="str">
        <f ca="1">IFERROR(__xludf.DUMMYFUNCTION("""COMPUTED_VALUE"""),"")</f>
        <v/>
      </c>
      <c r="J134" s="17" t="str">
        <f ca="1">IFERROR(__xludf.DUMMYFUNCTION("""COMPUTED_VALUE"""),"")</f>
        <v/>
      </c>
      <c r="K134" s="18" t="str">
        <f ca="1">IFERROR(__xludf.DUMMYFUNCTION("""COMPUTED_VALUE"""),"")</f>
        <v/>
      </c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20"/>
      <c r="W134" s="20"/>
      <c r="X134" s="20"/>
      <c r="Y134" s="20"/>
      <c r="Z134" s="21"/>
      <c r="AA134" s="22"/>
      <c r="AB134" s="23"/>
    </row>
    <row r="135" spans="1:28" ht="13.5" customHeight="1" x14ac:dyDescent="0.35">
      <c r="A135" s="24" t="str">
        <f ca="1">IFERROR(__xludf.DUMMYFUNCTION("""COMPUTED_VALUE"""),"")</f>
        <v/>
      </c>
      <c r="B135" s="28" t="str">
        <f ca="1">IFERROR(__xludf.DUMMYFUNCTION("""COMPUTED_VALUE"""),"")</f>
        <v/>
      </c>
      <c r="C135" s="27" t="str">
        <f ca="1">IFERROR(__xludf.DUMMYFUNCTION("""COMPUTED_VALUE"""),"")</f>
        <v/>
      </c>
      <c r="D135" s="27" t="str">
        <f ca="1">IFERROR(__xludf.DUMMYFUNCTION("""COMPUTED_VALUE"""),"")</f>
        <v/>
      </c>
      <c r="E135" s="15" t="str">
        <f ca="1">IFERROR(__xludf.DUMMYFUNCTION("""COMPUTED_VALUE"""),"")</f>
        <v/>
      </c>
      <c r="F135" s="28" t="str">
        <f ca="1">IFERROR(__xludf.DUMMYFUNCTION("""COMPUTED_VALUE"""),"")</f>
        <v/>
      </c>
      <c r="G135" s="16" t="str">
        <f ca="1">IFERROR(__xludf.DUMMYFUNCTION("""COMPUTED_VALUE"""),"")</f>
        <v/>
      </c>
      <c r="H135" s="17" t="str">
        <f ca="1">IFERROR(__xludf.DUMMYFUNCTION("""COMPUTED_VALUE"""),"")</f>
        <v/>
      </c>
      <c r="I135" s="17" t="str">
        <f ca="1">IFERROR(__xludf.DUMMYFUNCTION("""COMPUTED_VALUE"""),"")</f>
        <v/>
      </c>
      <c r="J135" s="17" t="str">
        <f ca="1">IFERROR(__xludf.DUMMYFUNCTION("""COMPUTED_VALUE"""),"")</f>
        <v/>
      </c>
      <c r="K135" s="18" t="str">
        <f ca="1">IFERROR(__xludf.DUMMYFUNCTION("""COMPUTED_VALUE"""),"")</f>
        <v/>
      </c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20"/>
      <c r="W135" s="20"/>
      <c r="X135" s="20"/>
      <c r="Y135" s="20"/>
      <c r="Z135" s="21"/>
      <c r="AA135" s="22"/>
      <c r="AB135" s="23"/>
    </row>
    <row r="136" spans="1:28" ht="13.5" customHeight="1" x14ac:dyDescent="0.35">
      <c r="A136" s="24" t="str">
        <f ca="1">IFERROR(__xludf.DUMMYFUNCTION("""COMPUTED_VALUE"""),"")</f>
        <v/>
      </c>
      <c r="B136" s="28" t="str">
        <f ca="1">IFERROR(__xludf.DUMMYFUNCTION("""COMPUTED_VALUE"""),"")</f>
        <v/>
      </c>
      <c r="C136" s="27" t="str">
        <f ca="1">IFERROR(__xludf.DUMMYFUNCTION("""COMPUTED_VALUE"""),"")</f>
        <v/>
      </c>
      <c r="D136" s="27" t="str">
        <f ca="1">IFERROR(__xludf.DUMMYFUNCTION("""COMPUTED_VALUE"""),"")</f>
        <v/>
      </c>
      <c r="E136" s="15" t="str">
        <f ca="1">IFERROR(__xludf.DUMMYFUNCTION("""COMPUTED_VALUE"""),"")</f>
        <v/>
      </c>
      <c r="F136" s="28" t="str">
        <f ca="1">IFERROR(__xludf.DUMMYFUNCTION("""COMPUTED_VALUE"""),"")</f>
        <v/>
      </c>
      <c r="G136" s="16" t="str">
        <f ca="1">IFERROR(__xludf.DUMMYFUNCTION("""COMPUTED_VALUE"""),"")</f>
        <v/>
      </c>
      <c r="H136" s="17" t="str">
        <f ca="1">IFERROR(__xludf.DUMMYFUNCTION("""COMPUTED_VALUE"""),"")</f>
        <v/>
      </c>
      <c r="I136" s="17" t="str">
        <f ca="1">IFERROR(__xludf.DUMMYFUNCTION("""COMPUTED_VALUE"""),"")</f>
        <v/>
      </c>
      <c r="J136" s="17" t="str">
        <f ca="1">IFERROR(__xludf.DUMMYFUNCTION("""COMPUTED_VALUE"""),"")</f>
        <v/>
      </c>
      <c r="K136" s="18" t="str">
        <f ca="1">IFERROR(__xludf.DUMMYFUNCTION("""COMPUTED_VALUE"""),"")</f>
        <v/>
      </c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20"/>
      <c r="W136" s="20"/>
      <c r="X136" s="20"/>
      <c r="Y136" s="20"/>
      <c r="Z136" s="21"/>
      <c r="AA136" s="22"/>
      <c r="AB136" s="23"/>
    </row>
    <row r="137" spans="1:28" ht="13.5" customHeight="1" x14ac:dyDescent="0.35">
      <c r="A137" s="24" t="str">
        <f ca="1">IFERROR(__xludf.DUMMYFUNCTION("""COMPUTED_VALUE"""),"")</f>
        <v/>
      </c>
      <c r="B137" s="28" t="str">
        <f ca="1">IFERROR(__xludf.DUMMYFUNCTION("""COMPUTED_VALUE"""),"")</f>
        <v/>
      </c>
      <c r="C137" s="27" t="str">
        <f ca="1">IFERROR(__xludf.DUMMYFUNCTION("""COMPUTED_VALUE"""),"")</f>
        <v/>
      </c>
      <c r="D137" s="27" t="str">
        <f ca="1">IFERROR(__xludf.DUMMYFUNCTION("""COMPUTED_VALUE"""),"")</f>
        <v/>
      </c>
      <c r="E137" s="15" t="str">
        <f ca="1">IFERROR(__xludf.DUMMYFUNCTION("""COMPUTED_VALUE"""),"")</f>
        <v/>
      </c>
      <c r="F137" s="28" t="str">
        <f ca="1">IFERROR(__xludf.DUMMYFUNCTION("""COMPUTED_VALUE"""),"")</f>
        <v/>
      </c>
      <c r="G137" s="16" t="str">
        <f ca="1">IFERROR(__xludf.DUMMYFUNCTION("""COMPUTED_VALUE"""),"")</f>
        <v/>
      </c>
      <c r="H137" s="17" t="str">
        <f ca="1">IFERROR(__xludf.DUMMYFUNCTION("""COMPUTED_VALUE"""),"")</f>
        <v/>
      </c>
      <c r="I137" s="17" t="str">
        <f ca="1">IFERROR(__xludf.DUMMYFUNCTION("""COMPUTED_VALUE"""),"")</f>
        <v/>
      </c>
      <c r="J137" s="17" t="str">
        <f ca="1">IFERROR(__xludf.DUMMYFUNCTION("""COMPUTED_VALUE"""),"")</f>
        <v/>
      </c>
      <c r="K137" s="18" t="str">
        <f ca="1">IFERROR(__xludf.DUMMYFUNCTION("""COMPUTED_VALUE"""),"")</f>
        <v/>
      </c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20"/>
      <c r="W137" s="20"/>
      <c r="X137" s="20"/>
      <c r="Y137" s="20"/>
      <c r="Z137" s="21"/>
      <c r="AA137" s="22"/>
      <c r="AB137" s="23"/>
    </row>
    <row r="138" spans="1:28" ht="13.5" customHeight="1" x14ac:dyDescent="0.35">
      <c r="A138" s="24" t="str">
        <f ca="1">IFERROR(__xludf.DUMMYFUNCTION("""COMPUTED_VALUE"""),"")</f>
        <v/>
      </c>
      <c r="B138" s="28" t="str">
        <f ca="1">IFERROR(__xludf.DUMMYFUNCTION("""COMPUTED_VALUE"""),"")</f>
        <v/>
      </c>
      <c r="C138" s="27" t="str">
        <f ca="1">IFERROR(__xludf.DUMMYFUNCTION("""COMPUTED_VALUE"""),"")</f>
        <v/>
      </c>
      <c r="D138" s="27" t="str">
        <f ca="1">IFERROR(__xludf.DUMMYFUNCTION("""COMPUTED_VALUE"""),"")</f>
        <v/>
      </c>
      <c r="E138" s="15" t="str">
        <f ca="1">IFERROR(__xludf.DUMMYFUNCTION("""COMPUTED_VALUE"""),"")</f>
        <v/>
      </c>
      <c r="F138" s="28" t="str">
        <f ca="1">IFERROR(__xludf.DUMMYFUNCTION("""COMPUTED_VALUE"""),"")</f>
        <v/>
      </c>
      <c r="G138" s="16" t="str">
        <f ca="1">IFERROR(__xludf.DUMMYFUNCTION("""COMPUTED_VALUE"""),"")</f>
        <v/>
      </c>
      <c r="H138" s="17" t="str">
        <f ca="1">IFERROR(__xludf.DUMMYFUNCTION("""COMPUTED_VALUE"""),"")</f>
        <v/>
      </c>
      <c r="I138" s="17" t="str">
        <f ca="1">IFERROR(__xludf.DUMMYFUNCTION("""COMPUTED_VALUE"""),"")</f>
        <v/>
      </c>
      <c r="J138" s="17" t="str">
        <f ca="1">IFERROR(__xludf.DUMMYFUNCTION("""COMPUTED_VALUE"""),"")</f>
        <v/>
      </c>
      <c r="K138" s="18" t="str">
        <f ca="1">IFERROR(__xludf.DUMMYFUNCTION("""COMPUTED_VALUE"""),"")</f>
        <v/>
      </c>
      <c r="L138" s="19"/>
      <c r="M138" s="19"/>
      <c r="N138" s="19"/>
      <c r="O138" s="19"/>
      <c r="P138" s="19"/>
      <c r="Q138" s="19"/>
      <c r="R138" s="19"/>
      <c r="S138" s="19"/>
      <c r="T138" s="19"/>
      <c r="U138" s="19"/>
      <c r="V138" s="20"/>
      <c r="W138" s="20"/>
      <c r="X138" s="20"/>
      <c r="Y138" s="20"/>
      <c r="Z138" s="21"/>
      <c r="AA138" s="22"/>
      <c r="AB138" s="23"/>
    </row>
    <row r="139" spans="1:28" ht="13.5" customHeight="1" x14ac:dyDescent="0.35">
      <c r="A139" s="24" t="str">
        <f ca="1">IFERROR(__xludf.DUMMYFUNCTION("""COMPUTED_VALUE"""),"")</f>
        <v/>
      </c>
      <c r="B139" s="28" t="str">
        <f ca="1">IFERROR(__xludf.DUMMYFUNCTION("""COMPUTED_VALUE"""),"")</f>
        <v/>
      </c>
      <c r="C139" s="27" t="str">
        <f ca="1">IFERROR(__xludf.DUMMYFUNCTION("""COMPUTED_VALUE"""),"")</f>
        <v/>
      </c>
      <c r="D139" s="27" t="str">
        <f ca="1">IFERROR(__xludf.DUMMYFUNCTION("""COMPUTED_VALUE"""),"")</f>
        <v/>
      </c>
      <c r="E139" s="15" t="str">
        <f ca="1">IFERROR(__xludf.DUMMYFUNCTION("""COMPUTED_VALUE"""),"")</f>
        <v/>
      </c>
      <c r="F139" s="28" t="str">
        <f ca="1">IFERROR(__xludf.DUMMYFUNCTION("""COMPUTED_VALUE"""),"")</f>
        <v/>
      </c>
      <c r="G139" s="16" t="str">
        <f ca="1">IFERROR(__xludf.DUMMYFUNCTION("""COMPUTED_VALUE"""),"")</f>
        <v/>
      </c>
      <c r="H139" s="17" t="str">
        <f ca="1">IFERROR(__xludf.DUMMYFUNCTION("""COMPUTED_VALUE"""),"")</f>
        <v/>
      </c>
      <c r="I139" s="17" t="str">
        <f ca="1">IFERROR(__xludf.DUMMYFUNCTION("""COMPUTED_VALUE"""),"")</f>
        <v/>
      </c>
      <c r="J139" s="17" t="str">
        <f ca="1">IFERROR(__xludf.DUMMYFUNCTION("""COMPUTED_VALUE"""),"")</f>
        <v/>
      </c>
      <c r="K139" s="18" t="str">
        <f ca="1">IFERROR(__xludf.DUMMYFUNCTION("""COMPUTED_VALUE"""),"")</f>
        <v/>
      </c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20"/>
      <c r="W139" s="20"/>
      <c r="X139" s="20"/>
      <c r="Y139" s="20"/>
      <c r="Z139" s="21"/>
      <c r="AA139" s="22"/>
      <c r="AB139" s="23"/>
    </row>
    <row r="140" spans="1:28" ht="13.5" customHeight="1" x14ac:dyDescent="0.35">
      <c r="A140" s="24" t="str">
        <f ca="1">IFERROR(__xludf.DUMMYFUNCTION("""COMPUTED_VALUE"""),"")</f>
        <v/>
      </c>
      <c r="B140" s="28" t="str">
        <f ca="1">IFERROR(__xludf.DUMMYFUNCTION("""COMPUTED_VALUE"""),"")</f>
        <v/>
      </c>
      <c r="C140" s="27" t="str">
        <f ca="1">IFERROR(__xludf.DUMMYFUNCTION("""COMPUTED_VALUE"""),"")</f>
        <v/>
      </c>
      <c r="D140" s="27" t="str">
        <f ca="1">IFERROR(__xludf.DUMMYFUNCTION("""COMPUTED_VALUE"""),"")</f>
        <v/>
      </c>
      <c r="E140" s="15" t="str">
        <f ca="1">IFERROR(__xludf.DUMMYFUNCTION("""COMPUTED_VALUE"""),"")</f>
        <v/>
      </c>
      <c r="F140" s="28" t="str">
        <f ca="1">IFERROR(__xludf.DUMMYFUNCTION("""COMPUTED_VALUE"""),"")</f>
        <v/>
      </c>
      <c r="G140" s="16" t="str">
        <f ca="1">IFERROR(__xludf.DUMMYFUNCTION("""COMPUTED_VALUE"""),"")</f>
        <v/>
      </c>
      <c r="H140" s="17" t="str">
        <f ca="1">IFERROR(__xludf.DUMMYFUNCTION("""COMPUTED_VALUE"""),"")</f>
        <v/>
      </c>
      <c r="I140" s="17" t="str">
        <f ca="1">IFERROR(__xludf.DUMMYFUNCTION("""COMPUTED_VALUE"""),"")</f>
        <v/>
      </c>
      <c r="J140" s="17" t="str">
        <f ca="1">IFERROR(__xludf.DUMMYFUNCTION("""COMPUTED_VALUE"""),"")</f>
        <v/>
      </c>
      <c r="K140" s="18" t="str">
        <f ca="1">IFERROR(__xludf.DUMMYFUNCTION("""COMPUTED_VALUE"""),"")</f>
        <v/>
      </c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20"/>
      <c r="W140" s="20"/>
      <c r="X140" s="20"/>
      <c r="Y140" s="20"/>
      <c r="Z140" s="21"/>
      <c r="AA140" s="22"/>
      <c r="AB140" s="23"/>
    </row>
    <row r="141" spans="1:28" ht="13.5" customHeight="1" x14ac:dyDescent="0.35">
      <c r="A141" s="24" t="str">
        <f ca="1">IFERROR(__xludf.DUMMYFUNCTION("""COMPUTED_VALUE"""),"")</f>
        <v/>
      </c>
      <c r="B141" s="28" t="str">
        <f ca="1">IFERROR(__xludf.DUMMYFUNCTION("""COMPUTED_VALUE"""),"")</f>
        <v/>
      </c>
      <c r="C141" s="27" t="str">
        <f ca="1">IFERROR(__xludf.DUMMYFUNCTION("""COMPUTED_VALUE"""),"")</f>
        <v/>
      </c>
      <c r="D141" s="27" t="str">
        <f ca="1">IFERROR(__xludf.DUMMYFUNCTION("""COMPUTED_VALUE"""),"")</f>
        <v/>
      </c>
      <c r="E141" s="15" t="str">
        <f ca="1">IFERROR(__xludf.DUMMYFUNCTION("""COMPUTED_VALUE"""),"")</f>
        <v/>
      </c>
      <c r="F141" s="28" t="str">
        <f ca="1">IFERROR(__xludf.DUMMYFUNCTION("""COMPUTED_VALUE"""),"")</f>
        <v/>
      </c>
      <c r="G141" s="16" t="str">
        <f ca="1">IFERROR(__xludf.DUMMYFUNCTION("""COMPUTED_VALUE"""),"")</f>
        <v/>
      </c>
      <c r="H141" s="17" t="str">
        <f ca="1">IFERROR(__xludf.DUMMYFUNCTION("""COMPUTED_VALUE"""),"")</f>
        <v/>
      </c>
      <c r="I141" s="17" t="str">
        <f ca="1">IFERROR(__xludf.DUMMYFUNCTION("""COMPUTED_VALUE"""),"")</f>
        <v/>
      </c>
      <c r="J141" s="17" t="str">
        <f ca="1">IFERROR(__xludf.DUMMYFUNCTION("""COMPUTED_VALUE"""),"")</f>
        <v/>
      </c>
      <c r="K141" s="18" t="str">
        <f ca="1">IFERROR(__xludf.DUMMYFUNCTION("""COMPUTED_VALUE"""),"")</f>
        <v/>
      </c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20"/>
      <c r="W141" s="20"/>
      <c r="X141" s="20"/>
      <c r="Y141" s="20"/>
      <c r="Z141" s="21"/>
      <c r="AA141" s="22"/>
      <c r="AB141" s="23"/>
    </row>
    <row r="142" spans="1:28" ht="13.5" customHeight="1" x14ac:dyDescent="0.35">
      <c r="A142" s="24" t="str">
        <f ca="1">IFERROR(__xludf.DUMMYFUNCTION("""COMPUTED_VALUE"""),"")</f>
        <v/>
      </c>
      <c r="B142" s="28" t="str">
        <f ca="1">IFERROR(__xludf.DUMMYFUNCTION("""COMPUTED_VALUE"""),"")</f>
        <v/>
      </c>
      <c r="C142" s="27" t="str">
        <f ca="1">IFERROR(__xludf.DUMMYFUNCTION("""COMPUTED_VALUE"""),"")</f>
        <v/>
      </c>
      <c r="D142" s="27" t="str">
        <f ca="1">IFERROR(__xludf.DUMMYFUNCTION("""COMPUTED_VALUE"""),"")</f>
        <v/>
      </c>
      <c r="E142" s="15" t="str">
        <f ca="1">IFERROR(__xludf.DUMMYFUNCTION("""COMPUTED_VALUE"""),"")</f>
        <v/>
      </c>
      <c r="F142" s="28" t="str">
        <f ca="1">IFERROR(__xludf.DUMMYFUNCTION("""COMPUTED_VALUE"""),"")</f>
        <v/>
      </c>
      <c r="G142" s="16" t="str">
        <f ca="1">IFERROR(__xludf.DUMMYFUNCTION("""COMPUTED_VALUE"""),"")</f>
        <v/>
      </c>
      <c r="H142" s="17" t="str">
        <f ca="1">IFERROR(__xludf.DUMMYFUNCTION("""COMPUTED_VALUE"""),"")</f>
        <v/>
      </c>
      <c r="I142" s="17" t="str">
        <f ca="1">IFERROR(__xludf.DUMMYFUNCTION("""COMPUTED_VALUE"""),"")</f>
        <v/>
      </c>
      <c r="J142" s="17" t="str">
        <f ca="1">IFERROR(__xludf.DUMMYFUNCTION("""COMPUTED_VALUE"""),"")</f>
        <v/>
      </c>
      <c r="K142" s="18" t="str">
        <f ca="1">IFERROR(__xludf.DUMMYFUNCTION("""COMPUTED_VALUE"""),"")</f>
        <v/>
      </c>
      <c r="L142" s="19"/>
      <c r="M142" s="19"/>
      <c r="N142" s="19"/>
      <c r="O142" s="19"/>
      <c r="P142" s="19"/>
      <c r="Q142" s="19"/>
      <c r="R142" s="19"/>
      <c r="S142" s="19"/>
      <c r="T142" s="19"/>
      <c r="U142" s="19"/>
      <c r="V142" s="20"/>
      <c r="W142" s="20"/>
      <c r="X142" s="20"/>
      <c r="Y142" s="20"/>
      <c r="Z142" s="21"/>
      <c r="AA142" s="22"/>
      <c r="AB142" s="23"/>
    </row>
    <row r="143" spans="1:28" ht="13.5" customHeight="1" x14ac:dyDescent="0.35">
      <c r="A143" s="24" t="str">
        <f ca="1">IFERROR(__xludf.DUMMYFUNCTION("""COMPUTED_VALUE"""),"")</f>
        <v/>
      </c>
      <c r="B143" s="28" t="str">
        <f ca="1">IFERROR(__xludf.DUMMYFUNCTION("""COMPUTED_VALUE"""),"")</f>
        <v/>
      </c>
      <c r="C143" s="27" t="str">
        <f ca="1">IFERROR(__xludf.DUMMYFUNCTION("""COMPUTED_VALUE"""),"")</f>
        <v/>
      </c>
      <c r="D143" s="27" t="str">
        <f ca="1">IFERROR(__xludf.DUMMYFUNCTION("""COMPUTED_VALUE"""),"")</f>
        <v/>
      </c>
      <c r="E143" s="15" t="str">
        <f ca="1">IFERROR(__xludf.DUMMYFUNCTION("""COMPUTED_VALUE"""),"")</f>
        <v/>
      </c>
      <c r="F143" s="28" t="str">
        <f ca="1">IFERROR(__xludf.DUMMYFUNCTION("""COMPUTED_VALUE"""),"")</f>
        <v/>
      </c>
      <c r="G143" s="16" t="str">
        <f ca="1">IFERROR(__xludf.DUMMYFUNCTION("""COMPUTED_VALUE"""),"")</f>
        <v/>
      </c>
      <c r="H143" s="17" t="str">
        <f ca="1">IFERROR(__xludf.DUMMYFUNCTION("""COMPUTED_VALUE"""),"")</f>
        <v/>
      </c>
      <c r="I143" s="17" t="str">
        <f ca="1">IFERROR(__xludf.DUMMYFUNCTION("""COMPUTED_VALUE"""),"")</f>
        <v/>
      </c>
      <c r="J143" s="17" t="str">
        <f ca="1">IFERROR(__xludf.DUMMYFUNCTION("""COMPUTED_VALUE"""),"")</f>
        <v/>
      </c>
      <c r="K143" s="18" t="str">
        <f ca="1">IFERROR(__xludf.DUMMYFUNCTION("""COMPUTED_VALUE"""),"")</f>
        <v/>
      </c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20"/>
      <c r="W143" s="20"/>
      <c r="X143" s="20"/>
      <c r="Y143" s="20"/>
      <c r="Z143" s="21"/>
      <c r="AA143" s="22"/>
      <c r="AB143" s="23"/>
    </row>
    <row r="144" spans="1:28" ht="13.5" customHeight="1" x14ac:dyDescent="0.35">
      <c r="A144" s="24" t="str">
        <f ca="1">IFERROR(__xludf.DUMMYFUNCTION("""COMPUTED_VALUE"""),"")</f>
        <v/>
      </c>
      <c r="B144" s="28" t="str">
        <f ca="1">IFERROR(__xludf.DUMMYFUNCTION("""COMPUTED_VALUE"""),"")</f>
        <v/>
      </c>
      <c r="C144" s="27" t="str">
        <f ca="1">IFERROR(__xludf.DUMMYFUNCTION("""COMPUTED_VALUE"""),"")</f>
        <v/>
      </c>
      <c r="D144" s="27" t="str">
        <f ca="1">IFERROR(__xludf.DUMMYFUNCTION("""COMPUTED_VALUE"""),"")</f>
        <v/>
      </c>
      <c r="E144" s="15" t="str">
        <f ca="1">IFERROR(__xludf.DUMMYFUNCTION("""COMPUTED_VALUE"""),"")</f>
        <v/>
      </c>
      <c r="F144" s="28" t="str">
        <f ca="1">IFERROR(__xludf.DUMMYFUNCTION("""COMPUTED_VALUE"""),"")</f>
        <v/>
      </c>
      <c r="G144" s="16" t="str">
        <f ca="1">IFERROR(__xludf.DUMMYFUNCTION("""COMPUTED_VALUE"""),"")</f>
        <v/>
      </c>
      <c r="H144" s="17" t="str">
        <f ca="1">IFERROR(__xludf.DUMMYFUNCTION("""COMPUTED_VALUE"""),"")</f>
        <v/>
      </c>
      <c r="I144" s="17" t="str">
        <f ca="1">IFERROR(__xludf.DUMMYFUNCTION("""COMPUTED_VALUE"""),"")</f>
        <v/>
      </c>
      <c r="J144" s="17" t="str">
        <f ca="1">IFERROR(__xludf.DUMMYFUNCTION("""COMPUTED_VALUE"""),"")</f>
        <v/>
      </c>
      <c r="K144" s="18" t="str">
        <f ca="1">IFERROR(__xludf.DUMMYFUNCTION("""COMPUTED_VALUE"""),"")</f>
        <v/>
      </c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20"/>
      <c r="W144" s="20"/>
      <c r="X144" s="20"/>
      <c r="Y144" s="20"/>
      <c r="Z144" s="21"/>
      <c r="AA144" s="22"/>
      <c r="AB144" s="23"/>
    </row>
    <row r="145" spans="1:28" ht="13.5" customHeight="1" x14ac:dyDescent="0.35">
      <c r="A145" s="24" t="str">
        <f ca="1">IFERROR(__xludf.DUMMYFUNCTION("""COMPUTED_VALUE"""),"")</f>
        <v/>
      </c>
      <c r="B145" s="28" t="str">
        <f ca="1">IFERROR(__xludf.DUMMYFUNCTION("""COMPUTED_VALUE"""),"")</f>
        <v/>
      </c>
      <c r="C145" s="27" t="str">
        <f ca="1">IFERROR(__xludf.DUMMYFUNCTION("""COMPUTED_VALUE"""),"")</f>
        <v/>
      </c>
      <c r="D145" s="27" t="str">
        <f ca="1">IFERROR(__xludf.DUMMYFUNCTION("""COMPUTED_VALUE"""),"")</f>
        <v/>
      </c>
      <c r="E145" s="15" t="str">
        <f ca="1">IFERROR(__xludf.DUMMYFUNCTION("""COMPUTED_VALUE"""),"")</f>
        <v/>
      </c>
      <c r="F145" s="28" t="str">
        <f ca="1">IFERROR(__xludf.DUMMYFUNCTION("""COMPUTED_VALUE"""),"")</f>
        <v/>
      </c>
      <c r="G145" s="16" t="str">
        <f ca="1">IFERROR(__xludf.DUMMYFUNCTION("""COMPUTED_VALUE"""),"")</f>
        <v/>
      </c>
      <c r="H145" s="17" t="str">
        <f ca="1">IFERROR(__xludf.DUMMYFUNCTION("""COMPUTED_VALUE"""),"")</f>
        <v/>
      </c>
      <c r="I145" s="17" t="str">
        <f ca="1">IFERROR(__xludf.DUMMYFUNCTION("""COMPUTED_VALUE"""),"")</f>
        <v/>
      </c>
      <c r="J145" s="17" t="str">
        <f ca="1">IFERROR(__xludf.DUMMYFUNCTION("""COMPUTED_VALUE"""),"")</f>
        <v/>
      </c>
      <c r="K145" s="18" t="str">
        <f ca="1">IFERROR(__xludf.DUMMYFUNCTION("""COMPUTED_VALUE"""),"")</f>
        <v/>
      </c>
      <c r="L145" s="19"/>
      <c r="M145" s="19"/>
      <c r="N145" s="19"/>
      <c r="O145" s="19"/>
      <c r="P145" s="19"/>
      <c r="Q145" s="19"/>
      <c r="R145" s="19"/>
      <c r="S145" s="19"/>
      <c r="T145" s="19"/>
      <c r="U145" s="19"/>
      <c r="V145" s="20"/>
      <c r="W145" s="20"/>
      <c r="X145" s="20"/>
      <c r="Y145" s="20"/>
      <c r="Z145" s="21"/>
      <c r="AA145" s="22"/>
      <c r="AB145" s="23"/>
    </row>
    <row r="146" spans="1:28" ht="13.5" customHeight="1" x14ac:dyDescent="0.35">
      <c r="A146" s="24" t="str">
        <f ca="1">IFERROR(__xludf.DUMMYFUNCTION("""COMPUTED_VALUE"""),"")</f>
        <v/>
      </c>
      <c r="B146" s="28" t="str">
        <f ca="1">IFERROR(__xludf.DUMMYFUNCTION("""COMPUTED_VALUE"""),"")</f>
        <v/>
      </c>
      <c r="C146" s="27" t="str">
        <f ca="1">IFERROR(__xludf.DUMMYFUNCTION("""COMPUTED_VALUE"""),"")</f>
        <v/>
      </c>
      <c r="D146" s="27" t="str">
        <f ca="1">IFERROR(__xludf.DUMMYFUNCTION("""COMPUTED_VALUE"""),"")</f>
        <v/>
      </c>
      <c r="E146" s="15" t="str">
        <f ca="1">IFERROR(__xludf.DUMMYFUNCTION("""COMPUTED_VALUE"""),"")</f>
        <v/>
      </c>
      <c r="F146" s="28" t="str">
        <f ca="1">IFERROR(__xludf.DUMMYFUNCTION("""COMPUTED_VALUE"""),"")</f>
        <v/>
      </c>
      <c r="G146" s="16" t="str">
        <f ca="1">IFERROR(__xludf.DUMMYFUNCTION("""COMPUTED_VALUE"""),"")</f>
        <v/>
      </c>
      <c r="H146" s="17" t="str">
        <f ca="1">IFERROR(__xludf.DUMMYFUNCTION("""COMPUTED_VALUE"""),"")</f>
        <v/>
      </c>
      <c r="I146" s="17" t="str">
        <f ca="1">IFERROR(__xludf.DUMMYFUNCTION("""COMPUTED_VALUE"""),"")</f>
        <v/>
      </c>
      <c r="J146" s="17" t="str">
        <f ca="1">IFERROR(__xludf.DUMMYFUNCTION("""COMPUTED_VALUE"""),"")</f>
        <v/>
      </c>
      <c r="K146" s="18" t="str">
        <f ca="1">IFERROR(__xludf.DUMMYFUNCTION("""COMPUTED_VALUE"""),"")</f>
        <v/>
      </c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20"/>
      <c r="W146" s="20"/>
      <c r="X146" s="20"/>
      <c r="Y146" s="20"/>
      <c r="Z146" s="21"/>
      <c r="AA146" s="22"/>
      <c r="AB146" s="23"/>
    </row>
    <row r="147" spans="1:28" ht="13.5" customHeight="1" x14ac:dyDescent="0.35">
      <c r="A147" s="24" t="str">
        <f ca="1">IFERROR(__xludf.DUMMYFUNCTION("""COMPUTED_VALUE"""),"")</f>
        <v/>
      </c>
      <c r="B147" s="28" t="str">
        <f ca="1">IFERROR(__xludf.DUMMYFUNCTION("""COMPUTED_VALUE"""),"")</f>
        <v/>
      </c>
      <c r="C147" s="27" t="str">
        <f ca="1">IFERROR(__xludf.DUMMYFUNCTION("""COMPUTED_VALUE"""),"")</f>
        <v/>
      </c>
      <c r="D147" s="27" t="str">
        <f ca="1">IFERROR(__xludf.DUMMYFUNCTION("""COMPUTED_VALUE"""),"")</f>
        <v/>
      </c>
      <c r="E147" s="15" t="str">
        <f ca="1">IFERROR(__xludf.DUMMYFUNCTION("""COMPUTED_VALUE"""),"")</f>
        <v/>
      </c>
      <c r="F147" s="28" t="str">
        <f ca="1">IFERROR(__xludf.DUMMYFUNCTION("""COMPUTED_VALUE"""),"")</f>
        <v/>
      </c>
      <c r="G147" s="16" t="str">
        <f ca="1">IFERROR(__xludf.DUMMYFUNCTION("""COMPUTED_VALUE"""),"")</f>
        <v/>
      </c>
      <c r="H147" s="17" t="str">
        <f ca="1">IFERROR(__xludf.DUMMYFUNCTION("""COMPUTED_VALUE"""),"")</f>
        <v/>
      </c>
      <c r="I147" s="17" t="str">
        <f ca="1">IFERROR(__xludf.DUMMYFUNCTION("""COMPUTED_VALUE"""),"")</f>
        <v/>
      </c>
      <c r="J147" s="17" t="str">
        <f ca="1">IFERROR(__xludf.DUMMYFUNCTION("""COMPUTED_VALUE"""),"")</f>
        <v/>
      </c>
      <c r="K147" s="18" t="str">
        <f ca="1">IFERROR(__xludf.DUMMYFUNCTION("""COMPUTED_VALUE"""),"")</f>
        <v/>
      </c>
      <c r="L147" s="19"/>
      <c r="M147" s="19"/>
      <c r="N147" s="19"/>
      <c r="O147" s="19"/>
      <c r="P147" s="19"/>
      <c r="Q147" s="19"/>
      <c r="R147" s="19"/>
      <c r="S147" s="19"/>
      <c r="T147" s="19"/>
      <c r="U147" s="19"/>
      <c r="V147" s="20"/>
      <c r="W147" s="20"/>
      <c r="X147" s="20"/>
      <c r="Y147" s="20"/>
      <c r="Z147" s="21"/>
      <c r="AA147" s="22"/>
      <c r="AB147" s="23"/>
    </row>
    <row r="148" spans="1:28" ht="13.5" customHeight="1" x14ac:dyDescent="0.35">
      <c r="A148" s="24" t="str">
        <f ca="1">IFERROR(__xludf.DUMMYFUNCTION("""COMPUTED_VALUE"""),"")</f>
        <v/>
      </c>
      <c r="B148" s="28" t="str">
        <f ca="1">IFERROR(__xludf.DUMMYFUNCTION("""COMPUTED_VALUE"""),"")</f>
        <v/>
      </c>
      <c r="C148" s="27" t="str">
        <f ca="1">IFERROR(__xludf.DUMMYFUNCTION("""COMPUTED_VALUE"""),"")</f>
        <v/>
      </c>
      <c r="D148" s="27" t="str">
        <f ca="1">IFERROR(__xludf.DUMMYFUNCTION("""COMPUTED_VALUE"""),"")</f>
        <v/>
      </c>
      <c r="E148" s="15" t="str">
        <f ca="1">IFERROR(__xludf.DUMMYFUNCTION("""COMPUTED_VALUE"""),"")</f>
        <v/>
      </c>
      <c r="F148" s="28" t="str">
        <f ca="1">IFERROR(__xludf.DUMMYFUNCTION("""COMPUTED_VALUE"""),"")</f>
        <v/>
      </c>
      <c r="G148" s="16" t="str">
        <f ca="1">IFERROR(__xludf.DUMMYFUNCTION("""COMPUTED_VALUE"""),"")</f>
        <v/>
      </c>
      <c r="H148" s="17" t="str">
        <f ca="1">IFERROR(__xludf.DUMMYFUNCTION("""COMPUTED_VALUE"""),"")</f>
        <v/>
      </c>
      <c r="I148" s="17" t="str">
        <f ca="1">IFERROR(__xludf.DUMMYFUNCTION("""COMPUTED_VALUE"""),"")</f>
        <v/>
      </c>
      <c r="J148" s="17" t="str">
        <f ca="1">IFERROR(__xludf.DUMMYFUNCTION("""COMPUTED_VALUE"""),"")</f>
        <v/>
      </c>
      <c r="K148" s="18" t="str">
        <f ca="1">IFERROR(__xludf.DUMMYFUNCTION("""COMPUTED_VALUE"""),"")</f>
        <v/>
      </c>
      <c r="L148" s="19"/>
      <c r="M148" s="19"/>
      <c r="N148" s="19"/>
      <c r="O148" s="19"/>
      <c r="P148" s="19"/>
      <c r="Q148" s="19"/>
      <c r="R148" s="19"/>
      <c r="S148" s="19"/>
      <c r="T148" s="19"/>
      <c r="U148" s="19"/>
      <c r="V148" s="20"/>
      <c r="W148" s="20"/>
      <c r="X148" s="20"/>
      <c r="Y148" s="20"/>
      <c r="Z148" s="21"/>
      <c r="AA148" s="22"/>
      <c r="AB148" s="23"/>
    </row>
    <row r="149" spans="1:28" ht="13.5" customHeight="1" x14ac:dyDescent="0.35">
      <c r="A149" s="24" t="str">
        <f ca="1">IFERROR(__xludf.DUMMYFUNCTION("""COMPUTED_VALUE"""),"")</f>
        <v/>
      </c>
      <c r="B149" s="28" t="str">
        <f ca="1">IFERROR(__xludf.DUMMYFUNCTION("""COMPUTED_VALUE"""),"")</f>
        <v/>
      </c>
      <c r="C149" s="27" t="str">
        <f ca="1">IFERROR(__xludf.DUMMYFUNCTION("""COMPUTED_VALUE"""),"")</f>
        <v/>
      </c>
      <c r="D149" s="27" t="str">
        <f ca="1">IFERROR(__xludf.DUMMYFUNCTION("""COMPUTED_VALUE"""),"")</f>
        <v/>
      </c>
      <c r="E149" s="15" t="str">
        <f ca="1">IFERROR(__xludf.DUMMYFUNCTION("""COMPUTED_VALUE"""),"")</f>
        <v/>
      </c>
      <c r="F149" s="28" t="str">
        <f ca="1">IFERROR(__xludf.DUMMYFUNCTION("""COMPUTED_VALUE"""),"")</f>
        <v/>
      </c>
      <c r="G149" s="16" t="str">
        <f ca="1">IFERROR(__xludf.DUMMYFUNCTION("""COMPUTED_VALUE"""),"")</f>
        <v/>
      </c>
      <c r="H149" s="17" t="str">
        <f ca="1">IFERROR(__xludf.DUMMYFUNCTION("""COMPUTED_VALUE"""),"")</f>
        <v/>
      </c>
      <c r="I149" s="17" t="str">
        <f ca="1">IFERROR(__xludf.DUMMYFUNCTION("""COMPUTED_VALUE"""),"")</f>
        <v/>
      </c>
      <c r="J149" s="17" t="str">
        <f ca="1">IFERROR(__xludf.DUMMYFUNCTION("""COMPUTED_VALUE"""),"")</f>
        <v/>
      </c>
      <c r="K149" s="18" t="str">
        <f ca="1">IFERROR(__xludf.DUMMYFUNCTION("""COMPUTED_VALUE"""),"")</f>
        <v/>
      </c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20"/>
      <c r="W149" s="20"/>
      <c r="X149" s="20"/>
      <c r="Y149" s="20"/>
      <c r="Z149" s="21"/>
      <c r="AA149" s="22"/>
      <c r="AB149" s="23"/>
    </row>
    <row r="150" spans="1:28" ht="13.5" customHeight="1" x14ac:dyDescent="0.35">
      <c r="A150" s="24" t="str">
        <f ca="1">IFERROR(__xludf.DUMMYFUNCTION("""COMPUTED_VALUE"""),"")</f>
        <v/>
      </c>
      <c r="B150" s="28" t="str">
        <f ca="1">IFERROR(__xludf.DUMMYFUNCTION("""COMPUTED_VALUE"""),"")</f>
        <v/>
      </c>
      <c r="C150" s="27" t="str">
        <f ca="1">IFERROR(__xludf.DUMMYFUNCTION("""COMPUTED_VALUE"""),"")</f>
        <v/>
      </c>
      <c r="D150" s="27" t="str">
        <f ca="1">IFERROR(__xludf.DUMMYFUNCTION("""COMPUTED_VALUE"""),"")</f>
        <v/>
      </c>
      <c r="E150" s="15" t="str">
        <f ca="1">IFERROR(__xludf.DUMMYFUNCTION("""COMPUTED_VALUE"""),"")</f>
        <v/>
      </c>
      <c r="F150" s="28" t="str">
        <f ca="1">IFERROR(__xludf.DUMMYFUNCTION("""COMPUTED_VALUE"""),"")</f>
        <v/>
      </c>
      <c r="G150" s="16" t="str">
        <f ca="1">IFERROR(__xludf.DUMMYFUNCTION("""COMPUTED_VALUE"""),"")</f>
        <v/>
      </c>
      <c r="H150" s="17" t="str">
        <f ca="1">IFERROR(__xludf.DUMMYFUNCTION("""COMPUTED_VALUE"""),"")</f>
        <v/>
      </c>
      <c r="I150" s="17" t="str">
        <f ca="1">IFERROR(__xludf.DUMMYFUNCTION("""COMPUTED_VALUE"""),"")</f>
        <v/>
      </c>
      <c r="J150" s="17" t="str">
        <f ca="1">IFERROR(__xludf.DUMMYFUNCTION("""COMPUTED_VALUE"""),"")</f>
        <v/>
      </c>
      <c r="K150" s="18" t="str">
        <f ca="1">IFERROR(__xludf.DUMMYFUNCTION("""COMPUTED_VALUE"""),"")</f>
        <v/>
      </c>
      <c r="L150" s="19"/>
      <c r="M150" s="19"/>
      <c r="N150" s="19"/>
      <c r="O150" s="19"/>
      <c r="P150" s="19"/>
      <c r="Q150" s="19"/>
      <c r="R150" s="19"/>
      <c r="S150" s="19"/>
      <c r="T150" s="19"/>
      <c r="U150" s="19"/>
      <c r="V150" s="20"/>
      <c r="W150" s="20"/>
      <c r="X150" s="20"/>
      <c r="Y150" s="20"/>
      <c r="Z150" s="21"/>
      <c r="AA150" s="22"/>
      <c r="AB150" s="23"/>
    </row>
    <row r="151" spans="1:28" ht="13.5" customHeight="1" x14ac:dyDescent="0.35">
      <c r="A151" s="24" t="str">
        <f ca="1">IFERROR(__xludf.DUMMYFUNCTION("""COMPUTED_VALUE"""),"")</f>
        <v/>
      </c>
      <c r="B151" s="28" t="str">
        <f ca="1">IFERROR(__xludf.DUMMYFUNCTION("""COMPUTED_VALUE"""),"")</f>
        <v/>
      </c>
      <c r="C151" s="27" t="str">
        <f ca="1">IFERROR(__xludf.DUMMYFUNCTION("""COMPUTED_VALUE"""),"")</f>
        <v/>
      </c>
      <c r="D151" s="27" t="str">
        <f ca="1">IFERROR(__xludf.DUMMYFUNCTION("""COMPUTED_VALUE"""),"")</f>
        <v/>
      </c>
      <c r="E151" s="15" t="str">
        <f ca="1">IFERROR(__xludf.DUMMYFUNCTION("""COMPUTED_VALUE"""),"")</f>
        <v/>
      </c>
      <c r="F151" s="28" t="str">
        <f ca="1">IFERROR(__xludf.DUMMYFUNCTION("""COMPUTED_VALUE"""),"")</f>
        <v/>
      </c>
      <c r="G151" s="16" t="str">
        <f ca="1">IFERROR(__xludf.DUMMYFUNCTION("""COMPUTED_VALUE"""),"")</f>
        <v/>
      </c>
      <c r="H151" s="17" t="str">
        <f ca="1">IFERROR(__xludf.DUMMYFUNCTION("""COMPUTED_VALUE"""),"")</f>
        <v/>
      </c>
      <c r="I151" s="17" t="str">
        <f ca="1">IFERROR(__xludf.DUMMYFUNCTION("""COMPUTED_VALUE"""),"")</f>
        <v/>
      </c>
      <c r="J151" s="17" t="str">
        <f ca="1">IFERROR(__xludf.DUMMYFUNCTION("""COMPUTED_VALUE"""),"")</f>
        <v/>
      </c>
      <c r="K151" s="18" t="str">
        <f ca="1">IFERROR(__xludf.DUMMYFUNCTION("""COMPUTED_VALUE"""),"")</f>
        <v/>
      </c>
      <c r="L151" s="19"/>
      <c r="M151" s="19"/>
      <c r="N151" s="19"/>
      <c r="O151" s="19"/>
      <c r="P151" s="19"/>
      <c r="Q151" s="19"/>
      <c r="R151" s="19"/>
      <c r="S151" s="19"/>
      <c r="T151" s="19"/>
      <c r="U151" s="19"/>
      <c r="V151" s="20"/>
      <c r="W151" s="20"/>
      <c r="X151" s="20"/>
      <c r="Y151" s="20"/>
      <c r="Z151" s="21"/>
      <c r="AA151" s="22"/>
      <c r="AB151" s="23"/>
    </row>
    <row r="152" spans="1:28" ht="13.5" customHeight="1" x14ac:dyDescent="0.35">
      <c r="A152" s="24" t="str">
        <f ca="1">IFERROR(__xludf.DUMMYFUNCTION("""COMPUTED_VALUE"""),"")</f>
        <v/>
      </c>
      <c r="B152" s="28" t="str">
        <f ca="1">IFERROR(__xludf.DUMMYFUNCTION("""COMPUTED_VALUE"""),"")</f>
        <v/>
      </c>
      <c r="C152" s="27" t="str">
        <f ca="1">IFERROR(__xludf.DUMMYFUNCTION("""COMPUTED_VALUE"""),"")</f>
        <v/>
      </c>
      <c r="D152" s="27" t="str">
        <f ca="1">IFERROR(__xludf.DUMMYFUNCTION("""COMPUTED_VALUE"""),"")</f>
        <v/>
      </c>
      <c r="E152" s="15" t="str">
        <f ca="1">IFERROR(__xludf.DUMMYFUNCTION("""COMPUTED_VALUE"""),"")</f>
        <v/>
      </c>
      <c r="F152" s="28" t="str">
        <f ca="1">IFERROR(__xludf.DUMMYFUNCTION("""COMPUTED_VALUE"""),"")</f>
        <v/>
      </c>
      <c r="G152" s="16" t="str">
        <f ca="1">IFERROR(__xludf.DUMMYFUNCTION("""COMPUTED_VALUE"""),"")</f>
        <v/>
      </c>
      <c r="H152" s="17" t="str">
        <f ca="1">IFERROR(__xludf.DUMMYFUNCTION("""COMPUTED_VALUE"""),"")</f>
        <v/>
      </c>
      <c r="I152" s="17" t="str">
        <f ca="1">IFERROR(__xludf.DUMMYFUNCTION("""COMPUTED_VALUE"""),"")</f>
        <v/>
      </c>
      <c r="J152" s="17" t="str">
        <f ca="1">IFERROR(__xludf.DUMMYFUNCTION("""COMPUTED_VALUE"""),"")</f>
        <v/>
      </c>
      <c r="K152" s="18" t="str">
        <f ca="1">IFERROR(__xludf.DUMMYFUNCTION("""COMPUTED_VALUE"""),"")</f>
        <v/>
      </c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20"/>
      <c r="W152" s="20"/>
      <c r="X152" s="20"/>
      <c r="Y152" s="20"/>
      <c r="Z152" s="21"/>
      <c r="AA152" s="22"/>
      <c r="AB152" s="23"/>
    </row>
    <row r="153" spans="1:28" ht="13.5" customHeight="1" x14ac:dyDescent="0.35">
      <c r="A153" s="24" t="str">
        <f ca="1">IFERROR(__xludf.DUMMYFUNCTION("""COMPUTED_VALUE"""),"")</f>
        <v/>
      </c>
      <c r="B153" s="28" t="str">
        <f ca="1">IFERROR(__xludf.DUMMYFUNCTION("""COMPUTED_VALUE"""),"")</f>
        <v/>
      </c>
      <c r="C153" s="27" t="str">
        <f ca="1">IFERROR(__xludf.DUMMYFUNCTION("""COMPUTED_VALUE"""),"")</f>
        <v/>
      </c>
      <c r="D153" s="27" t="str">
        <f ca="1">IFERROR(__xludf.DUMMYFUNCTION("""COMPUTED_VALUE"""),"")</f>
        <v/>
      </c>
      <c r="E153" s="15" t="str">
        <f ca="1">IFERROR(__xludf.DUMMYFUNCTION("""COMPUTED_VALUE"""),"")</f>
        <v/>
      </c>
      <c r="F153" s="28" t="str">
        <f ca="1">IFERROR(__xludf.DUMMYFUNCTION("""COMPUTED_VALUE"""),"")</f>
        <v/>
      </c>
      <c r="G153" s="16" t="str">
        <f ca="1">IFERROR(__xludf.DUMMYFUNCTION("""COMPUTED_VALUE"""),"")</f>
        <v/>
      </c>
      <c r="H153" s="17" t="str">
        <f ca="1">IFERROR(__xludf.DUMMYFUNCTION("""COMPUTED_VALUE"""),"")</f>
        <v/>
      </c>
      <c r="I153" s="17" t="str">
        <f ca="1">IFERROR(__xludf.DUMMYFUNCTION("""COMPUTED_VALUE"""),"")</f>
        <v/>
      </c>
      <c r="J153" s="17" t="str">
        <f ca="1">IFERROR(__xludf.DUMMYFUNCTION("""COMPUTED_VALUE"""),"")</f>
        <v/>
      </c>
      <c r="K153" s="18" t="str">
        <f ca="1">IFERROR(__xludf.DUMMYFUNCTION("""COMPUTED_VALUE"""),"")</f>
        <v/>
      </c>
      <c r="L153" s="19"/>
      <c r="M153" s="19"/>
      <c r="N153" s="19"/>
      <c r="O153" s="19"/>
      <c r="P153" s="19"/>
      <c r="Q153" s="19"/>
      <c r="R153" s="19"/>
      <c r="S153" s="19"/>
      <c r="T153" s="19"/>
      <c r="U153" s="19"/>
      <c r="V153" s="20"/>
      <c r="W153" s="20"/>
      <c r="X153" s="20"/>
      <c r="Y153" s="20"/>
      <c r="Z153" s="21"/>
      <c r="AA153" s="22"/>
      <c r="AB153" s="23"/>
    </row>
    <row r="154" spans="1:28" ht="13.5" customHeight="1" x14ac:dyDescent="0.35">
      <c r="A154" s="24" t="str">
        <f ca="1">IFERROR(__xludf.DUMMYFUNCTION("""COMPUTED_VALUE"""),"")</f>
        <v/>
      </c>
      <c r="B154" s="28" t="str">
        <f ca="1">IFERROR(__xludf.DUMMYFUNCTION("""COMPUTED_VALUE"""),"")</f>
        <v/>
      </c>
      <c r="C154" s="27" t="str">
        <f ca="1">IFERROR(__xludf.DUMMYFUNCTION("""COMPUTED_VALUE"""),"")</f>
        <v/>
      </c>
      <c r="D154" s="27" t="str">
        <f ca="1">IFERROR(__xludf.DUMMYFUNCTION("""COMPUTED_VALUE"""),"")</f>
        <v/>
      </c>
      <c r="E154" s="15" t="str">
        <f ca="1">IFERROR(__xludf.DUMMYFUNCTION("""COMPUTED_VALUE"""),"")</f>
        <v/>
      </c>
      <c r="F154" s="28" t="str">
        <f ca="1">IFERROR(__xludf.DUMMYFUNCTION("""COMPUTED_VALUE"""),"")</f>
        <v/>
      </c>
      <c r="G154" s="16" t="str">
        <f ca="1">IFERROR(__xludf.DUMMYFUNCTION("""COMPUTED_VALUE"""),"")</f>
        <v/>
      </c>
      <c r="H154" s="17" t="str">
        <f ca="1">IFERROR(__xludf.DUMMYFUNCTION("""COMPUTED_VALUE"""),"")</f>
        <v/>
      </c>
      <c r="I154" s="17" t="str">
        <f ca="1">IFERROR(__xludf.DUMMYFUNCTION("""COMPUTED_VALUE"""),"")</f>
        <v/>
      </c>
      <c r="J154" s="17" t="str">
        <f ca="1">IFERROR(__xludf.DUMMYFUNCTION("""COMPUTED_VALUE"""),"")</f>
        <v/>
      </c>
      <c r="K154" s="18" t="str">
        <f ca="1">IFERROR(__xludf.DUMMYFUNCTION("""COMPUTED_VALUE"""),"")</f>
        <v/>
      </c>
      <c r="L154" s="19"/>
      <c r="M154" s="19"/>
      <c r="N154" s="19"/>
      <c r="O154" s="19"/>
      <c r="P154" s="19"/>
      <c r="Q154" s="19"/>
      <c r="R154" s="19"/>
      <c r="S154" s="19"/>
      <c r="T154" s="19"/>
      <c r="U154" s="19"/>
      <c r="V154" s="20"/>
      <c r="W154" s="20"/>
      <c r="X154" s="20"/>
      <c r="Y154" s="20"/>
      <c r="Z154" s="21"/>
      <c r="AA154" s="22"/>
      <c r="AB154" s="23"/>
    </row>
    <row r="155" spans="1:28" ht="13.5" customHeight="1" x14ac:dyDescent="0.35">
      <c r="A155" s="24" t="str">
        <f ca="1">IFERROR(__xludf.DUMMYFUNCTION("""COMPUTED_VALUE"""),"")</f>
        <v/>
      </c>
      <c r="B155" s="28" t="str">
        <f ca="1">IFERROR(__xludf.DUMMYFUNCTION("""COMPUTED_VALUE"""),"")</f>
        <v/>
      </c>
      <c r="C155" s="27" t="str">
        <f ca="1">IFERROR(__xludf.DUMMYFUNCTION("""COMPUTED_VALUE"""),"")</f>
        <v/>
      </c>
      <c r="D155" s="27" t="str">
        <f ca="1">IFERROR(__xludf.DUMMYFUNCTION("""COMPUTED_VALUE"""),"")</f>
        <v/>
      </c>
      <c r="E155" s="15" t="str">
        <f ca="1">IFERROR(__xludf.DUMMYFUNCTION("""COMPUTED_VALUE"""),"")</f>
        <v/>
      </c>
      <c r="F155" s="28" t="str">
        <f ca="1">IFERROR(__xludf.DUMMYFUNCTION("""COMPUTED_VALUE"""),"")</f>
        <v/>
      </c>
      <c r="G155" s="16" t="str">
        <f ca="1">IFERROR(__xludf.DUMMYFUNCTION("""COMPUTED_VALUE"""),"")</f>
        <v/>
      </c>
      <c r="H155" s="17" t="str">
        <f ca="1">IFERROR(__xludf.DUMMYFUNCTION("""COMPUTED_VALUE"""),"")</f>
        <v/>
      </c>
      <c r="I155" s="17" t="str">
        <f ca="1">IFERROR(__xludf.DUMMYFUNCTION("""COMPUTED_VALUE"""),"")</f>
        <v/>
      </c>
      <c r="J155" s="17" t="str">
        <f ca="1">IFERROR(__xludf.DUMMYFUNCTION("""COMPUTED_VALUE"""),"")</f>
        <v/>
      </c>
      <c r="K155" s="18" t="str">
        <f ca="1">IFERROR(__xludf.DUMMYFUNCTION("""COMPUTED_VALUE"""),"")</f>
        <v/>
      </c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20"/>
      <c r="W155" s="20"/>
      <c r="X155" s="20"/>
      <c r="Y155" s="20"/>
      <c r="Z155" s="21"/>
      <c r="AA155" s="22"/>
      <c r="AB155" s="23"/>
    </row>
    <row r="156" spans="1:28" ht="13.5" customHeight="1" x14ac:dyDescent="0.35">
      <c r="A156" s="24" t="str">
        <f ca="1">IFERROR(__xludf.DUMMYFUNCTION("""COMPUTED_VALUE"""),"")</f>
        <v/>
      </c>
      <c r="B156" s="28" t="str">
        <f ca="1">IFERROR(__xludf.DUMMYFUNCTION("""COMPUTED_VALUE"""),"")</f>
        <v/>
      </c>
      <c r="C156" s="27" t="str">
        <f ca="1">IFERROR(__xludf.DUMMYFUNCTION("""COMPUTED_VALUE"""),"")</f>
        <v/>
      </c>
      <c r="D156" s="27" t="str">
        <f ca="1">IFERROR(__xludf.DUMMYFUNCTION("""COMPUTED_VALUE"""),"")</f>
        <v/>
      </c>
      <c r="E156" s="15" t="str">
        <f ca="1">IFERROR(__xludf.DUMMYFUNCTION("""COMPUTED_VALUE"""),"")</f>
        <v/>
      </c>
      <c r="F156" s="28" t="str">
        <f ca="1">IFERROR(__xludf.DUMMYFUNCTION("""COMPUTED_VALUE"""),"")</f>
        <v/>
      </c>
      <c r="G156" s="16" t="str">
        <f ca="1">IFERROR(__xludf.DUMMYFUNCTION("""COMPUTED_VALUE"""),"")</f>
        <v/>
      </c>
      <c r="H156" s="17" t="str">
        <f ca="1">IFERROR(__xludf.DUMMYFUNCTION("""COMPUTED_VALUE"""),"")</f>
        <v/>
      </c>
      <c r="I156" s="17" t="str">
        <f ca="1">IFERROR(__xludf.DUMMYFUNCTION("""COMPUTED_VALUE"""),"")</f>
        <v/>
      </c>
      <c r="J156" s="17" t="str">
        <f ca="1">IFERROR(__xludf.DUMMYFUNCTION("""COMPUTED_VALUE"""),"")</f>
        <v/>
      </c>
      <c r="K156" s="18" t="str">
        <f ca="1">IFERROR(__xludf.DUMMYFUNCTION("""COMPUTED_VALUE"""),"")</f>
        <v/>
      </c>
      <c r="L156" s="19"/>
      <c r="M156" s="19"/>
      <c r="N156" s="19"/>
      <c r="O156" s="19"/>
      <c r="P156" s="19"/>
      <c r="Q156" s="19"/>
      <c r="R156" s="19"/>
      <c r="S156" s="19"/>
      <c r="T156" s="19"/>
      <c r="U156" s="19"/>
      <c r="V156" s="20"/>
      <c r="W156" s="20"/>
      <c r="X156" s="20"/>
      <c r="Y156" s="20"/>
      <c r="Z156" s="21"/>
      <c r="AA156" s="22"/>
      <c r="AB156" s="23"/>
    </row>
    <row r="157" spans="1:28" ht="13.5" customHeight="1" x14ac:dyDescent="0.35">
      <c r="A157" s="24" t="str">
        <f ca="1">IFERROR(__xludf.DUMMYFUNCTION("""COMPUTED_VALUE"""),"")</f>
        <v/>
      </c>
      <c r="B157" s="28" t="str">
        <f ca="1">IFERROR(__xludf.DUMMYFUNCTION("""COMPUTED_VALUE"""),"")</f>
        <v/>
      </c>
      <c r="C157" s="27" t="str">
        <f ca="1">IFERROR(__xludf.DUMMYFUNCTION("""COMPUTED_VALUE"""),"")</f>
        <v/>
      </c>
      <c r="D157" s="27" t="str">
        <f ca="1">IFERROR(__xludf.DUMMYFUNCTION("""COMPUTED_VALUE"""),"")</f>
        <v/>
      </c>
      <c r="E157" s="15" t="str">
        <f ca="1">IFERROR(__xludf.DUMMYFUNCTION("""COMPUTED_VALUE"""),"")</f>
        <v/>
      </c>
      <c r="F157" s="28" t="str">
        <f ca="1">IFERROR(__xludf.DUMMYFUNCTION("""COMPUTED_VALUE"""),"")</f>
        <v/>
      </c>
      <c r="G157" s="16" t="str">
        <f ca="1">IFERROR(__xludf.DUMMYFUNCTION("""COMPUTED_VALUE"""),"")</f>
        <v/>
      </c>
      <c r="H157" s="17" t="str">
        <f ca="1">IFERROR(__xludf.DUMMYFUNCTION("""COMPUTED_VALUE"""),"")</f>
        <v/>
      </c>
      <c r="I157" s="17" t="str">
        <f ca="1">IFERROR(__xludf.DUMMYFUNCTION("""COMPUTED_VALUE"""),"")</f>
        <v/>
      </c>
      <c r="J157" s="17" t="str">
        <f ca="1">IFERROR(__xludf.DUMMYFUNCTION("""COMPUTED_VALUE"""),"")</f>
        <v/>
      </c>
      <c r="K157" s="18" t="str">
        <f ca="1">IFERROR(__xludf.DUMMYFUNCTION("""COMPUTED_VALUE"""),"")</f>
        <v/>
      </c>
      <c r="L157" s="19"/>
      <c r="M157" s="19"/>
      <c r="N157" s="19"/>
      <c r="O157" s="19"/>
      <c r="P157" s="19"/>
      <c r="Q157" s="19"/>
      <c r="R157" s="19"/>
      <c r="S157" s="19"/>
      <c r="T157" s="19"/>
      <c r="U157" s="19"/>
      <c r="V157" s="20"/>
      <c r="W157" s="20"/>
      <c r="X157" s="20"/>
      <c r="Y157" s="20"/>
      <c r="Z157" s="21"/>
      <c r="AA157" s="22"/>
      <c r="AB157" s="23"/>
    </row>
    <row r="158" spans="1:28" ht="13.5" customHeight="1" x14ac:dyDescent="0.35">
      <c r="A158" s="24" t="str">
        <f ca="1">IFERROR(__xludf.DUMMYFUNCTION("""COMPUTED_VALUE"""),"")</f>
        <v/>
      </c>
      <c r="B158" s="28" t="str">
        <f ca="1">IFERROR(__xludf.DUMMYFUNCTION("""COMPUTED_VALUE"""),"")</f>
        <v/>
      </c>
      <c r="C158" s="27" t="str">
        <f ca="1">IFERROR(__xludf.DUMMYFUNCTION("""COMPUTED_VALUE"""),"")</f>
        <v/>
      </c>
      <c r="D158" s="27" t="str">
        <f ca="1">IFERROR(__xludf.DUMMYFUNCTION("""COMPUTED_VALUE"""),"")</f>
        <v/>
      </c>
      <c r="E158" s="15" t="str">
        <f ca="1">IFERROR(__xludf.DUMMYFUNCTION("""COMPUTED_VALUE"""),"")</f>
        <v/>
      </c>
      <c r="F158" s="28" t="str">
        <f ca="1">IFERROR(__xludf.DUMMYFUNCTION("""COMPUTED_VALUE"""),"")</f>
        <v/>
      </c>
      <c r="G158" s="16" t="str">
        <f ca="1">IFERROR(__xludf.DUMMYFUNCTION("""COMPUTED_VALUE"""),"")</f>
        <v/>
      </c>
      <c r="H158" s="17" t="str">
        <f ca="1">IFERROR(__xludf.DUMMYFUNCTION("""COMPUTED_VALUE"""),"")</f>
        <v/>
      </c>
      <c r="I158" s="17" t="str">
        <f ca="1">IFERROR(__xludf.DUMMYFUNCTION("""COMPUTED_VALUE"""),"")</f>
        <v/>
      </c>
      <c r="J158" s="17" t="str">
        <f ca="1">IFERROR(__xludf.DUMMYFUNCTION("""COMPUTED_VALUE"""),"")</f>
        <v/>
      </c>
      <c r="K158" s="18" t="str">
        <f ca="1">IFERROR(__xludf.DUMMYFUNCTION("""COMPUTED_VALUE"""),"")</f>
        <v/>
      </c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20"/>
      <c r="W158" s="20"/>
      <c r="X158" s="20"/>
      <c r="Y158" s="20"/>
      <c r="Z158" s="21"/>
      <c r="AA158" s="22"/>
      <c r="AB158" s="23"/>
    </row>
    <row r="159" spans="1:28" ht="13.5" customHeight="1" x14ac:dyDescent="0.35">
      <c r="A159" s="24" t="str">
        <f ca="1">IFERROR(__xludf.DUMMYFUNCTION("""COMPUTED_VALUE"""),"")</f>
        <v/>
      </c>
      <c r="B159" s="28" t="str">
        <f ca="1">IFERROR(__xludf.DUMMYFUNCTION("""COMPUTED_VALUE"""),"")</f>
        <v/>
      </c>
      <c r="C159" s="27" t="str">
        <f ca="1">IFERROR(__xludf.DUMMYFUNCTION("""COMPUTED_VALUE"""),"")</f>
        <v/>
      </c>
      <c r="D159" s="27" t="str">
        <f ca="1">IFERROR(__xludf.DUMMYFUNCTION("""COMPUTED_VALUE"""),"")</f>
        <v/>
      </c>
      <c r="E159" s="15" t="str">
        <f ca="1">IFERROR(__xludf.DUMMYFUNCTION("""COMPUTED_VALUE"""),"")</f>
        <v/>
      </c>
      <c r="F159" s="28" t="str">
        <f ca="1">IFERROR(__xludf.DUMMYFUNCTION("""COMPUTED_VALUE"""),"")</f>
        <v/>
      </c>
      <c r="G159" s="16" t="str">
        <f ca="1">IFERROR(__xludf.DUMMYFUNCTION("""COMPUTED_VALUE"""),"")</f>
        <v/>
      </c>
      <c r="H159" s="17" t="str">
        <f ca="1">IFERROR(__xludf.DUMMYFUNCTION("""COMPUTED_VALUE"""),"")</f>
        <v/>
      </c>
      <c r="I159" s="17" t="str">
        <f ca="1">IFERROR(__xludf.DUMMYFUNCTION("""COMPUTED_VALUE"""),"")</f>
        <v/>
      </c>
      <c r="J159" s="17" t="str">
        <f ca="1">IFERROR(__xludf.DUMMYFUNCTION("""COMPUTED_VALUE"""),"")</f>
        <v/>
      </c>
      <c r="K159" s="18" t="str">
        <f ca="1">IFERROR(__xludf.DUMMYFUNCTION("""COMPUTED_VALUE"""),"")</f>
        <v/>
      </c>
      <c r="L159" s="19"/>
      <c r="M159" s="19"/>
      <c r="N159" s="19"/>
      <c r="O159" s="19"/>
      <c r="P159" s="19"/>
      <c r="Q159" s="19"/>
      <c r="R159" s="19"/>
      <c r="S159" s="19"/>
      <c r="T159" s="19"/>
      <c r="U159" s="19"/>
      <c r="V159" s="20"/>
      <c r="W159" s="20"/>
      <c r="X159" s="20"/>
      <c r="Y159" s="20"/>
      <c r="Z159" s="21"/>
      <c r="AA159" s="22"/>
      <c r="AB159" s="23"/>
    </row>
    <row r="160" spans="1:28" ht="13.5" customHeight="1" x14ac:dyDescent="0.35">
      <c r="A160" s="24" t="str">
        <f ca="1">IFERROR(__xludf.DUMMYFUNCTION("""COMPUTED_VALUE"""),"")</f>
        <v/>
      </c>
      <c r="B160" s="28" t="str">
        <f ca="1">IFERROR(__xludf.DUMMYFUNCTION("""COMPUTED_VALUE"""),"")</f>
        <v/>
      </c>
      <c r="C160" s="27" t="str">
        <f ca="1">IFERROR(__xludf.DUMMYFUNCTION("""COMPUTED_VALUE"""),"")</f>
        <v/>
      </c>
      <c r="D160" s="27" t="str">
        <f ca="1">IFERROR(__xludf.DUMMYFUNCTION("""COMPUTED_VALUE"""),"")</f>
        <v/>
      </c>
      <c r="E160" s="15" t="str">
        <f ca="1">IFERROR(__xludf.DUMMYFUNCTION("""COMPUTED_VALUE"""),"")</f>
        <v/>
      </c>
      <c r="F160" s="28" t="str">
        <f ca="1">IFERROR(__xludf.DUMMYFUNCTION("""COMPUTED_VALUE"""),"")</f>
        <v/>
      </c>
      <c r="G160" s="16" t="str">
        <f ca="1">IFERROR(__xludf.DUMMYFUNCTION("""COMPUTED_VALUE"""),"")</f>
        <v/>
      </c>
      <c r="H160" s="17" t="str">
        <f ca="1">IFERROR(__xludf.DUMMYFUNCTION("""COMPUTED_VALUE"""),"")</f>
        <v/>
      </c>
      <c r="I160" s="17" t="str">
        <f ca="1">IFERROR(__xludf.DUMMYFUNCTION("""COMPUTED_VALUE"""),"")</f>
        <v/>
      </c>
      <c r="J160" s="17" t="str">
        <f ca="1">IFERROR(__xludf.DUMMYFUNCTION("""COMPUTED_VALUE"""),"")</f>
        <v/>
      </c>
      <c r="K160" s="18" t="str">
        <f ca="1">IFERROR(__xludf.DUMMYFUNCTION("""COMPUTED_VALUE"""),"")</f>
        <v/>
      </c>
      <c r="L160" s="19"/>
      <c r="M160" s="19"/>
      <c r="N160" s="19"/>
      <c r="O160" s="19"/>
      <c r="P160" s="19"/>
      <c r="Q160" s="19"/>
      <c r="R160" s="19"/>
      <c r="S160" s="19"/>
      <c r="T160" s="19"/>
      <c r="U160" s="19"/>
      <c r="V160" s="20"/>
      <c r="W160" s="20"/>
      <c r="X160" s="20"/>
      <c r="Y160" s="20"/>
      <c r="Z160" s="21"/>
      <c r="AA160" s="22"/>
      <c r="AB160" s="23"/>
    </row>
    <row r="161" spans="1:28" ht="13.5" customHeight="1" x14ac:dyDescent="0.35">
      <c r="A161" s="24" t="str">
        <f ca="1">IFERROR(__xludf.DUMMYFUNCTION("""COMPUTED_VALUE"""),"")</f>
        <v/>
      </c>
      <c r="B161" s="28" t="str">
        <f ca="1">IFERROR(__xludf.DUMMYFUNCTION("""COMPUTED_VALUE"""),"")</f>
        <v/>
      </c>
      <c r="C161" s="27" t="str">
        <f ca="1">IFERROR(__xludf.DUMMYFUNCTION("""COMPUTED_VALUE"""),"")</f>
        <v/>
      </c>
      <c r="D161" s="27" t="str">
        <f ca="1">IFERROR(__xludf.DUMMYFUNCTION("""COMPUTED_VALUE"""),"")</f>
        <v/>
      </c>
      <c r="E161" s="15" t="str">
        <f ca="1">IFERROR(__xludf.DUMMYFUNCTION("""COMPUTED_VALUE"""),"")</f>
        <v/>
      </c>
      <c r="F161" s="28" t="str">
        <f ca="1">IFERROR(__xludf.DUMMYFUNCTION("""COMPUTED_VALUE"""),"")</f>
        <v/>
      </c>
      <c r="G161" s="16" t="str">
        <f ca="1">IFERROR(__xludf.DUMMYFUNCTION("""COMPUTED_VALUE"""),"")</f>
        <v/>
      </c>
      <c r="H161" s="17" t="str">
        <f ca="1">IFERROR(__xludf.DUMMYFUNCTION("""COMPUTED_VALUE"""),"")</f>
        <v/>
      </c>
      <c r="I161" s="17" t="str">
        <f ca="1">IFERROR(__xludf.DUMMYFUNCTION("""COMPUTED_VALUE"""),"")</f>
        <v/>
      </c>
      <c r="J161" s="17" t="str">
        <f ca="1">IFERROR(__xludf.DUMMYFUNCTION("""COMPUTED_VALUE"""),"")</f>
        <v/>
      </c>
      <c r="K161" s="18" t="str">
        <f ca="1">IFERROR(__xludf.DUMMYFUNCTION("""COMPUTED_VALUE"""),"")</f>
        <v/>
      </c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V161" s="20"/>
      <c r="W161" s="20"/>
      <c r="X161" s="20"/>
      <c r="Y161" s="20"/>
      <c r="Z161" s="21"/>
      <c r="AA161" s="22"/>
      <c r="AB161" s="23"/>
    </row>
    <row r="162" spans="1:28" ht="13.5" customHeight="1" x14ac:dyDescent="0.35">
      <c r="A162" s="24" t="str">
        <f ca="1">IFERROR(__xludf.DUMMYFUNCTION("""COMPUTED_VALUE"""),"")</f>
        <v/>
      </c>
      <c r="B162" s="28" t="str">
        <f ca="1">IFERROR(__xludf.DUMMYFUNCTION("""COMPUTED_VALUE"""),"")</f>
        <v/>
      </c>
      <c r="C162" s="27" t="str">
        <f ca="1">IFERROR(__xludf.DUMMYFUNCTION("""COMPUTED_VALUE"""),"")</f>
        <v/>
      </c>
      <c r="D162" s="27" t="str">
        <f ca="1">IFERROR(__xludf.DUMMYFUNCTION("""COMPUTED_VALUE"""),"")</f>
        <v/>
      </c>
      <c r="E162" s="15" t="str">
        <f ca="1">IFERROR(__xludf.DUMMYFUNCTION("""COMPUTED_VALUE"""),"")</f>
        <v/>
      </c>
      <c r="F162" s="28" t="str">
        <f ca="1">IFERROR(__xludf.DUMMYFUNCTION("""COMPUTED_VALUE"""),"")</f>
        <v/>
      </c>
      <c r="G162" s="16" t="str">
        <f ca="1">IFERROR(__xludf.DUMMYFUNCTION("""COMPUTED_VALUE"""),"")</f>
        <v/>
      </c>
      <c r="H162" s="17" t="str">
        <f ca="1">IFERROR(__xludf.DUMMYFUNCTION("""COMPUTED_VALUE"""),"")</f>
        <v/>
      </c>
      <c r="I162" s="17" t="str">
        <f ca="1">IFERROR(__xludf.DUMMYFUNCTION("""COMPUTED_VALUE"""),"")</f>
        <v/>
      </c>
      <c r="J162" s="17" t="str">
        <f ca="1">IFERROR(__xludf.DUMMYFUNCTION("""COMPUTED_VALUE"""),"")</f>
        <v/>
      </c>
      <c r="K162" s="18" t="str">
        <f ca="1">IFERROR(__xludf.DUMMYFUNCTION("""COMPUTED_VALUE"""),"")</f>
        <v/>
      </c>
      <c r="L162" s="19"/>
      <c r="M162" s="19"/>
      <c r="N162" s="19"/>
      <c r="O162" s="19"/>
      <c r="P162" s="19"/>
      <c r="Q162" s="19"/>
      <c r="R162" s="19"/>
      <c r="S162" s="19"/>
      <c r="T162" s="19"/>
      <c r="U162" s="19"/>
      <c r="V162" s="20"/>
      <c r="W162" s="20"/>
      <c r="X162" s="20"/>
      <c r="Y162" s="20"/>
      <c r="Z162" s="21"/>
      <c r="AA162" s="22"/>
      <c r="AB162" s="23"/>
    </row>
    <row r="163" spans="1:28" ht="13.5" customHeight="1" x14ac:dyDescent="0.35">
      <c r="A163" s="24" t="str">
        <f ca="1">IFERROR(__xludf.DUMMYFUNCTION("""COMPUTED_VALUE"""),"")</f>
        <v/>
      </c>
      <c r="B163" s="28" t="str">
        <f ca="1">IFERROR(__xludf.DUMMYFUNCTION("""COMPUTED_VALUE"""),"")</f>
        <v/>
      </c>
      <c r="C163" s="27" t="str">
        <f ca="1">IFERROR(__xludf.DUMMYFUNCTION("""COMPUTED_VALUE"""),"")</f>
        <v/>
      </c>
      <c r="D163" s="27" t="str">
        <f ca="1">IFERROR(__xludf.DUMMYFUNCTION("""COMPUTED_VALUE"""),"")</f>
        <v/>
      </c>
      <c r="E163" s="15" t="str">
        <f ca="1">IFERROR(__xludf.DUMMYFUNCTION("""COMPUTED_VALUE"""),"")</f>
        <v/>
      </c>
      <c r="F163" s="28" t="str">
        <f ca="1">IFERROR(__xludf.DUMMYFUNCTION("""COMPUTED_VALUE"""),"")</f>
        <v/>
      </c>
      <c r="G163" s="16" t="str">
        <f ca="1">IFERROR(__xludf.DUMMYFUNCTION("""COMPUTED_VALUE"""),"")</f>
        <v/>
      </c>
      <c r="H163" s="17" t="str">
        <f ca="1">IFERROR(__xludf.DUMMYFUNCTION("""COMPUTED_VALUE"""),"")</f>
        <v/>
      </c>
      <c r="I163" s="17" t="str">
        <f ca="1">IFERROR(__xludf.DUMMYFUNCTION("""COMPUTED_VALUE"""),"")</f>
        <v/>
      </c>
      <c r="J163" s="17" t="str">
        <f ca="1">IFERROR(__xludf.DUMMYFUNCTION("""COMPUTED_VALUE"""),"")</f>
        <v/>
      </c>
      <c r="K163" s="18" t="str">
        <f ca="1">IFERROR(__xludf.DUMMYFUNCTION("""COMPUTED_VALUE"""),"")</f>
        <v/>
      </c>
      <c r="L163" s="19"/>
      <c r="M163" s="19"/>
      <c r="N163" s="19"/>
      <c r="O163" s="19"/>
      <c r="P163" s="19"/>
      <c r="Q163" s="19"/>
      <c r="R163" s="19"/>
      <c r="S163" s="19"/>
      <c r="T163" s="19"/>
      <c r="U163" s="19"/>
      <c r="V163" s="20"/>
      <c r="W163" s="20"/>
      <c r="X163" s="20"/>
      <c r="Y163" s="20"/>
      <c r="Z163" s="21"/>
      <c r="AA163" s="22"/>
      <c r="AB163" s="23"/>
    </row>
    <row r="164" spans="1:28" ht="13.5" customHeight="1" x14ac:dyDescent="0.35">
      <c r="A164" s="24" t="str">
        <f ca="1">IFERROR(__xludf.DUMMYFUNCTION("""COMPUTED_VALUE"""),"")</f>
        <v/>
      </c>
      <c r="B164" s="28" t="str">
        <f ca="1">IFERROR(__xludf.DUMMYFUNCTION("""COMPUTED_VALUE"""),"")</f>
        <v/>
      </c>
      <c r="C164" s="27" t="str">
        <f ca="1">IFERROR(__xludf.DUMMYFUNCTION("""COMPUTED_VALUE"""),"")</f>
        <v/>
      </c>
      <c r="D164" s="27" t="str">
        <f ca="1">IFERROR(__xludf.DUMMYFUNCTION("""COMPUTED_VALUE"""),"")</f>
        <v/>
      </c>
      <c r="E164" s="15" t="str">
        <f ca="1">IFERROR(__xludf.DUMMYFUNCTION("""COMPUTED_VALUE"""),"")</f>
        <v/>
      </c>
      <c r="F164" s="28" t="str">
        <f ca="1">IFERROR(__xludf.DUMMYFUNCTION("""COMPUTED_VALUE"""),"")</f>
        <v/>
      </c>
      <c r="G164" s="16" t="str">
        <f ca="1">IFERROR(__xludf.DUMMYFUNCTION("""COMPUTED_VALUE"""),"")</f>
        <v/>
      </c>
      <c r="H164" s="17" t="str">
        <f ca="1">IFERROR(__xludf.DUMMYFUNCTION("""COMPUTED_VALUE"""),"")</f>
        <v/>
      </c>
      <c r="I164" s="17" t="str">
        <f ca="1">IFERROR(__xludf.DUMMYFUNCTION("""COMPUTED_VALUE"""),"")</f>
        <v/>
      </c>
      <c r="J164" s="17" t="str">
        <f ca="1">IFERROR(__xludf.DUMMYFUNCTION("""COMPUTED_VALUE"""),"")</f>
        <v/>
      </c>
      <c r="K164" s="18" t="str">
        <f ca="1">IFERROR(__xludf.DUMMYFUNCTION("""COMPUTED_VALUE"""),"")</f>
        <v/>
      </c>
      <c r="L164" s="19"/>
      <c r="M164" s="19"/>
      <c r="N164" s="19"/>
      <c r="O164" s="19"/>
      <c r="P164" s="19"/>
      <c r="Q164" s="19"/>
      <c r="R164" s="19"/>
      <c r="S164" s="19"/>
      <c r="T164" s="19"/>
      <c r="U164" s="19"/>
      <c r="V164" s="20"/>
      <c r="W164" s="20"/>
      <c r="X164" s="20"/>
      <c r="Y164" s="20"/>
      <c r="Z164" s="21"/>
      <c r="AA164" s="22"/>
      <c r="AB164" s="23"/>
    </row>
    <row r="165" spans="1:28" ht="13.5" customHeight="1" x14ac:dyDescent="0.35">
      <c r="A165" s="24" t="str">
        <f ca="1">IFERROR(__xludf.DUMMYFUNCTION("""COMPUTED_VALUE"""),"")</f>
        <v/>
      </c>
      <c r="B165" s="28" t="str">
        <f ca="1">IFERROR(__xludf.DUMMYFUNCTION("""COMPUTED_VALUE"""),"")</f>
        <v/>
      </c>
      <c r="C165" s="27" t="str">
        <f ca="1">IFERROR(__xludf.DUMMYFUNCTION("""COMPUTED_VALUE"""),"")</f>
        <v/>
      </c>
      <c r="D165" s="27" t="str">
        <f ca="1">IFERROR(__xludf.DUMMYFUNCTION("""COMPUTED_VALUE"""),"")</f>
        <v/>
      </c>
      <c r="E165" s="15" t="str">
        <f ca="1">IFERROR(__xludf.DUMMYFUNCTION("""COMPUTED_VALUE"""),"")</f>
        <v/>
      </c>
      <c r="F165" s="28" t="str">
        <f ca="1">IFERROR(__xludf.DUMMYFUNCTION("""COMPUTED_VALUE"""),"")</f>
        <v/>
      </c>
      <c r="G165" s="16" t="str">
        <f ca="1">IFERROR(__xludf.DUMMYFUNCTION("""COMPUTED_VALUE"""),"")</f>
        <v/>
      </c>
      <c r="H165" s="17" t="str">
        <f ca="1">IFERROR(__xludf.DUMMYFUNCTION("""COMPUTED_VALUE"""),"")</f>
        <v/>
      </c>
      <c r="I165" s="17" t="str">
        <f ca="1">IFERROR(__xludf.DUMMYFUNCTION("""COMPUTED_VALUE"""),"")</f>
        <v/>
      </c>
      <c r="J165" s="17" t="str">
        <f ca="1">IFERROR(__xludf.DUMMYFUNCTION("""COMPUTED_VALUE"""),"")</f>
        <v/>
      </c>
      <c r="K165" s="18" t="str">
        <f ca="1">IFERROR(__xludf.DUMMYFUNCTION("""COMPUTED_VALUE"""),"")</f>
        <v/>
      </c>
      <c r="L165" s="19"/>
      <c r="M165" s="19"/>
      <c r="N165" s="19"/>
      <c r="O165" s="19"/>
      <c r="P165" s="19"/>
      <c r="Q165" s="19"/>
      <c r="R165" s="19"/>
      <c r="S165" s="19"/>
      <c r="T165" s="19"/>
      <c r="U165" s="19"/>
      <c r="V165" s="20"/>
      <c r="W165" s="20"/>
      <c r="X165" s="20"/>
      <c r="Y165" s="20"/>
      <c r="Z165" s="21"/>
      <c r="AA165" s="22"/>
      <c r="AB165" s="23"/>
    </row>
    <row r="166" spans="1:28" ht="13.5" customHeight="1" x14ac:dyDescent="0.35">
      <c r="A166" s="24" t="str">
        <f ca="1">IFERROR(__xludf.DUMMYFUNCTION("""COMPUTED_VALUE"""),"")</f>
        <v/>
      </c>
      <c r="B166" s="28" t="str">
        <f ca="1">IFERROR(__xludf.DUMMYFUNCTION("""COMPUTED_VALUE"""),"")</f>
        <v/>
      </c>
      <c r="C166" s="27" t="str">
        <f ca="1">IFERROR(__xludf.DUMMYFUNCTION("""COMPUTED_VALUE"""),"")</f>
        <v/>
      </c>
      <c r="D166" s="27" t="str">
        <f ca="1">IFERROR(__xludf.DUMMYFUNCTION("""COMPUTED_VALUE"""),"")</f>
        <v/>
      </c>
      <c r="E166" s="15" t="str">
        <f ca="1">IFERROR(__xludf.DUMMYFUNCTION("""COMPUTED_VALUE"""),"")</f>
        <v/>
      </c>
      <c r="F166" s="28" t="str">
        <f ca="1">IFERROR(__xludf.DUMMYFUNCTION("""COMPUTED_VALUE"""),"")</f>
        <v/>
      </c>
      <c r="G166" s="16" t="str">
        <f ca="1">IFERROR(__xludf.DUMMYFUNCTION("""COMPUTED_VALUE"""),"")</f>
        <v/>
      </c>
      <c r="H166" s="17" t="str">
        <f ca="1">IFERROR(__xludf.DUMMYFUNCTION("""COMPUTED_VALUE"""),"")</f>
        <v/>
      </c>
      <c r="I166" s="17" t="str">
        <f ca="1">IFERROR(__xludf.DUMMYFUNCTION("""COMPUTED_VALUE"""),"")</f>
        <v/>
      </c>
      <c r="J166" s="17" t="str">
        <f ca="1">IFERROR(__xludf.DUMMYFUNCTION("""COMPUTED_VALUE"""),"")</f>
        <v/>
      </c>
      <c r="K166" s="18" t="str">
        <f ca="1">IFERROR(__xludf.DUMMYFUNCTION("""COMPUTED_VALUE"""),"")</f>
        <v/>
      </c>
      <c r="L166" s="19"/>
      <c r="M166" s="19"/>
      <c r="N166" s="19"/>
      <c r="O166" s="19"/>
      <c r="P166" s="19"/>
      <c r="Q166" s="19"/>
      <c r="R166" s="19"/>
      <c r="S166" s="19"/>
      <c r="T166" s="19"/>
      <c r="U166" s="19"/>
      <c r="V166" s="20"/>
      <c r="W166" s="20"/>
      <c r="X166" s="20"/>
      <c r="Y166" s="20"/>
      <c r="Z166" s="21"/>
      <c r="AA166" s="22"/>
      <c r="AB166" s="23"/>
    </row>
    <row r="167" spans="1:28" ht="13.5" customHeight="1" x14ac:dyDescent="0.35">
      <c r="A167" s="24" t="str">
        <f ca="1">IFERROR(__xludf.DUMMYFUNCTION("""COMPUTED_VALUE"""),"")</f>
        <v/>
      </c>
      <c r="B167" s="28" t="str">
        <f ca="1">IFERROR(__xludf.DUMMYFUNCTION("""COMPUTED_VALUE"""),"")</f>
        <v/>
      </c>
      <c r="C167" s="27" t="str">
        <f ca="1">IFERROR(__xludf.DUMMYFUNCTION("""COMPUTED_VALUE"""),"")</f>
        <v/>
      </c>
      <c r="D167" s="27" t="str">
        <f ca="1">IFERROR(__xludf.DUMMYFUNCTION("""COMPUTED_VALUE"""),"")</f>
        <v/>
      </c>
      <c r="E167" s="15" t="str">
        <f ca="1">IFERROR(__xludf.DUMMYFUNCTION("""COMPUTED_VALUE"""),"")</f>
        <v/>
      </c>
      <c r="F167" s="28" t="str">
        <f ca="1">IFERROR(__xludf.DUMMYFUNCTION("""COMPUTED_VALUE"""),"")</f>
        <v/>
      </c>
      <c r="G167" s="16" t="str">
        <f ca="1">IFERROR(__xludf.DUMMYFUNCTION("""COMPUTED_VALUE"""),"")</f>
        <v/>
      </c>
      <c r="H167" s="17" t="str">
        <f ca="1">IFERROR(__xludf.DUMMYFUNCTION("""COMPUTED_VALUE"""),"")</f>
        <v/>
      </c>
      <c r="I167" s="17" t="str">
        <f ca="1">IFERROR(__xludf.DUMMYFUNCTION("""COMPUTED_VALUE"""),"")</f>
        <v/>
      </c>
      <c r="J167" s="17" t="str">
        <f ca="1">IFERROR(__xludf.DUMMYFUNCTION("""COMPUTED_VALUE"""),"")</f>
        <v/>
      </c>
      <c r="K167" s="18" t="str">
        <f ca="1">IFERROR(__xludf.DUMMYFUNCTION("""COMPUTED_VALUE"""),"")</f>
        <v/>
      </c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20"/>
      <c r="W167" s="20"/>
      <c r="X167" s="20"/>
      <c r="Y167" s="20"/>
      <c r="Z167" s="21"/>
      <c r="AA167" s="22"/>
      <c r="AB167" s="23"/>
    </row>
    <row r="168" spans="1:28" ht="13.5" customHeight="1" x14ac:dyDescent="0.35">
      <c r="A168" s="24" t="str">
        <f ca="1">IFERROR(__xludf.DUMMYFUNCTION("""COMPUTED_VALUE"""),"")</f>
        <v/>
      </c>
      <c r="B168" s="28" t="str">
        <f ca="1">IFERROR(__xludf.DUMMYFUNCTION("""COMPUTED_VALUE"""),"")</f>
        <v/>
      </c>
      <c r="C168" s="27" t="str">
        <f ca="1">IFERROR(__xludf.DUMMYFUNCTION("""COMPUTED_VALUE"""),"")</f>
        <v/>
      </c>
      <c r="D168" s="27" t="str">
        <f ca="1">IFERROR(__xludf.DUMMYFUNCTION("""COMPUTED_VALUE"""),"")</f>
        <v/>
      </c>
      <c r="E168" s="15" t="str">
        <f ca="1">IFERROR(__xludf.DUMMYFUNCTION("""COMPUTED_VALUE"""),"")</f>
        <v/>
      </c>
      <c r="F168" s="28" t="str">
        <f ca="1">IFERROR(__xludf.DUMMYFUNCTION("""COMPUTED_VALUE"""),"")</f>
        <v/>
      </c>
      <c r="G168" s="16" t="str">
        <f ca="1">IFERROR(__xludf.DUMMYFUNCTION("""COMPUTED_VALUE"""),"")</f>
        <v/>
      </c>
      <c r="H168" s="17" t="str">
        <f ca="1">IFERROR(__xludf.DUMMYFUNCTION("""COMPUTED_VALUE"""),"")</f>
        <v/>
      </c>
      <c r="I168" s="17" t="str">
        <f ca="1">IFERROR(__xludf.DUMMYFUNCTION("""COMPUTED_VALUE"""),"")</f>
        <v/>
      </c>
      <c r="J168" s="17" t="str">
        <f ca="1">IFERROR(__xludf.DUMMYFUNCTION("""COMPUTED_VALUE"""),"")</f>
        <v/>
      </c>
      <c r="K168" s="18" t="str">
        <f ca="1">IFERROR(__xludf.DUMMYFUNCTION("""COMPUTED_VALUE"""),"")</f>
        <v/>
      </c>
      <c r="L168" s="19"/>
      <c r="M168" s="19"/>
      <c r="N168" s="19"/>
      <c r="O168" s="19"/>
      <c r="P168" s="19"/>
      <c r="Q168" s="19"/>
      <c r="R168" s="19"/>
      <c r="S168" s="19"/>
      <c r="T168" s="19"/>
      <c r="U168" s="19"/>
      <c r="V168" s="20"/>
      <c r="W168" s="20"/>
      <c r="X168" s="20"/>
      <c r="Y168" s="20"/>
      <c r="Z168" s="21"/>
      <c r="AA168" s="22"/>
      <c r="AB168" s="23"/>
    </row>
    <row r="169" spans="1:28" ht="13.5" customHeight="1" x14ac:dyDescent="0.35">
      <c r="A169" s="24" t="str">
        <f ca="1">IFERROR(__xludf.DUMMYFUNCTION("""COMPUTED_VALUE"""),"")</f>
        <v/>
      </c>
      <c r="B169" s="28" t="str">
        <f ca="1">IFERROR(__xludf.DUMMYFUNCTION("""COMPUTED_VALUE"""),"")</f>
        <v/>
      </c>
      <c r="C169" s="27" t="str">
        <f ca="1">IFERROR(__xludf.DUMMYFUNCTION("""COMPUTED_VALUE"""),"")</f>
        <v/>
      </c>
      <c r="D169" s="27" t="str">
        <f ca="1">IFERROR(__xludf.DUMMYFUNCTION("""COMPUTED_VALUE"""),"")</f>
        <v/>
      </c>
      <c r="E169" s="15" t="str">
        <f ca="1">IFERROR(__xludf.DUMMYFUNCTION("""COMPUTED_VALUE"""),"")</f>
        <v/>
      </c>
      <c r="F169" s="28" t="str">
        <f ca="1">IFERROR(__xludf.DUMMYFUNCTION("""COMPUTED_VALUE"""),"")</f>
        <v/>
      </c>
      <c r="G169" s="16" t="str">
        <f ca="1">IFERROR(__xludf.DUMMYFUNCTION("""COMPUTED_VALUE"""),"")</f>
        <v/>
      </c>
      <c r="H169" s="17" t="str">
        <f ca="1">IFERROR(__xludf.DUMMYFUNCTION("""COMPUTED_VALUE"""),"")</f>
        <v/>
      </c>
      <c r="I169" s="17" t="str">
        <f ca="1">IFERROR(__xludf.DUMMYFUNCTION("""COMPUTED_VALUE"""),"")</f>
        <v/>
      </c>
      <c r="J169" s="17" t="str">
        <f ca="1">IFERROR(__xludf.DUMMYFUNCTION("""COMPUTED_VALUE"""),"")</f>
        <v/>
      </c>
      <c r="K169" s="18" t="str">
        <f ca="1">IFERROR(__xludf.DUMMYFUNCTION("""COMPUTED_VALUE"""),"")</f>
        <v/>
      </c>
      <c r="L169" s="19"/>
      <c r="M169" s="19"/>
      <c r="N169" s="19"/>
      <c r="O169" s="19"/>
      <c r="P169" s="19"/>
      <c r="Q169" s="19"/>
      <c r="R169" s="19"/>
      <c r="S169" s="19"/>
      <c r="T169" s="19"/>
      <c r="U169" s="19"/>
      <c r="V169" s="20"/>
      <c r="W169" s="20"/>
      <c r="X169" s="20"/>
      <c r="Y169" s="20"/>
      <c r="Z169" s="21"/>
      <c r="AA169" s="22"/>
      <c r="AB169" s="23"/>
    </row>
    <row r="170" spans="1:28" ht="13.5" customHeight="1" x14ac:dyDescent="0.35">
      <c r="A170" s="24" t="str">
        <f ca="1">IFERROR(__xludf.DUMMYFUNCTION("""COMPUTED_VALUE"""),"")</f>
        <v/>
      </c>
      <c r="B170" s="28" t="str">
        <f ca="1">IFERROR(__xludf.DUMMYFUNCTION("""COMPUTED_VALUE"""),"")</f>
        <v/>
      </c>
      <c r="C170" s="27" t="str">
        <f ca="1">IFERROR(__xludf.DUMMYFUNCTION("""COMPUTED_VALUE"""),"")</f>
        <v/>
      </c>
      <c r="D170" s="27" t="str">
        <f ca="1">IFERROR(__xludf.DUMMYFUNCTION("""COMPUTED_VALUE"""),"")</f>
        <v/>
      </c>
      <c r="E170" s="15" t="str">
        <f ca="1">IFERROR(__xludf.DUMMYFUNCTION("""COMPUTED_VALUE"""),"")</f>
        <v/>
      </c>
      <c r="F170" s="28" t="str">
        <f ca="1">IFERROR(__xludf.DUMMYFUNCTION("""COMPUTED_VALUE"""),"")</f>
        <v/>
      </c>
      <c r="G170" s="16" t="str">
        <f ca="1">IFERROR(__xludf.DUMMYFUNCTION("""COMPUTED_VALUE"""),"")</f>
        <v/>
      </c>
      <c r="H170" s="17" t="str">
        <f ca="1">IFERROR(__xludf.DUMMYFUNCTION("""COMPUTED_VALUE"""),"")</f>
        <v/>
      </c>
      <c r="I170" s="17" t="str">
        <f ca="1">IFERROR(__xludf.DUMMYFUNCTION("""COMPUTED_VALUE"""),"")</f>
        <v/>
      </c>
      <c r="J170" s="17" t="str">
        <f ca="1">IFERROR(__xludf.DUMMYFUNCTION("""COMPUTED_VALUE"""),"")</f>
        <v/>
      </c>
      <c r="K170" s="18" t="str">
        <f ca="1">IFERROR(__xludf.DUMMYFUNCTION("""COMPUTED_VALUE"""),"")</f>
        <v/>
      </c>
      <c r="L170" s="19"/>
      <c r="M170" s="19"/>
      <c r="N170" s="19"/>
      <c r="O170" s="19"/>
      <c r="P170" s="19"/>
      <c r="Q170" s="19"/>
      <c r="R170" s="19"/>
      <c r="S170" s="19"/>
      <c r="T170" s="19"/>
      <c r="U170" s="19"/>
      <c r="V170" s="20"/>
      <c r="W170" s="20"/>
      <c r="X170" s="20"/>
      <c r="Y170" s="20"/>
      <c r="Z170" s="21"/>
      <c r="AA170" s="22"/>
      <c r="AB170" s="22"/>
    </row>
    <row r="171" spans="1:28" ht="13.5" customHeight="1" x14ac:dyDescent="0.35">
      <c r="A171" s="24" t="str">
        <f ca="1">IFERROR(__xludf.DUMMYFUNCTION("""COMPUTED_VALUE"""),"")</f>
        <v/>
      </c>
      <c r="B171" s="28" t="str">
        <f ca="1">IFERROR(__xludf.DUMMYFUNCTION("""COMPUTED_VALUE"""),"")</f>
        <v/>
      </c>
      <c r="C171" s="27" t="str">
        <f ca="1">IFERROR(__xludf.DUMMYFUNCTION("""COMPUTED_VALUE"""),"")</f>
        <v/>
      </c>
      <c r="D171" s="27" t="str">
        <f ca="1">IFERROR(__xludf.DUMMYFUNCTION("""COMPUTED_VALUE"""),"")</f>
        <v/>
      </c>
      <c r="E171" s="15" t="str">
        <f ca="1">IFERROR(__xludf.DUMMYFUNCTION("""COMPUTED_VALUE"""),"")</f>
        <v/>
      </c>
      <c r="F171" s="28" t="str">
        <f ca="1">IFERROR(__xludf.DUMMYFUNCTION("""COMPUTED_VALUE"""),"")</f>
        <v/>
      </c>
      <c r="G171" s="16" t="str">
        <f ca="1">IFERROR(__xludf.DUMMYFUNCTION("""COMPUTED_VALUE"""),"")</f>
        <v/>
      </c>
      <c r="H171" s="17" t="str">
        <f ca="1">IFERROR(__xludf.DUMMYFUNCTION("""COMPUTED_VALUE"""),"")</f>
        <v/>
      </c>
      <c r="I171" s="17" t="str">
        <f ca="1">IFERROR(__xludf.DUMMYFUNCTION("""COMPUTED_VALUE"""),"")</f>
        <v/>
      </c>
      <c r="J171" s="17" t="str">
        <f ca="1">IFERROR(__xludf.DUMMYFUNCTION("""COMPUTED_VALUE"""),"")</f>
        <v/>
      </c>
      <c r="K171" s="18" t="str">
        <f ca="1">IFERROR(__xludf.DUMMYFUNCTION("""COMPUTED_VALUE"""),"")</f>
        <v/>
      </c>
      <c r="L171" s="19"/>
      <c r="M171" s="19"/>
      <c r="N171" s="19"/>
      <c r="O171" s="19"/>
      <c r="P171" s="19"/>
      <c r="Q171" s="19"/>
      <c r="R171" s="19"/>
      <c r="S171" s="19"/>
      <c r="T171" s="19"/>
      <c r="U171" s="19"/>
      <c r="V171" s="20"/>
      <c r="W171" s="20"/>
      <c r="X171" s="20"/>
      <c r="Y171" s="20"/>
      <c r="Z171" s="21"/>
      <c r="AA171" s="22"/>
      <c r="AB171" s="22"/>
    </row>
    <row r="172" spans="1:28" ht="13.5" customHeight="1" x14ac:dyDescent="0.35">
      <c r="A172" s="24" t="str">
        <f ca="1">IFERROR(__xludf.DUMMYFUNCTION("""COMPUTED_VALUE"""),"")</f>
        <v/>
      </c>
      <c r="B172" s="28" t="str">
        <f ca="1">IFERROR(__xludf.DUMMYFUNCTION("""COMPUTED_VALUE"""),"")</f>
        <v/>
      </c>
      <c r="C172" s="27" t="str">
        <f ca="1">IFERROR(__xludf.DUMMYFUNCTION("""COMPUTED_VALUE"""),"")</f>
        <v/>
      </c>
      <c r="D172" s="27" t="str">
        <f ca="1">IFERROR(__xludf.DUMMYFUNCTION("""COMPUTED_VALUE"""),"")</f>
        <v/>
      </c>
      <c r="E172" s="15" t="str">
        <f ca="1">IFERROR(__xludf.DUMMYFUNCTION("""COMPUTED_VALUE"""),"")</f>
        <v/>
      </c>
      <c r="F172" s="28" t="str">
        <f ca="1">IFERROR(__xludf.DUMMYFUNCTION("""COMPUTED_VALUE"""),"")</f>
        <v/>
      </c>
      <c r="G172" s="16" t="str">
        <f ca="1">IFERROR(__xludf.DUMMYFUNCTION("""COMPUTED_VALUE"""),"")</f>
        <v/>
      </c>
      <c r="H172" s="17" t="str">
        <f ca="1">IFERROR(__xludf.DUMMYFUNCTION("""COMPUTED_VALUE"""),"")</f>
        <v/>
      </c>
      <c r="I172" s="17" t="str">
        <f ca="1">IFERROR(__xludf.DUMMYFUNCTION("""COMPUTED_VALUE"""),"")</f>
        <v/>
      </c>
      <c r="J172" s="17" t="str">
        <f ca="1">IFERROR(__xludf.DUMMYFUNCTION("""COMPUTED_VALUE"""),"")</f>
        <v/>
      </c>
      <c r="K172" s="18" t="str">
        <f ca="1">IFERROR(__xludf.DUMMYFUNCTION("""COMPUTED_VALUE"""),"")</f>
        <v/>
      </c>
      <c r="L172" s="19"/>
      <c r="M172" s="19"/>
      <c r="N172" s="19"/>
      <c r="O172" s="19"/>
      <c r="P172" s="19"/>
      <c r="Q172" s="19"/>
      <c r="R172" s="19"/>
      <c r="S172" s="19"/>
      <c r="T172" s="19"/>
      <c r="U172" s="19"/>
      <c r="V172" s="20"/>
      <c r="W172" s="20"/>
      <c r="X172" s="20"/>
      <c r="Y172" s="20"/>
      <c r="Z172" s="21"/>
      <c r="AA172" s="22"/>
      <c r="AB172" s="22"/>
    </row>
    <row r="173" spans="1:28" ht="13.5" customHeight="1" x14ac:dyDescent="0.35">
      <c r="A173" s="24" t="str">
        <f ca="1">IFERROR(__xludf.DUMMYFUNCTION("""COMPUTED_VALUE"""),"")</f>
        <v/>
      </c>
      <c r="B173" s="28" t="str">
        <f ca="1">IFERROR(__xludf.DUMMYFUNCTION("""COMPUTED_VALUE"""),"")</f>
        <v/>
      </c>
      <c r="C173" s="27" t="str">
        <f ca="1">IFERROR(__xludf.DUMMYFUNCTION("""COMPUTED_VALUE"""),"")</f>
        <v/>
      </c>
      <c r="D173" s="27" t="str">
        <f ca="1">IFERROR(__xludf.DUMMYFUNCTION("""COMPUTED_VALUE"""),"")</f>
        <v/>
      </c>
      <c r="E173" s="15" t="str">
        <f ca="1">IFERROR(__xludf.DUMMYFUNCTION("""COMPUTED_VALUE"""),"")</f>
        <v/>
      </c>
      <c r="F173" s="28" t="str">
        <f ca="1">IFERROR(__xludf.DUMMYFUNCTION("""COMPUTED_VALUE"""),"")</f>
        <v/>
      </c>
      <c r="G173" s="16" t="str">
        <f ca="1">IFERROR(__xludf.DUMMYFUNCTION("""COMPUTED_VALUE"""),"")</f>
        <v/>
      </c>
      <c r="H173" s="17" t="str">
        <f ca="1">IFERROR(__xludf.DUMMYFUNCTION("""COMPUTED_VALUE"""),"")</f>
        <v/>
      </c>
      <c r="I173" s="17" t="str">
        <f ca="1">IFERROR(__xludf.DUMMYFUNCTION("""COMPUTED_VALUE"""),"")</f>
        <v/>
      </c>
      <c r="J173" s="17" t="str">
        <f ca="1">IFERROR(__xludf.DUMMYFUNCTION("""COMPUTED_VALUE"""),"")</f>
        <v/>
      </c>
      <c r="K173" s="18" t="str">
        <f ca="1">IFERROR(__xludf.DUMMYFUNCTION("""COMPUTED_VALUE"""),"")</f>
        <v/>
      </c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20"/>
      <c r="W173" s="20"/>
      <c r="X173" s="20"/>
      <c r="Y173" s="20"/>
      <c r="Z173" s="21"/>
      <c r="AA173" s="22"/>
      <c r="AB173" s="22"/>
    </row>
    <row r="174" spans="1:28" ht="13.5" customHeight="1" x14ac:dyDescent="0.35">
      <c r="A174" s="24" t="str">
        <f ca="1">IFERROR(__xludf.DUMMYFUNCTION("""COMPUTED_VALUE"""),"")</f>
        <v/>
      </c>
      <c r="B174" s="28" t="str">
        <f ca="1">IFERROR(__xludf.DUMMYFUNCTION("""COMPUTED_VALUE"""),"")</f>
        <v/>
      </c>
      <c r="C174" s="27" t="str">
        <f ca="1">IFERROR(__xludf.DUMMYFUNCTION("""COMPUTED_VALUE"""),"")</f>
        <v/>
      </c>
      <c r="D174" s="27" t="str">
        <f ca="1">IFERROR(__xludf.DUMMYFUNCTION("""COMPUTED_VALUE"""),"")</f>
        <v/>
      </c>
      <c r="E174" s="15" t="str">
        <f ca="1">IFERROR(__xludf.DUMMYFUNCTION("""COMPUTED_VALUE"""),"")</f>
        <v/>
      </c>
      <c r="F174" s="28" t="str">
        <f ca="1">IFERROR(__xludf.DUMMYFUNCTION("""COMPUTED_VALUE"""),"")</f>
        <v/>
      </c>
      <c r="G174" s="16" t="str">
        <f ca="1">IFERROR(__xludf.DUMMYFUNCTION("""COMPUTED_VALUE"""),"")</f>
        <v/>
      </c>
      <c r="H174" s="17" t="str">
        <f ca="1">IFERROR(__xludf.DUMMYFUNCTION("""COMPUTED_VALUE"""),"")</f>
        <v/>
      </c>
      <c r="I174" s="17" t="str">
        <f ca="1">IFERROR(__xludf.DUMMYFUNCTION("""COMPUTED_VALUE"""),"")</f>
        <v/>
      </c>
      <c r="J174" s="17" t="str">
        <f ca="1">IFERROR(__xludf.DUMMYFUNCTION("""COMPUTED_VALUE"""),"")</f>
        <v/>
      </c>
      <c r="K174" s="18" t="str">
        <f ca="1">IFERROR(__xludf.DUMMYFUNCTION("""COMPUTED_VALUE"""),"")</f>
        <v/>
      </c>
      <c r="L174" s="19"/>
      <c r="M174" s="19"/>
      <c r="N174" s="19"/>
      <c r="O174" s="19"/>
      <c r="P174" s="19"/>
      <c r="Q174" s="19"/>
      <c r="R174" s="19"/>
      <c r="S174" s="19"/>
      <c r="T174" s="19"/>
      <c r="U174" s="19"/>
      <c r="V174" s="20"/>
      <c r="W174" s="20"/>
      <c r="X174" s="20"/>
      <c r="Y174" s="20"/>
      <c r="Z174" s="21"/>
      <c r="AA174" s="22"/>
      <c r="AB174" s="22"/>
    </row>
    <row r="175" spans="1:28" ht="13.5" customHeight="1" x14ac:dyDescent="0.35">
      <c r="A175" s="24" t="str">
        <f ca="1">IFERROR(__xludf.DUMMYFUNCTION("""COMPUTED_VALUE"""),"")</f>
        <v/>
      </c>
      <c r="B175" s="28" t="str">
        <f ca="1">IFERROR(__xludf.DUMMYFUNCTION("""COMPUTED_VALUE"""),"")</f>
        <v/>
      </c>
      <c r="C175" s="27" t="str">
        <f ca="1">IFERROR(__xludf.DUMMYFUNCTION("""COMPUTED_VALUE"""),"")</f>
        <v/>
      </c>
      <c r="D175" s="27" t="str">
        <f ca="1">IFERROR(__xludf.DUMMYFUNCTION("""COMPUTED_VALUE"""),"")</f>
        <v/>
      </c>
      <c r="E175" s="15" t="str">
        <f ca="1">IFERROR(__xludf.DUMMYFUNCTION("""COMPUTED_VALUE"""),"")</f>
        <v/>
      </c>
      <c r="F175" s="28" t="str">
        <f ca="1">IFERROR(__xludf.DUMMYFUNCTION("""COMPUTED_VALUE"""),"")</f>
        <v/>
      </c>
      <c r="G175" s="16" t="str">
        <f ca="1">IFERROR(__xludf.DUMMYFUNCTION("""COMPUTED_VALUE"""),"")</f>
        <v/>
      </c>
      <c r="H175" s="17" t="str">
        <f ca="1">IFERROR(__xludf.DUMMYFUNCTION("""COMPUTED_VALUE"""),"")</f>
        <v/>
      </c>
      <c r="I175" s="17" t="str">
        <f ca="1">IFERROR(__xludf.DUMMYFUNCTION("""COMPUTED_VALUE"""),"")</f>
        <v/>
      </c>
      <c r="J175" s="17" t="str">
        <f ca="1">IFERROR(__xludf.DUMMYFUNCTION("""COMPUTED_VALUE"""),"")</f>
        <v/>
      </c>
      <c r="K175" s="18" t="str">
        <f ca="1">IFERROR(__xludf.DUMMYFUNCTION("""COMPUTED_VALUE"""),"")</f>
        <v/>
      </c>
      <c r="L175" s="19"/>
      <c r="M175" s="19"/>
      <c r="N175" s="19"/>
      <c r="O175" s="19"/>
      <c r="P175" s="19"/>
      <c r="Q175" s="19"/>
      <c r="R175" s="19"/>
      <c r="S175" s="19"/>
      <c r="T175" s="19"/>
      <c r="U175" s="19"/>
      <c r="V175" s="20"/>
      <c r="W175" s="20"/>
      <c r="X175" s="20"/>
      <c r="Y175" s="20"/>
      <c r="Z175" s="21"/>
      <c r="AA175" s="22"/>
      <c r="AB175" s="22"/>
    </row>
    <row r="176" spans="1:28" ht="13.5" customHeight="1" x14ac:dyDescent="0.35">
      <c r="A176" s="24" t="str">
        <f ca="1">IFERROR(__xludf.DUMMYFUNCTION("""COMPUTED_VALUE"""),"")</f>
        <v/>
      </c>
      <c r="B176" s="28" t="str">
        <f ca="1">IFERROR(__xludf.DUMMYFUNCTION("""COMPUTED_VALUE"""),"")</f>
        <v/>
      </c>
      <c r="C176" s="27" t="str">
        <f ca="1">IFERROR(__xludf.DUMMYFUNCTION("""COMPUTED_VALUE"""),"")</f>
        <v/>
      </c>
      <c r="D176" s="27" t="str">
        <f ca="1">IFERROR(__xludf.DUMMYFUNCTION("""COMPUTED_VALUE"""),"")</f>
        <v/>
      </c>
      <c r="E176" s="15" t="str">
        <f ca="1">IFERROR(__xludf.DUMMYFUNCTION("""COMPUTED_VALUE"""),"")</f>
        <v/>
      </c>
      <c r="F176" s="28" t="str">
        <f ca="1">IFERROR(__xludf.DUMMYFUNCTION("""COMPUTED_VALUE"""),"")</f>
        <v/>
      </c>
      <c r="G176" s="16" t="str">
        <f ca="1">IFERROR(__xludf.DUMMYFUNCTION("""COMPUTED_VALUE"""),"")</f>
        <v/>
      </c>
      <c r="H176" s="17" t="str">
        <f ca="1">IFERROR(__xludf.DUMMYFUNCTION("""COMPUTED_VALUE"""),"")</f>
        <v/>
      </c>
      <c r="I176" s="17" t="str">
        <f ca="1">IFERROR(__xludf.DUMMYFUNCTION("""COMPUTED_VALUE"""),"")</f>
        <v/>
      </c>
      <c r="J176" s="17" t="str">
        <f ca="1">IFERROR(__xludf.DUMMYFUNCTION("""COMPUTED_VALUE"""),"")</f>
        <v/>
      </c>
      <c r="K176" s="18" t="str">
        <f ca="1">IFERROR(__xludf.DUMMYFUNCTION("""COMPUTED_VALUE"""),"")</f>
        <v/>
      </c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V176" s="20"/>
      <c r="W176" s="20"/>
      <c r="X176" s="20"/>
      <c r="Y176" s="20"/>
      <c r="Z176" s="21"/>
      <c r="AA176" s="22"/>
      <c r="AB176" s="22"/>
    </row>
    <row r="177" spans="1:28" ht="13.5" customHeight="1" x14ac:dyDescent="0.35">
      <c r="A177" s="24" t="str">
        <f ca="1">IFERROR(__xludf.DUMMYFUNCTION("""COMPUTED_VALUE"""),"")</f>
        <v/>
      </c>
      <c r="B177" s="28" t="str">
        <f ca="1">IFERROR(__xludf.DUMMYFUNCTION("""COMPUTED_VALUE"""),"")</f>
        <v/>
      </c>
      <c r="C177" s="27" t="str">
        <f ca="1">IFERROR(__xludf.DUMMYFUNCTION("""COMPUTED_VALUE"""),"")</f>
        <v/>
      </c>
      <c r="D177" s="27" t="str">
        <f ca="1">IFERROR(__xludf.DUMMYFUNCTION("""COMPUTED_VALUE"""),"")</f>
        <v/>
      </c>
      <c r="E177" s="15" t="str">
        <f ca="1">IFERROR(__xludf.DUMMYFUNCTION("""COMPUTED_VALUE"""),"")</f>
        <v/>
      </c>
      <c r="F177" s="28" t="str">
        <f ca="1">IFERROR(__xludf.DUMMYFUNCTION("""COMPUTED_VALUE"""),"")</f>
        <v/>
      </c>
      <c r="G177" s="16" t="str">
        <f ca="1">IFERROR(__xludf.DUMMYFUNCTION("""COMPUTED_VALUE"""),"")</f>
        <v/>
      </c>
      <c r="H177" s="17" t="str">
        <f ca="1">IFERROR(__xludf.DUMMYFUNCTION("""COMPUTED_VALUE"""),"")</f>
        <v/>
      </c>
      <c r="I177" s="17" t="str">
        <f ca="1">IFERROR(__xludf.DUMMYFUNCTION("""COMPUTED_VALUE"""),"")</f>
        <v/>
      </c>
      <c r="J177" s="17" t="str">
        <f ca="1">IFERROR(__xludf.DUMMYFUNCTION("""COMPUTED_VALUE"""),"")</f>
        <v/>
      </c>
      <c r="K177" s="18" t="str">
        <f ca="1">IFERROR(__xludf.DUMMYFUNCTION("""COMPUTED_VALUE"""),"")</f>
        <v/>
      </c>
      <c r="L177" s="19"/>
      <c r="M177" s="19"/>
      <c r="N177" s="19"/>
      <c r="O177" s="19"/>
      <c r="P177" s="19"/>
      <c r="Q177" s="19"/>
      <c r="R177" s="19"/>
      <c r="S177" s="19"/>
      <c r="T177" s="19"/>
      <c r="U177" s="19"/>
      <c r="V177" s="20"/>
      <c r="W177" s="20"/>
      <c r="X177" s="20"/>
      <c r="Y177" s="20"/>
      <c r="Z177" s="21"/>
      <c r="AA177" s="22"/>
      <c r="AB177" s="22"/>
    </row>
    <row r="178" spans="1:28" ht="13.5" customHeight="1" x14ac:dyDescent="0.35">
      <c r="A178" s="24" t="str">
        <f ca="1">IFERROR(__xludf.DUMMYFUNCTION("""COMPUTED_VALUE"""),"")</f>
        <v/>
      </c>
      <c r="B178" s="28" t="str">
        <f ca="1">IFERROR(__xludf.DUMMYFUNCTION("""COMPUTED_VALUE"""),"")</f>
        <v/>
      </c>
      <c r="C178" s="27" t="str">
        <f ca="1">IFERROR(__xludf.DUMMYFUNCTION("""COMPUTED_VALUE"""),"")</f>
        <v/>
      </c>
      <c r="D178" s="27" t="str">
        <f ca="1">IFERROR(__xludf.DUMMYFUNCTION("""COMPUTED_VALUE"""),"")</f>
        <v/>
      </c>
      <c r="E178" s="15" t="str">
        <f ca="1">IFERROR(__xludf.DUMMYFUNCTION("""COMPUTED_VALUE"""),"")</f>
        <v/>
      </c>
      <c r="F178" s="28" t="str">
        <f ca="1">IFERROR(__xludf.DUMMYFUNCTION("""COMPUTED_VALUE"""),"")</f>
        <v/>
      </c>
      <c r="G178" s="16" t="str">
        <f ca="1">IFERROR(__xludf.DUMMYFUNCTION("""COMPUTED_VALUE"""),"")</f>
        <v/>
      </c>
      <c r="H178" s="17" t="str">
        <f ca="1">IFERROR(__xludf.DUMMYFUNCTION("""COMPUTED_VALUE"""),"")</f>
        <v/>
      </c>
      <c r="I178" s="17" t="str">
        <f ca="1">IFERROR(__xludf.DUMMYFUNCTION("""COMPUTED_VALUE"""),"")</f>
        <v/>
      </c>
      <c r="J178" s="17" t="str">
        <f ca="1">IFERROR(__xludf.DUMMYFUNCTION("""COMPUTED_VALUE"""),"")</f>
        <v/>
      </c>
      <c r="K178" s="18" t="str">
        <f ca="1">IFERROR(__xludf.DUMMYFUNCTION("""COMPUTED_VALUE"""),"")</f>
        <v/>
      </c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V178" s="20"/>
      <c r="W178" s="20"/>
      <c r="X178" s="20"/>
      <c r="Y178" s="20"/>
      <c r="Z178" s="21"/>
      <c r="AA178" s="22"/>
      <c r="AB178" s="22"/>
    </row>
    <row r="179" spans="1:28" ht="13.5" customHeight="1" x14ac:dyDescent="0.35">
      <c r="A179" s="24" t="str">
        <f ca="1">IFERROR(__xludf.DUMMYFUNCTION("""COMPUTED_VALUE"""),"")</f>
        <v/>
      </c>
      <c r="B179" s="28" t="str">
        <f ca="1">IFERROR(__xludf.DUMMYFUNCTION("""COMPUTED_VALUE"""),"")</f>
        <v/>
      </c>
      <c r="C179" s="27" t="str">
        <f ca="1">IFERROR(__xludf.DUMMYFUNCTION("""COMPUTED_VALUE"""),"")</f>
        <v/>
      </c>
      <c r="D179" s="27" t="str">
        <f ca="1">IFERROR(__xludf.DUMMYFUNCTION("""COMPUTED_VALUE"""),"")</f>
        <v/>
      </c>
      <c r="E179" s="15" t="str">
        <f ca="1">IFERROR(__xludf.DUMMYFUNCTION("""COMPUTED_VALUE"""),"")</f>
        <v/>
      </c>
      <c r="F179" s="28" t="str">
        <f ca="1">IFERROR(__xludf.DUMMYFUNCTION("""COMPUTED_VALUE"""),"")</f>
        <v/>
      </c>
      <c r="G179" s="16" t="str">
        <f ca="1">IFERROR(__xludf.DUMMYFUNCTION("""COMPUTED_VALUE"""),"")</f>
        <v/>
      </c>
      <c r="H179" s="17" t="str">
        <f ca="1">IFERROR(__xludf.DUMMYFUNCTION("""COMPUTED_VALUE"""),"")</f>
        <v/>
      </c>
      <c r="I179" s="17" t="str">
        <f ca="1">IFERROR(__xludf.DUMMYFUNCTION("""COMPUTED_VALUE"""),"")</f>
        <v/>
      </c>
      <c r="J179" s="17" t="str">
        <f ca="1">IFERROR(__xludf.DUMMYFUNCTION("""COMPUTED_VALUE"""),"")</f>
        <v/>
      </c>
      <c r="K179" s="18" t="str">
        <f ca="1">IFERROR(__xludf.DUMMYFUNCTION("""COMPUTED_VALUE"""),"")</f>
        <v/>
      </c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20"/>
      <c r="W179" s="20"/>
      <c r="X179" s="20"/>
      <c r="Y179" s="20"/>
      <c r="Z179" s="21"/>
      <c r="AA179" s="22"/>
      <c r="AB179" s="22"/>
    </row>
    <row r="180" spans="1:28" ht="13.5" customHeight="1" x14ac:dyDescent="0.35">
      <c r="A180" s="24" t="str">
        <f ca="1">IFERROR(__xludf.DUMMYFUNCTION("""COMPUTED_VALUE"""),"")</f>
        <v/>
      </c>
      <c r="B180" s="28" t="str">
        <f ca="1">IFERROR(__xludf.DUMMYFUNCTION("""COMPUTED_VALUE"""),"")</f>
        <v/>
      </c>
      <c r="C180" s="27" t="str">
        <f ca="1">IFERROR(__xludf.DUMMYFUNCTION("""COMPUTED_VALUE"""),"")</f>
        <v/>
      </c>
      <c r="D180" s="27" t="str">
        <f ca="1">IFERROR(__xludf.DUMMYFUNCTION("""COMPUTED_VALUE"""),"")</f>
        <v/>
      </c>
      <c r="E180" s="15" t="str">
        <f ca="1">IFERROR(__xludf.DUMMYFUNCTION("""COMPUTED_VALUE"""),"")</f>
        <v/>
      </c>
      <c r="F180" s="28" t="str">
        <f ca="1">IFERROR(__xludf.DUMMYFUNCTION("""COMPUTED_VALUE"""),"")</f>
        <v/>
      </c>
      <c r="G180" s="16" t="str">
        <f ca="1">IFERROR(__xludf.DUMMYFUNCTION("""COMPUTED_VALUE"""),"")</f>
        <v/>
      </c>
      <c r="H180" s="17" t="str">
        <f ca="1">IFERROR(__xludf.DUMMYFUNCTION("""COMPUTED_VALUE"""),"")</f>
        <v/>
      </c>
      <c r="I180" s="17" t="str">
        <f ca="1">IFERROR(__xludf.DUMMYFUNCTION("""COMPUTED_VALUE"""),"")</f>
        <v/>
      </c>
      <c r="J180" s="17" t="str">
        <f ca="1">IFERROR(__xludf.DUMMYFUNCTION("""COMPUTED_VALUE"""),"")</f>
        <v/>
      </c>
      <c r="K180" s="18" t="str">
        <f ca="1">IFERROR(__xludf.DUMMYFUNCTION("""COMPUTED_VALUE"""),"")</f>
        <v/>
      </c>
      <c r="L180" s="19"/>
      <c r="M180" s="19"/>
      <c r="N180" s="19"/>
      <c r="O180" s="19"/>
      <c r="P180" s="19"/>
      <c r="Q180" s="19"/>
      <c r="R180" s="19"/>
      <c r="S180" s="19"/>
      <c r="T180" s="19"/>
      <c r="U180" s="19"/>
      <c r="V180" s="20"/>
      <c r="W180" s="20"/>
      <c r="X180" s="20"/>
      <c r="Y180" s="20"/>
      <c r="Z180" s="21"/>
      <c r="AA180" s="22"/>
      <c r="AB180" s="22"/>
    </row>
    <row r="181" spans="1:28" ht="13.5" customHeight="1" x14ac:dyDescent="0.35">
      <c r="A181" s="29"/>
      <c r="B181" s="30"/>
      <c r="C181" s="31"/>
      <c r="D181" s="31"/>
      <c r="E181" s="30"/>
      <c r="F181" s="32"/>
      <c r="G181" s="33"/>
      <c r="H181" s="30"/>
      <c r="I181" s="30"/>
      <c r="J181" s="30"/>
      <c r="K181" s="34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20"/>
      <c r="W181" s="20"/>
      <c r="X181" s="20"/>
      <c r="Y181" s="20"/>
      <c r="Z181" s="21"/>
      <c r="AA181" s="22"/>
      <c r="AB181" s="22"/>
    </row>
    <row r="182" spans="1:28" ht="13.5" customHeight="1" x14ac:dyDescent="0.35">
      <c r="A182" s="29"/>
      <c r="B182" s="30"/>
      <c r="C182" s="31"/>
      <c r="D182" s="31"/>
      <c r="E182" s="30"/>
      <c r="F182" s="32"/>
      <c r="G182" s="33"/>
      <c r="H182" s="30"/>
      <c r="I182" s="30"/>
      <c r="J182" s="30"/>
      <c r="K182" s="34"/>
      <c r="L182" s="19"/>
      <c r="M182" s="19"/>
      <c r="N182" s="19"/>
      <c r="O182" s="19"/>
      <c r="P182" s="19"/>
      <c r="Q182" s="19"/>
      <c r="R182" s="19"/>
      <c r="S182" s="19"/>
      <c r="T182" s="19"/>
      <c r="U182" s="19"/>
      <c r="V182" s="20"/>
      <c r="W182" s="20"/>
      <c r="X182" s="20"/>
      <c r="Y182" s="20"/>
      <c r="Z182" s="21"/>
      <c r="AA182" s="22"/>
      <c r="AB182" s="22"/>
    </row>
    <row r="183" spans="1:28" ht="15.75" customHeight="1" x14ac:dyDescent="0.25">
      <c r="A183" s="29"/>
      <c r="B183" s="30"/>
      <c r="C183" s="31"/>
      <c r="D183" s="31"/>
      <c r="E183" s="30"/>
      <c r="F183" s="32"/>
      <c r="G183" s="33"/>
      <c r="H183" s="30"/>
      <c r="I183" s="30"/>
      <c r="J183" s="30"/>
      <c r="K183" s="34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1"/>
      <c r="AA183" s="22"/>
      <c r="AB183" s="22"/>
    </row>
    <row r="184" spans="1:28" ht="15.75" customHeight="1" x14ac:dyDescent="0.25">
      <c r="A184" s="29"/>
      <c r="B184" s="30"/>
      <c r="C184" s="31"/>
      <c r="D184" s="31"/>
      <c r="E184" s="30"/>
      <c r="F184" s="32"/>
      <c r="G184" s="33"/>
      <c r="H184" s="30"/>
      <c r="I184" s="30"/>
      <c r="J184" s="30"/>
      <c r="K184" s="34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1"/>
      <c r="AA184" s="22"/>
      <c r="AB184" s="22"/>
    </row>
    <row r="185" spans="1:28" ht="15.75" customHeight="1" x14ac:dyDescent="0.25">
      <c r="A185" s="29"/>
      <c r="B185" s="30"/>
      <c r="C185" s="31"/>
      <c r="D185" s="31"/>
      <c r="E185" s="30"/>
      <c r="F185" s="32"/>
      <c r="G185" s="33"/>
      <c r="H185" s="30"/>
      <c r="I185" s="30"/>
      <c r="J185" s="30"/>
      <c r="K185" s="34"/>
      <c r="L185" s="20"/>
      <c r="M185" s="20"/>
      <c r="N185" s="20"/>
      <c r="O185" s="20"/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1"/>
      <c r="AA185" s="22"/>
      <c r="AB185" s="22"/>
    </row>
    <row r="186" spans="1:28" ht="15.75" customHeight="1" x14ac:dyDescent="0.25">
      <c r="A186" s="29"/>
      <c r="B186" s="30"/>
      <c r="C186" s="31"/>
      <c r="D186" s="31"/>
      <c r="E186" s="30"/>
      <c r="F186" s="32"/>
      <c r="G186" s="33"/>
      <c r="H186" s="30"/>
      <c r="I186" s="30"/>
      <c r="J186" s="30"/>
      <c r="K186" s="34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1"/>
      <c r="AA186" s="22"/>
      <c r="AB186" s="22"/>
    </row>
    <row r="187" spans="1:28" ht="15.75" customHeight="1" x14ac:dyDescent="0.25">
      <c r="A187" s="29"/>
      <c r="B187" s="30"/>
      <c r="C187" s="31"/>
      <c r="D187" s="31"/>
      <c r="E187" s="30"/>
      <c r="F187" s="32"/>
      <c r="G187" s="33"/>
      <c r="H187" s="30"/>
      <c r="I187" s="30"/>
      <c r="J187" s="30"/>
      <c r="K187" s="34"/>
      <c r="L187" s="20"/>
      <c r="M187" s="20"/>
      <c r="N187" s="20"/>
      <c r="O187" s="20"/>
      <c r="P187" s="20"/>
      <c r="Q187" s="20"/>
      <c r="R187" s="20"/>
      <c r="S187" s="20"/>
      <c r="T187" s="20"/>
      <c r="U187" s="20"/>
      <c r="V187" s="20"/>
      <c r="W187" s="20"/>
      <c r="X187" s="20"/>
      <c r="Y187" s="20"/>
      <c r="Z187" s="21"/>
      <c r="AA187" s="22"/>
      <c r="AB187" s="22"/>
    </row>
    <row r="188" spans="1:28" ht="15.75" customHeight="1" x14ac:dyDescent="0.25">
      <c r="A188" s="29"/>
      <c r="B188" s="30"/>
      <c r="C188" s="31"/>
      <c r="D188" s="31"/>
      <c r="E188" s="30"/>
      <c r="F188" s="32"/>
      <c r="G188" s="33"/>
      <c r="H188" s="30"/>
      <c r="I188" s="30"/>
      <c r="J188" s="30"/>
      <c r="K188" s="34"/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1"/>
      <c r="AA188" s="22"/>
      <c r="AB188" s="22"/>
    </row>
    <row r="189" spans="1:28" ht="15.75" customHeight="1" x14ac:dyDescent="0.25">
      <c r="A189" s="29"/>
      <c r="B189" s="30"/>
      <c r="C189" s="31"/>
      <c r="D189" s="31"/>
      <c r="E189" s="30"/>
      <c r="F189" s="32"/>
      <c r="G189" s="33"/>
      <c r="H189" s="30"/>
      <c r="I189" s="30"/>
      <c r="J189" s="30"/>
      <c r="K189" s="34"/>
      <c r="L189" s="20"/>
      <c r="M189" s="20"/>
      <c r="N189" s="20"/>
      <c r="O189" s="20"/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1"/>
      <c r="AA189" s="22"/>
      <c r="AB189" s="22"/>
    </row>
    <row r="190" spans="1:28" ht="15.75" customHeight="1" x14ac:dyDescent="0.25">
      <c r="A190" s="29"/>
      <c r="B190" s="30"/>
      <c r="C190" s="31"/>
      <c r="D190" s="31"/>
      <c r="E190" s="30"/>
      <c r="F190" s="32"/>
      <c r="G190" s="33"/>
      <c r="H190" s="30"/>
      <c r="I190" s="30"/>
      <c r="J190" s="30"/>
      <c r="K190" s="34"/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1"/>
      <c r="AA190" s="22"/>
      <c r="AB190" s="22"/>
    </row>
    <row r="191" spans="1:28" ht="15.75" customHeight="1" x14ac:dyDescent="0.25">
      <c r="A191" s="29"/>
      <c r="B191" s="30"/>
      <c r="C191" s="31"/>
      <c r="D191" s="31"/>
      <c r="E191" s="30"/>
      <c r="F191" s="32"/>
      <c r="G191" s="33"/>
      <c r="H191" s="30"/>
      <c r="I191" s="30"/>
      <c r="J191" s="30"/>
      <c r="K191" s="34"/>
      <c r="L191" s="20"/>
      <c r="M191" s="20"/>
      <c r="N191" s="20"/>
      <c r="O191" s="20"/>
      <c r="P191" s="20"/>
      <c r="Q191" s="20"/>
      <c r="R191" s="20"/>
      <c r="S191" s="20"/>
      <c r="T191" s="20"/>
      <c r="U191" s="20"/>
      <c r="V191" s="20"/>
      <c r="W191" s="20"/>
      <c r="X191" s="20"/>
      <c r="Y191" s="20"/>
      <c r="Z191" s="21"/>
      <c r="AA191" s="22"/>
      <c r="AB191" s="22"/>
    </row>
    <row r="192" spans="1:28" ht="15.75" customHeight="1" x14ac:dyDescent="0.25">
      <c r="A192" s="29"/>
      <c r="B192" s="30"/>
      <c r="C192" s="31"/>
      <c r="D192" s="31"/>
      <c r="E192" s="30"/>
      <c r="F192" s="35"/>
      <c r="G192" s="33"/>
      <c r="H192" s="30"/>
      <c r="I192" s="30"/>
      <c r="J192" s="30"/>
      <c r="K192" s="34"/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1"/>
      <c r="AA192" s="22"/>
      <c r="AB192" s="22"/>
    </row>
    <row r="193" spans="1:28" ht="15.75" customHeight="1" x14ac:dyDescent="0.25">
      <c r="A193" s="29"/>
      <c r="B193" s="30"/>
      <c r="C193" s="31"/>
      <c r="D193" s="31"/>
      <c r="E193" s="30"/>
      <c r="F193" s="35"/>
      <c r="G193" s="33"/>
      <c r="H193" s="30"/>
      <c r="I193" s="30"/>
      <c r="J193" s="30"/>
      <c r="K193" s="34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1"/>
      <c r="AA193" s="22"/>
      <c r="AB193" s="22"/>
    </row>
    <row r="194" spans="1:28" ht="15.75" customHeight="1" x14ac:dyDescent="0.25">
      <c r="A194" s="29"/>
      <c r="B194" s="30"/>
      <c r="C194" s="31"/>
      <c r="D194" s="31"/>
      <c r="E194" s="30"/>
      <c r="F194" s="35"/>
      <c r="G194" s="33"/>
      <c r="H194" s="30"/>
      <c r="I194" s="30"/>
      <c r="J194" s="30"/>
      <c r="K194" s="34"/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1"/>
      <c r="AA194" s="22"/>
      <c r="AB194" s="22"/>
    </row>
    <row r="195" spans="1:28" ht="15.75" customHeight="1" x14ac:dyDescent="0.25">
      <c r="A195" s="29"/>
      <c r="B195" s="30"/>
      <c r="C195" s="31"/>
      <c r="D195" s="31"/>
      <c r="E195" s="30"/>
      <c r="F195" s="35"/>
      <c r="G195" s="33"/>
      <c r="H195" s="30"/>
      <c r="I195" s="30"/>
      <c r="J195" s="30"/>
      <c r="K195" s="34"/>
      <c r="L195" s="20"/>
      <c r="M195" s="20"/>
      <c r="N195" s="20"/>
      <c r="O195" s="20"/>
      <c r="P195" s="20"/>
      <c r="Q195" s="20"/>
      <c r="R195" s="20"/>
      <c r="S195" s="20"/>
      <c r="T195" s="20"/>
      <c r="U195" s="20"/>
      <c r="V195" s="20"/>
      <c r="W195" s="20"/>
      <c r="X195" s="20"/>
      <c r="Y195" s="20"/>
      <c r="Z195" s="21"/>
      <c r="AA195" s="22"/>
      <c r="AB195" s="22"/>
    </row>
    <row r="196" spans="1:28" ht="15.75" customHeight="1" x14ac:dyDescent="0.25">
      <c r="A196" s="29"/>
      <c r="B196" s="30"/>
      <c r="C196" s="31"/>
      <c r="D196" s="31"/>
      <c r="E196" s="30"/>
      <c r="F196" s="35"/>
      <c r="G196" s="33"/>
      <c r="H196" s="30"/>
      <c r="I196" s="30"/>
      <c r="J196" s="30"/>
      <c r="K196" s="34"/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1"/>
      <c r="AA196" s="22"/>
      <c r="AB196" s="22"/>
    </row>
    <row r="197" spans="1:28" ht="15.75" customHeight="1" x14ac:dyDescent="0.25">
      <c r="A197" s="29"/>
      <c r="B197" s="30"/>
      <c r="C197" s="31"/>
      <c r="D197" s="31"/>
      <c r="E197" s="30"/>
      <c r="F197" s="35"/>
      <c r="G197" s="33"/>
      <c r="H197" s="30"/>
      <c r="I197" s="30"/>
      <c r="J197" s="30"/>
      <c r="K197" s="34"/>
      <c r="L197" s="20"/>
      <c r="M197" s="20"/>
      <c r="N197" s="20"/>
      <c r="O197" s="20"/>
      <c r="P197" s="20"/>
      <c r="Q197" s="20"/>
      <c r="R197" s="20"/>
      <c r="S197" s="20"/>
      <c r="T197" s="20"/>
      <c r="U197" s="20"/>
      <c r="V197" s="20"/>
      <c r="W197" s="20"/>
      <c r="X197" s="20"/>
      <c r="Y197" s="20"/>
      <c r="Z197" s="21"/>
      <c r="AA197" s="22"/>
      <c r="AB197" s="22"/>
    </row>
    <row r="198" spans="1:28" ht="15.75" customHeight="1" x14ac:dyDescent="0.25">
      <c r="A198" s="29"/>
      <c r="B198" s="30"/>
      <c r="C198" s="31"/>
      <c r="D198" s="31"/>
      <c r="E198" s="30"/>
      <c r="F198" s="35"/>
      <c r="G198" s="33"/>
      <c r="H198" s="30"/>
      <c r="I198" s="30"/>
      <c r="J198" s="30"/>
      <c r="K198" s="34"/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1"/>
      <c r="AA198" s="22"/>
      <c r="AB198" s="22"/>
    </row>
    <row r="199" spans="1:28" ht="15.75" customHeight="1" x14ac:dyDescent="0.25">
      <c r="A199" s="29"/>
      <c r="B199" s="30"/>
      <c r="C199" s="31"/>
      <c r="D199" s="31"/>
      <c r="E199" s="30"/>
      <c r="F199" s="35"/>
      <c r="G199" s="33"/>
      <c r="H199" s="30"/>
      <c r="I199" s="30"/>
      <c r="J199" s="30"/>
      <c r="K199" s="34"/>
      <c r="L199" s="20"/>
      <c r="M199" s="20"/>
      <c r="N199" s="20"/>
      <c r="O199" s="20"/>
      <c r="P199" s="20"/>
      <c r="Q199" s="20"/>
      <c r="R199" s="20"/>
      <c r="S199" s="20"/>
      <c r="T199" s="20"/>
      <c r="U199" s="20"/>
      <c r="V199" s="20"/>
      <c r="W199" s="20"/>
      <c r="X199" s="20"/>
      <c r="Y199" s="20"/>
      <c r="Z199" s="21"/>
      <c r="AA199" s="22"/>
      <c r="AB199" s="22"/>
    </row>
    <row r="200" spans="1:28" ht="15.75" customHeight="1" x14ac:dyDescent="0.25">
      <c r="A200" s="29"/>
      <c r="B200" s="30"/>
      <c r="C200" s="31"/>
      <c r="D200" s="31"/>
      <c r="E200" s="30"/>
      <c r="F200" s="35"/>
      <c r="G200" s="33"/>
      <c r="H200" s="30"/>
      <c r="I200" s="30"/>
      <c r="J200" s="30"/>
      <c r="K200" s="34"/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1"/>
      <c r="AA200" s="22"/>
      <c r="AB200" s="22"/>
    </row>
    <row r="201" spans="1:28" ht="15.75" customHeight="1" x14ac:dyDescent="0.25">
      <c r="A201" s="29"/>
      <c r="B201" s="30"/>
      <c r="C201" s="31"/>
      <c r="D201" s="31"/>
      <c r="E201" s="30"/>
      <c r="F201" s="35"/>
      <c r="G201" s="33"/>
      <c r="H201" s="30"/>
      <c r="I201" s="30"/>
      <c r="J201" s="30"/>
      <c r="K201" s="34"/>
      <c r="L201" s="20"/>
      <c r="M201" s="20"/>
      <c r="N201" s="20"/>
      <c r="O201" s="20"/>
      <c r="P201" s="20"/>
      <c r="Q201" s="20"/>
      <c r="R201" s="20"/>
      <c r="S201" s="20"/>
      <c r="T201" s="20"/>
      <c r="U201" s="20"/>
      <c r="V201" s="20"/>
      <c r="W201" s="20"/>
      <c r="X201" s="20"/>
      <c r="Y201" s="20"/>
      <c r="Z201" s="21"/>
      <c r="AA201" s="22"/>
      <c r="AB201" s="22"/>
    </row>
    <row r="202" spans="1:28" ht="15.75" customHeight="1" x14ac:dyDescent="0.25">
      <c r="A202" s="29"/>
      <c r="B202" s="30"/>
      <c r="C202" s="31"/>
      <c r="D202" s="31"/>
      <c r="E202" s="30"/>
      <c r="F202" s="35"/>
      <c r="G202" s="33"/>
      <c r="H202" s="30"/>
      <c r="I202" s="30"/>
      <c r="J202" s="30"/>
      <c r="K202" s="34"/>
      <c r="L202" s="20"/>
      <c r="M202" s="20"/>
      <c r="N202" s="20"/>
      <c r="O202" s="20"/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1"/>
      <c r="AA202" s="22"/>
      <c r="AB202" s="22"/>
    </row>
    <row r="203" spans="1:28" ht="15.75" customHeight="1" x14ac:dyDescent="0.25">
      <c r="A203" s="29"/>
      <c r="B203" s="30"/>
      <c r="C203" s="31"/>
      <c r="D203" s="31"/>
      <c r="E203" s="30"/>
      <c r="F203" s="35"/>
      <c r="G203" s="33"/>
      <c r="H203" s="30"/>
      <c r="I203" s="30"/>
      <c r="J203" s="30"/>
      <c r="K203" s="34"/>
      <c r="L203" s="20"/>
      <c r="M203" s="20"/>
      <c r="N203" s="20"/>
      <c r="O203" s="20"/>
      <c r="P203" s="20"/>
      <c r="Q203" s="20"/>
      <c r="R203" s="20"/>
      <c r="S203" s="20"/>
      <c r="T203" s="20"/>
      <c r="U203" s="20"/>
      <c r="V203" s="20"/>
      <c r="W203" s="20"/>
      <c r="X203" s="20"/>
      <c r="Y203" s="20"/>
      <c r="Z203" s="21"/>
      <c r="AA203" s="22"/>
      <c r="AB203" s="22"/>
    </row>
    <row r="204" spans="1:28" ht="15.75" customHeight="1" x14ac:dyDescent="0.25">
      <c r="A204" s="29"/>
      <c r="B204" s="30"/>
      <c r="C204" s="31"/>
      <c r="D204" s="31"/>
      <c r="E204" s="30"/>
      <c r="F204" s="35"/>
      <c r="G204" s="33"/>
      <c r="H204" s="30"/>
      <c r="I204" s="30"/>
      <c r="J204" s="30"/>
      <c r="K204" s="34"/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1"/>
      <c r="AA204" s="22"/>
      <c r="AB204" s="22"/>
    </row>
    <row r="205" spans="1:28" ht="15.75" customHeight="1" x14ac:dyDescent="0.25">
      <c r="A205" s="29"/>
      <c r="B205" s="30"/>
      <c r="C205" s="31"/>
      <c r="D205" s="31"/>
      <c r="E205" s="30"/>
      <c r="F205" s="35"/>
      <c r="G205" s="33"/>
      <c r="H205" s="30"/>
      <c r="I205" s="30"/>
      <c r="J205" s="30"/>
      <c r="K205" s="34"/>
      <c r="L205" s="20"/>
      <c r="M205" s="20"/>
      <c r="N205" s="20"/>
      <c r="O205" s="20"/>
      <c r="P205" s="20"/>
      <c r="Q205" s="20"/>
      <c r="R205" s="20"/>
      <c r="S205" s="20"/>
      <c r="T205" s="20"/>
      <c r="U205" s="20"/>
      <c r="V205" s="20"/>
      <c r="W205" s="20"/>
      <c r="X205" s="20"/>
      <c r="Y205" s="20"/>
      <c r="Z205" s="21"/>
      <c r="AA205" s="22"/>
      <c r="AB205" s="22"/>
    </row>
    <row r="206" spans="1:28" ht="15.75" customHeight="1" x14ac:dyDescent="0.25">
      <c r="A206" s="29"/>
      <c r="B206" s="30"/>
      <c r="C206" s="31"/>
      <c r="D206" s="31"/>
      <c r="E206" s="30"/>
      <c r="F206" s="35"/>
      <c r="G206" s="33"/>
      <c r="H206" s="30"/>
      <c r="I206" s="30"/>
      <c r="J206" s="30"/>
      <c r="K206" s="34"/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1"/>
      <c r="AA206" s="22"/>
      <c r="AB206" s="22"/>
    </row>
    <row r="207" spans="1:28" ht="15.75" customHeight="1" x14ac:dyDescent="0.25">
      <c r="A207" s="29"/>
      <c r="B207" s="30"/>
      <c r="C207" s="31"/>
      <c r="D207" s="31"/>
      <c r="E207" s="30"/>
      <c r="F207" s="35"/>
      <c r="G207" s="33"/>
      <c r="H207" s="30"/>
      <c r="I207" s="30"/>
      <c r="J207" s="30"/>
      <c r="K207" s="34"/>
      <c r="L207" s="20"/>
      <c r="M207" s="20"/>
      <c r="N207" s="20"/>
      <c r="O207" s="20"/>
      <c r="P207" s="20"/>
      <c r="Q207" s="20"/>
      <c r="R207" s="20"/>
      <c r="S207" s="20"/>
      <c r="T207" s="20"/>
      <c r="U207" s="20"/>
      <c r="V207" s="20"/>
      <c r="W207" s="20"/>
      <c r="X207" s="20"/>
      <c r="Y207" s="20"/>
      <c r="Z207" s="21"/>
      <c r="AA207" s="22"/>
      <c r="AB207" s="22"/>
    </row>
    <row r="208" spans="1:28" ht="15.75" customHeight="1" x14ac:dyDescent="0.25">
      <c r="A208" s="29"/>
      <c r="B208" s="30"/>
      <c r="C208" s="31"/>
      <c r="D208" s="31"/>
      <c r="E208" s="30"/>
      <c r="F208" s="35"/>
      <c r="G208" s="33"/>
      <c r="H208" s="30"/>
      <c r="I208" s="30"/>
      <c r="J208" s="30"/>
      <c r="K208" s="34"/>
      <c r="L208" s="20"/>
      <c r="M208" s="20"/>
      <c r="N208" s="20"/>
      <c r="O208" s="20"/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1"/>
      <c r="AA208" s="22"/>
      <c r="AB208" s="22"/>
    </row>
    <row r="209" spans="1:28" ht="15.75" customHeight="1" x14ac:dyDescent="0.25">
      <c r="A209" s="29"/>
      <c r="B209" s="30"/>
      <c r="C209" s="31"/>
      <c r="D209" s="31"/>
      <c r="E209" s="30"/>
      <c r="F209" s="35"/>
      <c r="G209" s="33"/>
      <c r="H209" s="30"/>
      <c r="I209" s="30"/>
      <c r="J209" s="30"/>
      <c r="K209" s="34"/>
      <c r="L209" s="20"/>
      <c r="M209" s="20"/>
      <c r="N209" s="20"/>
      <c r="O209" s="20"/>
      <c r="P209" s="20"/>
      <c r="Q209" s="20"/>
      <c r="R209" s="20"/>
      <c r="S209" s="20"/>
      <c r="T209" s="20"/>
      <c r="U209" s="20"/>
      <c r="V209" s="20"/>
      <c r="W209" s="20"/>
      <c r="X209" s="20"/>
      <c r="Y209" s="20"/>
      <c r="Z209" s="21"/>
      <c r="AA209" s="22"/>
      <c r="AB209" s="22"/>
    </row>
    <row r="210" spans="1:28" ht="15.75" customHeight="1" x14ac:dyDescent="0.25">
      <c r="A210" s="29"/>
      <c r="B210" s="30"/>
      <c r="C210" s="31"/>
      <c r="D210" s="31"/>
      <c r="E210" s="30"/>
      <c r="F210" s="35"/>
      <c r="G210" s="33"/>
      <c r="H210" s="30"/>
      <c r="I210" s="30"/>
      <c r="J210" s="30"/>
      <c r="K210" s="34"/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1"/>
      <c r="AA210" s="22"/>
      <c r="AB210" s="22"/>
    </row>
    <row r="211" spans="1:28" ht="15.75" customHeight="1" x14ac:dyDescent="0.25">
      <c r="A211" s="29"/>
      <c r="B211" s="30"/>
      <c r="C211" s="31"/>
      <c r="D211" s="31"/>
      <c r="E211" s="30"/>
      <c r="F211" s="35"/>
      <c r="G211" s="33"/>
      <c r="H211" s="30"/>
      <c r="I211" s="30"/>
      <c r="J211" s="30"/>
      <c r="K211" s="34"/>
      <c r="L211" s="20"/>
      <c r="M211" s="20"/>
      <c r="N211" s="20"/>
      <c r="O211" s="20"/>
      <c r="P211" s="20"/>
      <c r="Q211" s="20"/>
      <c r="R211" s="20"/>
      <c r="S211" s="20"/>
      <c r="T211" s="20"/>
      <c r="U211" s="20"/>
      <c r="V211" s="20"/>
      <c r="W211" s="20"/>
      <c r="X211" s="20"/>
      <c r="Y211" s="20"/>
      <c r="Z211" s="21"/>
      <c r="AA211" s="22"/>
      <c r="AB211" s="22"/>
    </row>
    <row r="212" spans="1:28" ht="15.75" customHeight="1" x14ac:dyDescent="0.25">
      <c r="A212" s="29"/>
      <c r="B212" s="30"/>
      <c r="C212" s="31"/>
      <c r="D212" s="31"/>
      <c r="E212" s="30"/>
      <c r="F212" s="35"/>
      <c r="G212" s="33"/>
      <c r="H212" s="30"/>
      <c r="I212" s="30"/>
      <c r="J212" s="30"/>
      <c r="K212" s="34"/>
      <c r="L212" s="20"/>
      <c r="M212" s="20"/>
      <c r="N212" s="20"/>
      <c r="O212" s="20"/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1"/>
      <c r="AA212" s="22"/>
      <c r="AB212" s="22"/>
    </row>
    <row r="213" spans="1:28" ht="15.75" customHeight="1" x14ac:dyDescent="0.25">
      <c r="A213" s="29"/>
      <c r="B213" s="30"/>
      <c r="C213" s="31"/>
      <c r="D213" s="31"/>
      <c r="E213" s="30"/>
      <c r="F213" s="35"/>
      <c r="G213" s="33"/>
      <c r="H213" s="30"/>
      <c r="I213" s="30"/>
      <c r="J213" s="30"/>
      <c r="K213" s="34"/>
      <c r="L213" s="20"/>
      <c r="M213" s="20"/>
      <c r="N213" s="20"/>
      <c r="O213" s="20"/>
      <c r="P213" s="20"/>
      <c r="Q213" s="20"/>
      <c r="R213" s="20"/>
      <c r="S213" s="20"/>
      <c r="T213" s="20"/>
      <c r="U213" s="20"/>
      <c r="V213" s="20"/>
      <c r="W213" s="20"/>
      <c r="X213" s="20"/>
      <c r="Y213" s="20"/>
      <c r="Z213" s="21"/>
      <c r="AA213" s="22"/>
      <c r="AB213" s="22"/>
    </row>
    <row r="214" spans="1:28" ht="15.75" customHeight="1" x14ac:dyDescent="0.25">
      <c r="A214" s="29"/>
      <c r="B214" s="30"/>
      <c r="C214" s="31"/>
      <c r="D214" s="31"/>
      <c r="E214" s="30"/>
      <c r="F214" s="35"/>
      <c r="G214" s="33"/>
      <c r="H214" s="30"/>
      <c r="I214" s="30"/>
      <c r="J214" s="30"/>
      <c r="K214" s="34"/>
      <c r="L214" s="20"/>
      <c r="M214" s="20"/>
      <c r="N214" s="20"/>
      <c r="O214" s="20"/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1"/>
      <c r="AA214" s="22"/>
      <c r="AB214" s="22"/>
    </row>
    <row r="215" spans="1:28" ht="15.75" customHeight="1" x14ac:dyDescent="0.25">
      <c r="A215" s="29"/>
      <c r="B215" s="30"/>
      <c r="C215" s="31"/>
      <c r="D215" s="31"/>
      <c r="E215" s="30"/>
      <c r="F215" s="35"/>
      <c r="G215" s="33"/>
      <c r="H215" s="30"/>
      <c r="I215" s="30"/>
      <c r="J215" s="30"/>
      <c r="K215" s="34"/>
      <c r="L215" s="20"/>
      <c r="M215" s="20"/>
      <c r="N215" s="20"/>
      <c r="O215" s="20"/>
      <c r="P215" s="20"/>
      <c r="Q215" s="20"/>
      <c r="R215" s="20"/>
      <c r="S215" s="20"/>
      <c r="T215" s="20"/>
      <c r="U215" s="20"/>
      <c r="V215" s="20"/>
      <c r="W215" s="20"/>
      <c r="X215" s="20"/>
      <c r="Y215" s="20"/>
      <c r="Z215" s="21"/>
      <c r="AA215" s="22"/>
      <c r="AB215" s="22"/>
    </row>
    <row r="216" spans="1:28" ht="15.75" customHeight="1" x14ac:dyDescent="0.25">
      <c r="A216" s="29"/>
      <c r="B216" s="30"/>
      <c r="C216" s="31"/>
      <c r="D216" s="31"/>
      <c r="E216" s="30"/>
      <c r="F216" s="35"/>
      <c r="G216" s="33"/>
      <c r="H216" s="30"/>
      <c r="I216" s="30"/>
      <c r="J216" s="30"/>
      <c r="K216" s="34"/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1"/>
      <c r="AA216" s="22"/>
      <c r="AB216" s="22"/>
    </row>
    <row r="217" spans="1:28" ht="15.75" customHeight="1" x14ac:dyDescent="0.25">
      <c r="A217" s="29"/>
      <c r="B217" s="30"/>
      <c r="C217" s="31"/>
      <c r="D217" s="31"/>
      <c r="E217" s="30"/>
      <c r="F217" s="35"/>
      <c r="G217" s="33"/>
      <c r="H217" s="30"/>
      <c r="I217" s="30"/>
      <c r="J217" s="30"/>
      <c r="K217" s="34"/>
      <c r="L217" s="20"/>
      <c r="M217" s="20"/>
      <c r="N217" s="20"/>
      <c r="O217" s="20"/>
      <c r="P217" s="20"/>
      <c r="Q217" s="20"/>
      <c r="R217" s="20"/>
      <c r="S217" s="20"/>
      <c r="T217" s="20"/>
      <c r="U217" s="20"/>
      <c r="V217" s="20"/>
      <c r="W217" s="20"/>
      <c r="X217" s="20"/>
      <c r="Y217" s="20"/>
      <c r="Z217" s="21"/>
      <c r="AA217" s="22"/>
      <c r="AB217" s="22"/>
    </row>
    <row r="218" spans="1:28" ht="15.75" customHeight="1" x14ac:dyDescent="0.25">
      <c r="A218" s="29"/>
      <c r="B218" s="30"/>
      <c r="C218" s="31"/>
      <c r="D218" s="31"/>
      <c r="E218" s="30"/>
      <c r="F218" s="35"/>
      <c r="G218" s="33"/>
      <c r="H218" s="30"/>
      <c r="I218" s="30"/>
      <c r="J218" s="30"/>
      <c r="K218" s="34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1"/>
      <c r="AA218" s="22"/>
      <c r="AB218" s="22"/>
    </row>
    <row r="219" spans="1:28" ht="15.75" customHeight="1" x14ac:dyDescent="0.25">
      <c r="A219" s="29"/>
      <c r="B219" s="30"/>
      <c r="C219" s="31"/>
      <c r="D219" s="31"/>
      <c r="E219" s="30"/>
      <c r="F219" s="35"/>
      <c r="G219" s="33"/>
      <c r="H219" s="30"/>
      <c r="I219" s="30"/>
      <c r="J219" s="30"/>
      <c r="K219" s="34"/>
      <c r="L219" s="20"/>
      <c r="M219" s="20"/>
      <c r="N219" s="20"/>
      <c r="O219" s="20"/>
      <c r="P219" s="20"/>
      <c r="Q219" s="20"/>
      <c r="R219" s="20"/>
      <c r="S219" s="20"/>
      <c r="T219" s="20"/>
      <c r="U219" s="20"/>
      <c r="V219" s="20"/>
      <c r="W219" s="20"/>
      <c r="X219" s="20"/>
      <c r="Y219" s="20"/>
      <c r="Z219" s="21"/>
      <c r="AA219" s="22"/>
      <c r="AB219" s="22"/>
    </row>
    <row r="220" spans="1:28" ht="15.75" customHeight="1" x14ac:dyDescent="0.25">
      <c r="A220" s="29"/>
      <c r="B220" s="30"/>
      <c r="C220" s="31"/>
      <c r="D220" s="31"/>
      <c r="E220" s="30"/>
      <c r="F220" s="35"/>
      <c r="G220" s="33"/>
      <c r="H220" s="30"/>
      <c r="I220" s="30"/>
      <c r="J220" s="30"/>
      <c r="K220" s="34"/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1"/>
      <c r="AA220" s="22"/>
      <c r="AB220" s="22"/>
    </row>
    <row r="221" spans="1:28" ht="15.75" customHeight="1" x14ac:dyDescent="0.25">
      <c r="A221" s="29"/>
      <c r="B221" s="30"/>
      <c r="C221" s="31"/>
      <c r="D221" s="31"/>
      <c r="E221" s="30"/>
      <c r="F221" s="35"/>
      <c r="G221" s="33"/>
      <c r="H221" s="30"/>
      <c r="I221" s="30"/>
      <c r="J221" s="30"/>
      <c r="K221" s="34"/>
      <c r="L221" s="20"/>
      <c r="M221" s="20"/>
      <c r="N221" s="20"/>
      <c r="O221" s="20"/>
      <c r="P221" s="20"/>
      <c r="Q221" s="20"/>
      <c r="R221" s="20"/>
      <c r="S221" s="20"/>
      <c r="T221" s="20"/>
      <c r="U221" s="20"/>
      <c r="V221" s="20"/>
      <c r="W221" s="20"/>
      <c r="X221" s="20"/>
      <c r="Y221" s="20"/>
      <c r="Z221" s="21"/>
      <c r="AA221" s="22"/>
      <c r="AB221" s="22"/>
    </row>
    <row r="222" spans="1:28" ht="15.75" customHeight="1" x14ac:dyDescent="0.25">
      <c r="A222" s="29"/>
      <c r="B222" s="30"/>
      <c r="C222" s="31"/>
      <c r="D222" s="31"/>
      <c r="E222" s="30"/>
      <c r="F222" s="35"/>
      <c r="G222" s="33"/>
      <c r="H222" s="30"/>
      <c r="I222" s="30"/>
      <c r="J222" s="30"/>
      <c r="K222" s="34"/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1"/>
      <c r="AA222" s="22"/>
      <c r="AB222" s="22"/>
    </row>
    <row r="223" spans="1:28" ht="15.75" customHeight="1" x14ac:dyDescent="0.25">
      <c r="A223" s="29"/>
      <c r="B223" s="30"/>
      <c r="C223" s="31"/>
      <c r="D223" s="31"/>
      <c r="E223" s="30"/>
      <c r="F223" s="35"/>
      <c r="G223" s="33"/>
      <c r="H223" s="30"/>
      <c r="I223" s="30"/>
      <c r="J223" s="30"/>
      <c r="K223" s="34"/>
      <c r="L223" s="20"/>
      <c r="M223" s="20"/>
      <c r="N223" s="20"/>
      <c r="O223" s="20"/>
      <c r="P223" s="20"/>
      <c r="Q223" s="20"/>
      <c r="R223" s="20"/>
      <c r="S223" s="20"/>
      <c r="T223" s="20"/>
      <c r="U223" s="20"/>
      <c r="V223" s="20"/>
      <c r="W223" s="20"/>
      <c r="X223" s="20"/>
      <c r="Y223" s="20"/>
      <c r="Z223" s="21"/>
      <c r="AA223" s="22"/>
      <c r="AB223" s="22"/>
    </row>
    <row r="224" spans="1:28" ht="15.75" customHeight="1" x14ac:dyDescent="0.25">
      <c r="A224" s="29"/>
      <c r="B224" s="30"/>
      <c r="C224" s="31"/>
      <c r="D224" s="31"/>
      <c r="E224" s="30"/>
      <c r="F224" s="35"/>
      <c r="G224" s="33"/>
      <c r="H224" s="30"/>
      <c r="I224" s="30"/>
      <c r="J224" s="30"/>
      <c r="K224" s="34"/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1"/>
      <c r="AA224" s="22"/>
      <c r="AB224" s="22"/>
    </row>
    <row r="225" spans="1:28" ht="15.75" customHeight="1" x14ac:dyDescent="0.25">
      <c r="A225" s="29"/>
      <c r="B225" s="30"/>
      <c r="C225" s="31"/>
      <c r="D225" s="31"/>
      <c r="E225" s="30"/>
      <c r="F225" s="35"/>
      <c r="G225" s="33"/>
      <c r="H225" s="30"/>
      <c r="I225" s="30"/>
      <c r="J225" s="30"/>
      <c r="K225" s="34"/>
      <c r="L225" s="20"/>
      <c r="M225" s="20"/>
      <c r="N225" s="20"/>
      <c r="O225" s="20"/>
      <c r="P225" s="20"/>
      <c r="Q225" s="20"/>
      <c r="R225" s="20"/>
      <c r="S225" s="20"/>
      <c r="T225" s="20"/>
      <c r="U225" s="20"/>
      <c r="V225" s="20"/>
      <c r="W225" s="20"/>
      <c r="X225" s="20"/>
      <c r="Y225" s="20"/>
      <c r="Z225" s="21"/>
      <c r="AA225" s="22"/>
      <c r="AB225" s="22"/>
    </row>
    <row r="226" spans="1:28" ht="15.75" customHeight="1" x14ac:dyDescent="0.25">
      <c r="A226" s="29"/>
      <c r="B226" s="30"/>
      <c r="C226" s="31"/>
      <c r="D226" s="31"/>
      <c r="E226" s="30"/>
      <c r="F226" s="35"/>
      <c r="G226" s="33"/>
      <c r="H226" s="30"/>
      <c r="I226" s="30"/>
      <c r="J226" s="30"/>
      <c r="K226" s="34"/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1"/>
      <c r="AA226" s="22"/>
      <c r="AB226" s="22"/>
    </row>
    <row r="227" spans="1:28" ht="15.75" customHeight="1" x14ac:dyDescent="0.25">
      <c r="A227" s="29"/>
      <c r="B227" s="30"/>
      <c r="C227" s="31"/>
      <c r="D227" s="31"/>
      <c r="E227" s="30"/>
      <c r="F227" s="35"/>
      <c r="G227" s="33"/>
      <c r="H227" s="30"/>
      <c r="I227" s="30"/>
      <c r="J227" s="30"/>
      <c r="K227" s="34"/>
      <c r="L227" s="20"/>
      <c r="M227" s="20"/>
      <c r="N227" s="20"/>
      <c r="O227" s="20"/>
      <c r="P227" s="20"/>
      <c r="Q227" s="20"/>
      <c r="R227" s="20"/>
      <c r="S227" s="20"/>
      <c r="T227" s="20"/>
      <c r="U227" s="20"/>
      <c r="V227" s="20"/>
      <c r="W227" s="20"/>
      <c r="X227" s="20"/>
      <c r="Y227" s="20"/>
      <c r="Z227" s="21"/>
      <c r="AA227" s="22"/>
      <c r="AB227" s="22"/>
    </row>
    <row r="228" spans="1:28" ht="15.75" customHeight="1" x14ac:dyDescent="0.25">
      <c r="A228" s="29"/>
      <c r="B228" s="30"/>
      <c r="C228" s="31"/>
      <c r="D228" s="31"/>
      <c r="E228" s="30"/>
      <c r="F228" s="35"/>
      <c r="G228" s="33"/>
      <c r="H228" s="30"/>
      <c r="I228" s="30"/>
      <c r="J228" s="30"/>
      <c r="K228" s="34"/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1"/>
      <c r="AA228" s="22"/>
      <c r="AB228" s="22"/>
    </row>
    <row r="229" spans="1:28" ht="15.75" customHeight="1" x14ac:dyDescent="0.25">
      <c r="A229" s="29"/>
      <c r="B229" s="30"/>
      <c r="C229" s="31"/>
      <c r="D229" s="31"/>
      <c r="E229" s="30"/>
      <c r="F229" s="35"/>
      <c r="G229" s="33"/>
      <c r="H229" s="30"/>
      <c r="I229" s="30"/>
      <c r="J229" s="30"/>
      <c r="K229" s="34"/>
      <c r="L229" s="20"/>
      <c r="M229" s="20"/>
      <c r="N229" s="20"/>
      <c r="O229" s="20"/>
      <c r="P229" s="20"/>
      <c r="Q229" s="20"/>
      <c r="R229" s="20"/>
      <c r="S229" s="20"/>
      <c r="T229" s="20"/>
      <c r="U229" s="20"/>
      <c r="V229" s="20"/>
      <c r="W229" s="20"/>
      <c r="X229" s="20"/>
      <c r="Y229" s="20"/>
      <c r="Z229" s="21"/>
      <c r="AA229" s="22"/>
      <c r="AB229" s="22"/>
    </row>
    <row r="230" spans="1:28" ht="15.75" customHeight="1" x14ac:dyDescent="0.25">
      <c r="A230" s="29"/>
      <c r="B230" s="30"/>
      <c r="C230" s="31"/>
      <c r="D230" s="31"/>
      <c r="E230" s="30"/>
      <c r="F230" s="35"/>
      <c r="G230" s="33"/>
      <c r="H230" s="30"/>
      <c r="I230" s="30"/>
      <c r="J230" s="30"/>
      <c r="K230" s="34"/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1"/>
      <c r="AA230" s="22"/>
      <c r="AB230" s="22"/>
    </row>
    <row r="231" spans="1:28" ht="15.75" customHeight="1" x14ac:dyDescent="0.25">
      <c r="A231" s="29"/>
      <c r="B231" s="30"/>
      <c r="C231" s="31"/>
      <c r="D231" s="31"/>
      <c r="E231" s="30"/>
      <c r="F231" s="35"/>
      <c r="G231" s="33"/>
      <c r="H231" s="30"/>
      <c r="I231" s="30"/>
      <c r="J231" s="30"/>
      <c r="K231" s="34"/>
      <c r="L231" s="20"/>
      <c r="M231" s="20"/>
      <c r="N231" s="20"/>
      <c r="O231" s="20"/>
      <c r="P231" s="20"/>
      <c r="Q231" s="20"/>
      <c r="R231" s="20"/>
      <c r="S231" s="20"/>
      <c r="T231" s="20"/>
      <c r="U231" s="20"/>
      <c r="V231" s="20"/>
      <c r="W231" s="20"/>
      <c r="X231" s="20"/>
      <c r="Y231" s="20"/>
      <c r="Z231" s="21"/>
      <c r="AA231" s="22"/>
      <c r="AB231" s="22"/>
    </row>
    <row r="232" spans="1:28" ht="15.75" customHeight="1" x14ac:dyDescent="0.25">
      <c r="A232" s="29"/>
      <c r="B232" s="30"/>
      <c r="C232" s="31"/>
      <c r="D232" s="31"/>
      <c r="E232" s="30"/>
      <c r="F232" s="35"/>
      <c r="G232" s="33"/>
      <c r="H232" s="30"/>
      <c r="I232" s="30"/>
      <c r="J232" s="30"/>
      <c r="K232" s="34"/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1"/>
      <c r="AA232" s="22"/>
      <c r="AB232" s="22"/>
    </row>
    <row r="233" spans="1:28" ht="15.75" customHeight="1" x14ac:dyDescent="0.25">
      <c r="A233" s="29"/>
      <c r="B233" s="30"/>
      <c r="C233" s="31"/>
      <c r="D233" s="31"/>
      <c r="E233" s="30"/>
      <c r="F233" s="35"/>
      <c r="G233" s="33"/>
      <c r="H233" s="30"/>
      <c r="I233" s="30"/>
      <c r="J233" s="30"/>
      <c r="K233" s="34"/>
      <c r="L233" s="20"/>
      <c r="M233" s="20"/>
      <c r="N233" s="20"/>
      <c r="O233" s="20"/>
      <c r="P233" s="20"/>
      <c r="Q233" s="20"/>
      <c r="R233" s="20"/>
      <c r="S233" s="20"/>
      <c r="T233" s="20"/>
      <c r="U233" s="20"/>
      <c r="V233" s="20"/>
      <c r="W233" s="20"/>
      <c r="X233" s="20"/>
      <c r="Y233" s="20"/>
      <c r="Z233" s="21"/>
      <c r="AA233" s="22"/>
      <c r="AB233" s="22"/>
    </row>
    <row r="234" spans="1:28" ht="15.75" customHeight="1" x14ac:dyDescent="0.25">
      <c r="A234" s="29"/>
      <c r="B234" s="30"/>
      <c r="C234" s="31"/>
      <c r="D234" s="31"/>
      <c r="E234" s="30"/>
      <c r="F234" s="35"/>
      <c r="G234" s="33"/>
      <c r="H234" s="30"/>
      <c r="I234" s="30"/>
      <c r="J234" s="30"/>
      <c r="K234" s="34"/>
      <c r="L234" s="20"/>
      <c r="M234" s="20"/>
      <c r="N234" s="20"/>
      <c r="O234" s="20"/>
      <c r="P234" s="20"/>
      <c r="Q234" s="20"/>
      <c r="R234" s="20"/>
      <c r="S234" s="20"/>
      <c r="T234" s="20"/>
      <c r="U234" s="20"/>
      <c r="V234" s="20"/>
      <c r="W234" s="20"/>
      <c r="X234" s="20"/>
      <c r="Y234" s="20"/>
      <c r="Z234" s="21"/>
      <c r="AA234" s="22"/>
      <c r="AB234" s="22"/>
    </row>
    <row r="235" spans="1:28" ht="15.75" customHeight="1" x14ac:dyDescent="0.25">
      <c r="A235" s="29"/>
      <c r="B235" s="30"/>
      <c r="C235" s="31"/>
      <c r="D235" s="31"/>
      <c r="E235" s="30"/>
      <c r="F235" s="35"/>
      <c r="G235" s="33"/>
      <c r="H235" s="30"/>
      <c r="I235" s="30"/>
      <c r="J235" s="30"/>
      <c r="K235" s="34"/>
      <c r="L235" s="20"/>
      <c r="M235" s="20"/>
      <c r="N235" s="20"/>
      <c r="O235" s="20"/>
      <c r="P235" s="20"/>
      <c r="Q235" s="20"/>
      <c r="R235" s="20"/>
      <c r="S235" s="20"/>
      <c r="T235" s="20"/>
      <c r="U235" s="20"/>
      <c r="V235" s="20"/>
      <c r="W235" s="20"/>
      <c r="X235" s="20"/>
      <c r="Y235" s="20"/>
      <c r="Z235" s="21"/>
      <c r="AA235" s="22"/>
      <c r="AB235" s="22"/>
    </row>
    <row r="236" spans="1:28" ht="15.75" customHeight="1" x14ac:dyDescent="0.25">
      <c r="A236" s="29"/>
      <c r="B236" s="30"/>
      <c r="C236" s="31"/>
      <c r="D236" s="31"/>
      <c r="E236" s="30"/>
      <c r="F236" s="35"/>
      <c r="G236" s="33"/>
      <c r="H236" s="30"/>
      <c r="I236" s="30"/>
      <c r="J236" s="30"/>
      <c r="K236" s="34"/>
      <c r="L236" s="20"/>
      <c r="M236" s="20"/>
      <c r="N236" s="20"/>
      <c r="O236" s="20"/>
      <c r="P236" s="20"/>
      <c r="Q236" s="20"/>
      <c r="R236" s="20"/>
      <c r="S236" s="20"/>
      <c r="T236" s="20"/>
      <c r="U236" s="20"/>
      <c r="V236" s="20"/>
      <c r="W236" s="20"/>
      <c r="X236" s="20"/>
      <c r="Y236" s="20"/>
      <c r="Z236" s="21"/>
      <c r="AA236" s="22"/>
      <c r="AB236" s="22"/>
    </row>
    <row r="237" spans="1:28" ht="15.75" customHeight="1" x14ac:dyDescent="0.25">
      <c r="A237" s="29"/>
      <c r="B237" s="30"/>
      <c r="C237" s="31"/>
      <c r="D237" s="31"/>
      <c r="E237" s="30"/>
      <c r="F237" s="35"/>
      <c r="G237" s="33"/>
      <c r="H237" s="30"/>
      <c r="I237" s="30"/>
      <c r="J237" s="30"/>
      <c r="K237" s="34"/>
      <c r="L237" s="20"/>
      <c r="M237" s="20"/>
      <c r="N237" s="20"/>
      <c r="O237" s="20"/>
      <c r="P237" s="20"/>
      <c r="Q237" s="20"/>
      <c r="R237" s="20"/>
      <c r="S237" s="20"/>
      <c r="T237" s="20"/>
      <c r="U237" s="20"/>
      <c r="V237" s="20"/>
      <c r="W237" s="20"/>
      <c r="X237" s="20"/>
      <c r="Y237" s="20"/>
      <c r="Z237" s="21"/>
      <c r="AA237" s="22"/>
      <c r="AB237" s="22"/>
    </row>
    <row r="238" spans="1:28" ht="15.75" customHeight="1" x14ac:dyDescent="0.25">
      <c r="A238" s="29"/>
      <c r="B238" s="30"/>
      <c r="C238" s="31"/>
      <c r="D238" s="31"/>
      <c r="E238" s="30"/>
      <c r="F238" s="35"/>
      <c r="G238" s="33"/>
      <c r="H238" s="30"/>
      <c r="I238" s="30"/>
      <c r="J238" s="30"/>
      <c r="K238" s="34"/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1"/>
      <c r="AA238" s="22"/>
      <c r="AB238" s="22"/>
    </row>
    <row r="239" spans="1:28" ht="15.75" customHeight="1" x14ac:dyDescent="0.25">
      <c r="A239" s="29"/>
      <c r="B239" s="30"/>
      <c r="C239" s="31"/>
      <c r="D239" s="31"/>
      <c r="E239" s="30"/>
      <c r="F239" s="35"/>
      <c r="G239" s="33"/>
      <c r="H239" s="30"/>
      <c r="I239" s="30"/>
      <c r="J239" s="30"/>
      <c r="K239" s="34"/>
      <c r="L239" s="20"/>
      <c r="M239" s="20"/>
      <c r="N239" s="20"/>
      <c r="O239" s="20"/>
      <c r="P239" s="20"/>
      <c r="Q239" s="20"/>
      <c r="R239" s="20"/>
      <c r="S239" s="20"/>
      <c r="T239" s="20"/>
      <c r="U239" s="20"/>
      <c r="V239" s="20"/>
      <c r="W239" s="20"/>
      <c r="X239" s="20"/>
      <c r="Y239" s="20"/>
      <c r="Z239" s="21"/>
      <c r="AA239" s="22"/>
      <c r="AB239" s="22"/>
    </row>
    <row r="240" spans="1:28" ht="15.75" customHeight="1" x14ac:dyDescent="0.25">
      <c r="A240" s="29"/>
      <c r="B240" s="30"/>
      <c r="C240" s="31"/>
      <c r="D240" s="31"/>
      <c r="E240" s="30"/>
      <c r="F240" s="35"/>
      <c r="G240" s="33"/>
      <c r="H240" s="30"/>
      <c r="I240" s="30"/>
      <c r="J240" s="30"/>
      <c r="K240" s="34"/>
      <c r="L240" s="20"/>
      <c r="M240" s="20"/>
      <c r="N240" s="20"/>
      <c r="O240" s="20"/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1"/>
      <c r="AA240" s="22"/>
      <c r="AB240" s="22"/>
    </row>
    <row r="241" spans="1:28" ht="15.75" customHeight="1" x14ac:dyDescent="0.25">
      <c r="A241" s="29"/>
      <c r="B241" s="30"/>
      <c r="C241" s="31"/>
      <c r="D241" s="31"/>
      <c r="E241" s="30"/>
      <c r="F241" s="35"/>
      <c r="G241" s="33"/>
      <c r="H241" s="30"/>
      <c r="I241" s="30"/>
      <c r="J241" s="30"/>
      <c r="K241" s="34"/>
      <c r="L241" s="20"/>
      <c r="M241" s="20"/>
      <c r="N241" s="20"/>
      <c r="O241" s="20"/>
      <c r="P241" s="20"/>
      <c r="Q241" s="20"/>
      <c r="R241" s="20"/>
      <c r="S241" s="20"/>
      <c r="T241" s="20"/>
      <c r="U241" s="20"/>
      <c r="V241" s="20"/>
      <c r="W241" s="20"/>
      <c r="X241" s="20"/>
      <c r="Y241" s="20"/>
      <c r="Z241" s="21"/>
      <c r="AA241" s="22"/>
      <c r="AB241" s="22"/>
    </row>
    <row r="242" spans="1:28" ht="15.75" customHeight="1" x14ac:dyDescent="0.25">
      <c r="A242" s="29"/>
      <c r="B242" s="30"/>
      <c r="C242" s="31"/>
      <c r="D242" s="31"/>
      <c r="E242" s="30"/>
      <c r="F242" s="35"/>
      <c r="G242" s="33"/>
      <c r="H242" s="30"/>
      <c r="I242" s="30"/>
      <c r="J242" s="30"/>
      <c r="K242" s="34"/>
      <c r="L242" s="20"/>
      <c r="M242" s="20"/>
      <c r="N242" s="20"/>
      <c r="O242" s="20"/>
      <c r="P242" s="20"/>
      <c r="Q242" s="20"/>
      <c r="R242" s="20"/>
      <c r="S242" s="20"/>
      <c r="T242" s="20"/>
      <c r="U242" s="20"/>
      <c r="V242" s="20"/>
      <c r="W242" s="20"/>
      <c r="X242" s="20"/>
      <c r="Y242" s="20"/>
      <c r="Z242" s="21"/>
      <c r="AA242" s="22"/>
      <c r="AB242" s="22"/>
    </row>
    <row r="243" spans="1:28" ht="15.75" customHeight="1" x14ac:dyDescent="0.25">
      <c r="A243" s="29"/>
      <c r="B243" s="30"/>
      <c r="C243" s="31"/>
      <c r="D243" s="31"/>
      <c r="E243" s="30"/>
      <c r="F243" s="35"/>
      <c r="G243" s="33"/>
      <c r="H243" s="30"/>
      <c r="I243" s="30"/>
      <c r="J243" s="30"/>
      <c r="K243" s="34"/>
      <c r="L243" s="20"/>
      <c r="M243" s="20"/>
      <c r="N243" s="20"/>
      <c r="O243" s="20"/>
      <c r="P243" s="20"/>
      <c r="Q243" s="20"/>
      <c r="R243" s="20"/>
      <c r="S243" s="20"/>
      <c r="T243" s="20"/>
      <c r="U243" s="20"/>
      <c r="V243" s="20"/>
      <c r="W243" s="20"/>
      <c r="X243" s="20"/>
      <c r="Y243" s="20"/>
      <c r="Z243" s="21"/>
      <c r="AA243" s="22"/>
      <c r="AB243" s="22"/>
    </row>
    <row r="244" spans="1:28" ht="15.75" customHeight="1" x14ac:dyDescent="0.25">
      <c r="A244" s="29"/>
      <c r="B244" s="30"/>
      <c r="C244" s="31"/>
      <c r="D244" s="31"/>
      <c r="E244" s="30"/>
      <c r="F244" s="35"/>
      <c r="G244" s="33"/>
      <c r="H244" s="30"/>
      <c r="I244" s="30"/>
      <c r="J244" s="30"/>
      <c r="K244" s="34"/>
      <c r="L244" s="20"/>
      <c r="M244" s="20"/>
      <c r="N244" s="20"/>
      <c r="O244" s="20"/>
      <c r="P244" s="20"/>
      <c r="Q244" s="20"/>
      <c r="R244" s="20"/>
      <c r="S244" s="20"/>
      <c r="T244" s="20"/>
      <c r="U244" s="20"/>
      <c r="V244" s="20"/>
      <c r="W244" s="20"/>
      <c r="X244" s="20"/>
      <c r="Y244" s="20"/>
      <c r="Z244" s="21"/>
      <c r="AA244" s="22"/>
      <c r="AB244" s="22"/>
    </row>
    <row r="245" spans="1:28" ht="15.75" customHeight="1" x14ac:dyDescent="0.25">
      <c r="A245" s="29"/>
      <c r="B245" s="30"/>
      <c r="C245" s="31"/>
      <c r="D245" s="31"/>
      <c r="E245" s="30"/>
      <c r="F245" s="35"/>
      <c r="G245" s="33"/>
      <c r="H245" s="30"/>
      <c r="I245" s="30"/>
      <c r="J245" s="30"/>
      <c r="K245" s="34"/>
      <c r="L245" s="20"/>
      <c r="M245" s="20"/>
      <c r="N245" s="20"/>
      <c r="O245" s="20"/>
      <c r="P245" s="20"/>
      <c r="Q245" s="20"/>
      <c r="R245" s="20"/>
      <c r="S245" s="20"/>
      <c r="T245" s="20"/>
      <c r="U245" s="20"/>
      <c r="V245" s="20"/>
      <c r="W245" s="20"/>
      <c r="X245" s="20"/>
      <c r="Y245" s="20"/>
      <c r="Z245" s="21"/>
      <c r="AA245" s="22"/>
      <c r="AB245" s="22"/>
    </row>
    <row r="246" spans="1:28" ht="15.75" customHeight="1" x14ac:dyDescent="0.25">
      <c r="A246" s="29"/>
      <c r="B246" s="30"/>
      <c r="C246" s="31"/>
      <c r="D246" s="31"/>
      <c r="E246" s="30"/>
      <c r="F246" s="35"/>
      <c r="G246" s="33"/>
      <c r="H246" s="30"/>
      <c r="I246" s="30"/>
      <c r="J246" s="30"/>
      <c r="K246" s="34"/>
      <c r="L246" s="20"/>
      <c r="M246" s="20"/>
      <c r="N246" s="20"/>
      <c r="O246" s="20"/>
      <c r="P246" s="20"/>
      <c r="Q246" s="20"/>
      <c r="R246" s="20"/>
      <c r="S246" s="20"/>
      <c r="T246" s="20"/>
      <c r="U246" s="20"/>
      <c r="V246" s="20"/>
      <c r="W246" s="20"/>
      <c r="X246" s="20"/>
      <c r="Y246" s="20"/>
      <c r="Z246" s="21"/>
      <c r="AA246" s="22"/>
      <c r="AB246" s="22"/>
    </row>
    <row r="247" spans="1:28" ht="15.75" customHeight="1" x14ac:dyDescent="0.25">
      <c r="A247" s="29"/>
      <c r="B247" s="30"/>
      <c r="C247" s="31"/>
      <c r="D247" s="31"/>
      <c r="E247" s="30"/>
      <c r="F247" s="35"/>
      <c r="G247" s="33"/>
      <c r="H247" s="30"/>
      <c r="I247" s="30"/>
      <c r="J247" s="30"/>
      <c r="K247" s="34"/>
      <c r="L247" s="20"/>
      <c r="M247" s="20"/>
      <c r="N247" s="20"/>
      <c r="O247" s="20"/>
      <c r="P247" s="20"/>
      <c r="Q247" s="20"/>
      <c r="R247" s="20"/>
      <c r="S247" s="20"/>
      <c r="T247" s="20"/>
      <c r="U247" s="20"/>
      <c r="V247" s="20"/>
      <c r="W247" s="20"/>
      <c r="X247" s="20"/>
      <c r="Y247" s="20"/>
      <c r="Z247" s="21"/>
      <c r="AA247" s="22"/>
      <c r="AB247" s="22"/>
    </row>
    <row r="248" spans="1:28" ht="15.75" customHeight="1" x14ac:dyDescent="0.25">
      <c r="A248" s="29"/>
      <c r="B248" s="30"/>
      <c r="C248" s="31"/>
      <c r="D248" s="31"/>
      <c r="E248" s="30"/>
      <c r="F248" s="35"/>
      <c r="G248" s="33"/>
      <c r="H248" s="30"/>
      <c r="I248" s="30"/>
      <c r="J248" s="30"/>
      <c r="K248" s="34"/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0"/>
      <c r="W248" s="20"/>
      <c r="X248" s="20"/>
      <c r="Y248" s="20"/>
      <c r="Z248" s="21"/>
      <c r="AA248" s="22"/>
      <c r="AB248" s="22"/>
    </row>
    <row r="249" spans="1:28" ht="15.75" customHeight="1" x14ac:dyDescent="0.25">
      <c r="A249" s="29"/>
      <c r="B249" s="30"/>
      <c r="C249" s="31"/>
      <c r="D249" s="31"/>
      <c r="E249" s="30"/>
      <c r="F249" s="35"/>
      <c r="G249" s="33"/>
      <c r="H249" s="30"/>
      <c r="I249" s="30"/>
      <c r="J249" s="30"/>
      <c r="K249" s="34"/>
      <c r="L249" s="20"/>
      <c r="M249" s="20"/>
      <c r="N249" s="20"/>
      <c r="O249" s="20"/>
      <c r="P249" s="20"/>
      <c r="Q249" s="20"/>
      <c r="R249" s="20"/>
      <c r="S249" s="20"/>
      <c r="T249" s="20"/>
      <c r="U249" s="20"/>
      <c r="V249" s="20"/>
      <c r="W249" s="20"/>
      <c r="X249" s="20"/>
      <c r="Y249" s="20"/>
      <c r="Z249" s="21"/>
      <c r="AA249" s="22"/>
      <c r="AB249" s="22"/>
    </row>
    <row r="250" spans="1:28" ht="15.75" customHeight="1" x14ac:dyDescent="0.25">
      <c r="A250" s="29"/>
      <c r="B250" s="30"/>
      <c r="C250" s="31"/>
      <c r="D250" s="31"/>
      <c r="E250" s="30"/>
      <c r="F250" s="35"/>
      <c r="G250" s="33"/>
      <c r="H250" s="30"/>
      <c r="I250" s="30"/>
      <c r="J250" s="30"/>
      <c r="K250" s="34"/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1"/>
      <c r="AA250" s="22"/>
      <c r="AB250" s="22"/>
    </row>
    <row r="251" spans="1:28" ht="15.75" customHeight="1" x14ac:dyDescent="0.25">
      <c r="A251" s="29"/>
      <c r="B251" s="30"/>
      <c r="C251" s="31"/>
      <c r="D251" s="31"/>
      <c r="E251" s="30"/>
      <c r="F251" s="35"/>
      <c r="G251" s="33"/>
      <c r="H251" s="30"/>
      <c r="I251" s="30"/>
      <c r="J251" s="30"/>
      <c r="K251" s="34"/>
      <c r="L251" s="20"/>
      <c r="M251" s="20"/>
      <c r="N251" s="20"/>
      <c r="O251" s="20"/>
      <c r="P251" s="20"/>
      <c r="Q251" s="20"/>
      <c r="R251" s="20"/>
      <c r="S251" s="20"/>
      <c r="T251" s="20"/>
      <c r="U251" s="20"/>
      <c r="V251" s="20"/>
      <c r="W251" s="20"/>
      <c r="X251" s="20"/>
      <c r="Y251" s="20"/>
      <c r="Z251" s="21"/>
      <c r="AA251" s="22"/>
      <c r="AB251" s="22"/>
    </row>
    <row r="252" spans="1:28" ht="15.75" customHeight="1" x14ac:dyDescent="0.25">
      <c r="A252" s="29"/>
      <c r="B252" s="30"/>
      <c r="C252" s="31"/>
      <c r="D252" s="31"/>
      <c r="E252" s="30"/>
      <c r="F252" s="35"/>
      <c r="G252" s="33"/>
      <c r="H252" s="30"/>
      <c r="I252" s="30"/>
      <c r="J252" s="30"/>
      <c r="K252" s="34"/>
      <c r="L252" s="20"/>
      <c r="M252" s="20"/>
      <c r="N252" s="20"/>
      <c r="O252" s="20"/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1"/>
      <c r="AA252" s="22"/>
      <c r="AB252" s="22"/>
    </row>
    <row r="253" spans="1:28" ht="15.75" customHeight="1" x14ac:dyDescent="0.25">
      <c r="A253" s="29"/>
      <c r="B253" s="30"/>
      <c r="C253" s="31"/>
      <c r="D253" s="31"/>
      <c r="E253" s="30"/>
      <c r="F253" s="35"/>
      <c r="G253" s="33"/>
      <c r="H253" s="30"/>
      <c r="I253" s="30"/>
      <c r="J253" s="30"/>
      <c r="K253" s="34"/>
      <c r="L253" s="20"/>
      <c r="M253" s="20"/>
      <c r="N253" s="20"/>
      <c r="O253" s="20"/>
      <c r="P253" s="20"/>
      <c r="Q253" s="20"/>
      <c r="R253" s="20"/>
      <c r="S253" s="20"/>
      <c r="T253" s="20"/>
      <c r="U253" s="20"/>
      <c r="V253" s="20"/>
      <c r="W253" s="20"/>
      <c r="X253" s="20"/>
      <c r="Y253" s="20"/>
      <c r="Z253" s="21"/>
      <c r="AA253" s="22"/>
      <c r="AB253" s="22"/>
    </row>
    <row r="254" spans="1:28" ht="15.75" customHeight="1" x14ac:dyDescent="0.25">
      <c r="A254" s="29"/>
      <c r="B254" s="30"/>
      <c r="C254" s="31"/>
      <c r="D254" s="31"/>
      <c r="E254" s="30"/>
      <c r="F254" s="35"/>
      <c r="G254" s="33"/>
      <c r="H254" s="30"/>
      <c r="I254" s="30"/>
      <c r="J254" s="30"/>
      <c r="K254" s="34"/>
      <c r="L254" s="20"/>
      <c r="M254" s="20"/>
      <c r="N254" s="20"/>
      <c r="O254" s="20"/>
      <c r="P254" s="20"/>
      <c r="Q254" s="20"/>
      <c r="R254" s="20"/>
      <c r="S254" s="20"/>
      <c r="T254" s="20"/>
      <c r="U254" s="20"/>
      <c r="V254" s="20"/>
      <c r="W254" s="20"/>
      <c r="X254" s="20"/>
      <c r="Y254" s="20"/>
      <c r="Z254" s="21"/>
      <c r="AA254" s="22"/>
      <c r="AB254" s="22"/>
    </row>
    <row r="255" spans="1:28" ht="15.75" customHeight="1" x14ac:dyDescent="0.25">
      <c r="A255" s="29"/>
      <c r="B255" s="30"/>
      <c r="C255" s="31"/>
      <c r="D255" s="31"/>
      <c r="E255" s="30"/>
      <c r="F255" s="35"/>
      <c r="G255" s="33"/>
      <c r="H255" s="30"/>
      <c r="I255" s="30"/>
      <c r="J255" s="30"/>
      <c r="K255" s="34"/>
      <c r="L255" s="20"/>
      <c r="M255" s="20"/>
      <c r="N255" s="20"/>
      <c r="O255" s="20"/>
      <c r="P255" s="20"/>
      <c r="Q255" s="20"/>
      <c r="R255" s="20"/>
      <c r="S255" s="20"/>
      <c r="T255" s="20"/>
      <c r="U255" s="20"/>
      <c r="V255" s="20"/>
      <c r="W255" s="20"/>
      <c r="X255" s="20"/>
      <c r="Y255" s="20"/>
      <c r="Z255" s="21"/>
      <c r="AA255" s="22"/>
      <c r="AB255" s="22"/>
    </row>
    <row r="256" spans="1:28" ht="15.75" customHeight="1" x14ac:dyDescent="0.25">
      <c r="A256" s="29"/>
      <c r="B256" s="30"/>
      <c r="C256" s="31"/>
      <c r="D256" s="31"/>
      <c r="E256" s="30"/>
      <c r="F256" s="35"/>
      <c r="G256" s="33"/>
      <c r="H256" s="30"/>
      <c r="I256" s="30"/>
      <c r="J256" s="30"/>
      <c r="K256" s="34"/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0"/>
      <c r="W256" s="20"/>
      <c r="X256" s="20"/>
      <c r="Y256" s="20"/>
      <c r="Z256" s="21"/>
      <c r="AA256" s="22"/>
      <c r="AB256" s="22"/>
    </row>
    <row r="257" spans="1:28" ht="15.75" customHeight="1" x14ac:dyDescent="0.25">
      <c r="A257" s="29"/>
      <c r="B257" s="30"/>
      <c r="C257" s="31"/>
      <c r="D257" s="31"/>
      <c r="E257" s="30"/>
      <c r="F257" s="35"/>
      <c r="G257" s="33"/>
      <c r="H257" s="30"/>
      <c r="I257" s="30"/>
      <c r="J257" s="30"/>
      <c r="K257" s="34"/>
      <c r="L257" s="20"/>
      <c r="M257" s="20"/>
      <c r="N257" s="20"/>
      <c r="O257" s="20"/>
      <c r="P257" s="20"/>
      <c r="Q257" s="20"/>
      <c r="R257" s="20"/>
      <c r="S257" s="20"/>
      <c r="T257" s="20"/>
      <c r="U257" s="20"/>
      <c r="V257" s="20"/>
      <c r="W257" s="20"/>
      <c r="X257" s="20"/>
      <c r="Y257" s="20"/>
      <c r="Z257" s="21"/>
      <c r="AA257" s="22"/>
      <c r="AB257" s="22"/>
    </row>
    <row r="258" spans="1:28" ht="15.75" customHeight="1" x14ac:dyDescent="0.25">
      <c r="A258" s="29"/>
      <c r="B258" s="30"/>
      <c r="C258" s="31"/>
      <c r="D258" s="31"/>
      <c r="E258" s="30"/>
      <c r="F258" s="35"/>
      <c r="G258" s="33"/>
      <c r="H258" s="30"/>
      <c r="I258" s="30"/>
      <c r="J258" s="30"/>
      <c r="K258" s="34"/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0"/>
      <c r="W258" s="20"/>
      <c r="X258" s="20"/>
      <c r="Y258" s="20"/>
      <c r="Z258" s="21"/>
      <c r="AA258" s="22"/>
      <c r="AB258" s="22"/>
    </row>
    <row r="259" spans="1:28" ht="15.75" customHeight="1" x14ac:dyDescent="0.25">
      <c r="A259" s="29"/>
      <c r="B259" s="30"/>
      <c r="C259" s="31"/>
      <c r="D259" s="31"/>
      <c r="E259" s="30"/>
      <c r="F259" s="35"/>
      <c r="G259" s="33"/>
      <c r="H259" s="30"/>
      <c r="I259" s="30"/>
      <c r="J259" s="30"/>
      <c r="K259" s="34"/>
      <c r="L259" s="20"/>
      <c r="M259" s="20"/>
      <c r="N259" s="20"/>
      <c r="O259" s="20"/>
      <c r="P259" s="20"/>
      <c r="Q259" s="20"/>
      <c r="R259" s="20"/>
      <c r="S259" s="20"/>
      <c r="T259" s="20"/>
      <c r="U259" s="20"/>
      <c r="V259" s="20"/>
      <c r="W259" s="20"/>
      <c r="X259" s="20"/>
      <c r="Y259" s="20"/>
      <c r="Z259" s="21"/>
      <c r="AA259" s="22"/>
      <c r="AB259" s="22"/>
    </row>
    <row r="260" spans="1:28" ht="15.75" customHeight="1" x14ac:dyDescent="0.25">
      <c r="A260" s="29"/>
      <c r="B260" s="30"/>
      <c r="C260" s="31"/>
      <c r="D260" s="31"/>
      <c r="E260" s="30"/>
      <c r="F260" s="35"/>
      <c r="G260" s="33"/>
      <c r="H260" s="30"/>
      <c r="I260" s="30"/>
      <c r="J260" s="30"/>
      <c r="K260" s="34"/>
      <c r="L260" s="20"/>
      <c r="M260" s="20"/>
      <c r="N260" s="20"/>
      <c r="O260" s="20"/>
      <c r="P260" s="20"/>
      <c r="Q260" s="20"/>
      <c r="R260" s="20"/>
      <c r="S260" s="20"/>
      <c r="T260" s="20"/>
      <c r="U260" s="20"/>
      <c r="V260" s="20"/>
      <c r="W260" s="20"/>
      <c r="X260" s="20"/>
      <c r="Y260" s="20"/>
      <c r="Z260" s="21"/>
      <c r="AA260" s="22"/>
      <c r="AB260" s="22"/>
    </row>
    <row r="261" spans="1:28" ht="15.75" customHeight="1" x14ac:dyDescent="0.25">
      <c r="A261" s="29"/>
      <c r="B261" s="30"/>
      <c r="C261" s="31"/>
      <c r="D261" s="31"/>
      <c r="E261" s="30"/>
      <c r="F261" s="35"/>
      <c r="G261" s="33"/>
      <c r="H261" s="30"/>
      <c r="I261" s="30"/>
      <c r="J261" s="30"/>
      <c r="K261" s="34"/>
      <c r="L261" s="20"/>
      <c r="M261" s="20"/>
      <c r="N261" s="20"/>
      <c r="O261" s="20"/>
      <c r="P261" s="20"/>
      <c r="Q261" s="20"/>
      <c r="R261" s="20"/>
      <c r="S261" s="20"/>
      <c r="T261" s="20"/>
      <c r="U261" s="20"/>
      <c r="V261" s="20"/>
      <c r="W261" s="20"/>
      <c r="X261" s="20"/>
      <c r="Y261" s="20"/>
      <c r="Z261" s="21"/>
      <c r="AA261" s="22"/>
      <c r="AB261" s="22"/>
    </row>
    <row r="262" spans="1:28" ht="15.75" customHeight="1" x14ac:dyDescent="0.25">
      <c r="A262" s="29"/>
      <c r="B262" s="30"/>
      <c r="C262" s="31"/>
      <c r="D262" s="31"/>
      <c r="E262" s="30"/>
      <c r="F262" s="35"/>
      <c r="G262" s="33"/>
      <c r="H262" s="30"/>
      <c r="I262" s="30"/>
      <c r="J262" s="30"/>
      <c r="K262" s="34"/>
      <c r="L262" s="20"/>
      <c r="M262" s="20"/>
      <c r="N262" s="20"/>
      <c r="O262" s="20"/>
      <c r="P262" s="20"/>
      <c r="Q262" s="20"/>
      <c r="R262" s="20"/>
      <c r="S262" s="20"/>
      <c r="T262" s="20"/>
      <c r="U262" s="20"/>
      <c r="V262" s="20"/>
      <c r="W262" s="20"/>
      <c r="X262" s="20"/>
      <c r="Y262" s="20"/>
      <c r="Z262" s="21"/>
      <c r="AA262" s="22"/>
      <c r="AB262" s="22"/>
    </row>
    <row r="263" spans="1:28" ht="15.75" customHeight="1" x14ac:dyDescent="0.25">
      <c r="A263" s="29"/>
      <c r="B263" s="30"/>
      <c r="C263" s="31"/>
      <c r="D263" s="31"/>
      <c r="E263" s="30"/>
      <c r="F263" s="35"/>
      <c r="G263" s="33"/>
      <c r="H263" s="30"/>
      <c r="I263" s="30"/>
      <c r="J263" s="30"/>
      <c r="K263" s="34"/>
      <c r="L263" s="20"/>
      <c r="M263" s="20"/>
      <c r="N263" s="20"/>
      <c r="O263" s="20"/>
      <c r="P263" s="20"/>
      <c r="Q263" s="20"/>
      <c r="R263" s="20"/>
      <c r="S263" s="20"/>
      <c r="T263" s="20"/>
      <c r="U263" s="20"/>
      <c r="V263" s="20"/>
      <c r="W263" s="20"/>
      <c r="X263" s="20"/>
      <c r="Y263" s="20"/>
      <c r="Z263" s="21"/>
      <c r="AA263" s="22"/>
      <c r="AB263" s="22"/>
    </row>
    <row r="264" spans="1:28" ht="15.75" customHeight="1" x14ac:dyDescent="0.25">
      <c r="A264" s="29"/>
      <c r="B264" s="30"/>
      <c r="C264" s="31"/>
      <c r="D264" s="31"/>
      <c r="E264" s="30"/>
      <c r="F264" s="35"/>
      <c r="G264" s="33"/>
      <c r="H264" s="30"/>
      <c r="I264" s="30"/>
      <c r="J264" s="30"/>
      <c r="K264" s="34"/>
      <c r="L264" s="20"/>
      <c r="M264" s="20"/>
      <c r="N264" s="20"/>
      <c r="O264" s="20"/>
      <c r="P264" s="20"/>
      <c r="Q264" s="20"/>
      <c r="R264" s="20"/>
      <c r="S264" s="20"/>
      <c r="T264" s="20"/>
      <c r="U264" s="20"/>
      <c r="V264" s="20"/>
      <c r="W264" s="20"/>
      <c r="X264" s="20"/>
      <c r="Y264" s="20"/>
      <c r="Z264" s="21"/>
      <c r="AA264" s="22"/>
      <c r="AB264" s="22"/>
    </row>
    <row r="265" spans="1:28" ht="15.75" customHeight="1" x14ac:dyDescent="0.25">
      <c r="A265" s="29"/>
      <c r="B265" s="30"/>
      <c r="C265" s="31"/>
      <c r="D265" s="31"/>
      <c r="E265" s="30"/>
      <c r="F265" s="35"/>
      <c r="G265" s="33"/>
      <c r="H265" s="30"/>
      <c r="I265" s="30"/>
      <c r="J265" s="30"/>
      <c r="K265" s="34"/>
      <c r="L265" s="20"/>
      <c r="M265" s="20"/>
      <c r="N265" s="20"/>
      <c r="O265" s="20"/>
      <c r="P265" s="20"/>
      <c r="Q265" s="20"/>
      <c r="R265" s="20"/>
      <c r="S265" s="20"/>
      <c r="T265" s="20"/>
      <c r="U265" s="20"/>
      <c r="V265" s="20"/>
      <c r="W265" s="20"/>
      <c r="X265" s="20"/>
      <c r="Y265" s="20"/>
      <c r="Z265" s="21"/>
      <c r="AA265" s="22"/>
      <c r="AB265" s="22"/>
    </row>
    <row r="266" spans="1:28" ht="15.75" customHeight="1" x14ac:dyDescent="0.25">
      <c r="A266" s="29"/>
      <c r="B266" s="30"/>
      <c r="C266" s="31"/>
      <c r="D266" s="31"/>
      <c r="E266" s="30"/>
      <c r="F266" s="35"/>
      <c r="G266" s="33"/>
      <c r="H266" s="30"/>
      <c r="I266" s="30"/>
      <c r="J266" s="30"/>
      <c r="K266" s="34"/>
      <c r="L266" s="20"/>
      <c r="M266" s="20"/>
      <c r="N266" s="20"/>
      <c r="O266" s="20"/>
      <c r="P266" s="20"/>
      <c r="Q266" s="20"/>
      <c r="R266" s="20"/>
      <c r="S266" s="20"/>
      <c r="T266" s="20"/>
      <c r="U266" s="20"/>
      <c r="V266" s="20"/>
      <c r="W266" s="20"/>
      <c r="X266" s="20"/>
      <c r="Y266" s="20"/>
      <c r="Z266" s="21"/>
      <c r="AA266" s="22"/>
      <c r="AB266" s="22"/>
    </row>
    <row r="267" spans="1:28" ht="15.75" customHeight="1" x14ac:dyDescent="0.25">
      <c r="A267" s="29"/>
      <c r="B267" s="30"/>
      <c r="C267" s="31"/>
      <c r="D267" s="31"/>
      <c r="E267" s="30"/>
      <c r="F267" s="35"/>
      <c r="G267" s="33"/>
      <c r="H267" s="30"/>
      <c r="I267" s="30"/>
      <c r="J267" s="30"/>
      <c r="K267" s="34"/>
      <c r="L267" s="20"/>
      <c r="M267" s="20"/>
      <c r="N267" s="20"/>
      <c r="O267" s="20"/>
      <c r="P267" s="20"/>
      <c r="Q267" s="20"/>
      <c r="R267" s="20"/>
      <c r="S267" s="20"/>
      <c r="T267" s="20"/>
      <c r="U267" s="20"/>
      <c r="V267" s="20"/>
      <c r="W267" s="20"/>
      <c r="X267" s="20"/>
      <c r="Y267" s="20"/>
      <c r="Z267" s="21"/>
      <c r="AA267" s="22"/>
      <c r="AB267" s="22"/>
    </row>
    <row r="268" spans="1:28" ht="15.75" customHeight="1" x14ac:dyDescent="0.25">
      <c r="A268" s="29"/>
      <c r="B268" s="30"/>
      <c r="C268" s="31"/>
      <c r="D268" s="31"/>
      <c r="E268" s="30"/>
      <c r="F268" s="35"/>
      <c r="G268" s="33"/>
      <c r="H268" s="30"/>
      <c r="I268" s="30"/>
      <c r="J268" s="30"/>
      <c r="K268" s="34"/>
      <c r="L268" s="20"/>
      <c r="M268" s="20"/>
      <c r="N268" s="20"/>
      <c r="O268" s="20"/>
      <c r="P268" s="20"/>
      <c r="Q268" s="20"/>
      <c r="R268" s="20"/>
      <c r="S268" s="20"/>
      <c r="T268" s="20"/>
      <c r="U268" s="20"/>
      <c r="V268" s="20"/>
      <c r="W268" s="20"/>
      <c r="X268" s="20"/>
      <c r="Y268" s="20"/>
      <c r="Z268" s="21"/>
      <c r="AA268" s="22"/>
      <c r="AB268" s="22"/>
    </row>
    <row r="269" spans="1:28" ht="15.75" customHeight="1" x14ac:dyDescent="0.25">
      <c r="A269" s="29"/>
      <c r="B269" s="30"/>
      <c r="C269" s="31"/>
      <c r="D269" s="31"/>
      <c r="E269" s="30"/>
      <c r="F269" s="35"/>
      <c r="G269" s="33"/>
      <c r="H269" s="30"/>
      <c r="I269" s="30"/>
      <c r="J269" s="30"/>
      <c r="K269" s="34"/>
      <c r="L269" s="20"/>
      <c r="M269" s="20"/>
      <c r="N269" s="20"/>
      <c r="O269" s="20"/>
      <c r="P269" s="20"/>
      <c r="Q269" s="20"/>
      <c r="R269" s="20"/>
      <c r="S269" s="20"/>
      <c r="T269" s="20"/>
      <c r="U269" s="20"/>
      <c r="V269" s="20"/>
      <c r="W269" s="20"/>
      <c r="X269" s="20"/>
      <c r="Y269" s="20"/>
      <c r="Z269" s="21"/>
      <c r="AA269" s="22"/>
      <c r="AB269" s="22"/>
    </row>
    <row r="270" spans="1:28" ht="15.75" customHeight="1" x14ac:dyDescent="0.25">
      <c r="A270" s="29"/>
      <c r="B270" s="30"/>
      <c r="C270" s="31"/>
      <c r="D270" s="31"/>
      <c r="E270" s="30"/>
      <c r="F270" s="35"/>
      <c r="G270" s="33"/>
      <c r="H270" s="30"/>
      <c r="I270" s="30"/>
      <c r="J270" s="30"/>
      <c r="K270" s="34"/>
      <c r="L270" s="20"/>
      <c r="M270" s="20"/>
      <c r="N270" s="20"/>
      <c r="O270" s="20"/>
      <c r="P270" s="20"/>
      <c r="Q270" s="20"/>
      <c r="R270" s="20"/>
      <c r="S270" s="20"/>
      <c r="T270" s="20"/>
      <c r="U270" s="20"/>
      <c r="V270" s="20"/>
      <c r="W270" s="20"/>
      <c r="X270" s="20"/>
      <c r="Y270" s="20"/>
      <c r="Z270" s="21"/>
      <c r="AA270" s="22"/>
      <c r="AB270" s="22"/>
    </row>
    <row r="271" spans="1:28" ht="15.75" customHeight="1" x14ac:dyDescent="0.25">
      <c r="A271" s="36"/>
      <c r="B271" s="37"/>
      <c r="C271" s="38"/>
      <c r="D271" s="38"/>
      <c r="E271" s="37"/>
      <c r="F271" s="39"/>
      <c r="G271" s="40"/>
      <c r="H271" s="37"/>
      <c r="I271" s="37"/>
      <c r="J271" s="37"/>
      <c r="K271" s="41"/>
      <c r="L271" s="20"/>
      <c r="M271" s="20"/>
      <c r="N271" s="20"/>
      <c r="O271" s="20"/>
      <c r="P271" s="20"/>
      <c r="Q271" s="20"/>
      <c r="R271" s="20"/>
      <c r="S271" s="20"/>
      <c r="T271" s="20"/>
      <c r="U271" s="20"/>
      <c r="V271" s="20"/>
      <c r="W271" s="20"/>
      <c r="X271" s="20"/>
      <c r="Y271" s="20"/>
      <c r="Z271" s="21"/>
      <c r="AA271" s="22"/>
      <c r="AB271" s="22"/>
    </row>
    <row r="272" spans="1:28" ht="15.75" customHeight="1" x14ac:dyDescent="0.25">
      <c r="A272" s="42"/>
      <c r="B272" s="42"/>
      <c r="C272" s="43"/>
      <c r="D272" s="43"/>
      <c r="E272" s="42"/>
      <c r="F272" s="42"/>
      <c r="G272" s="44"/>
      <c r="H272" s="42"/>
      <c r="I272" s="42"/>
      <c r="J272" s="42"/>
      <c r="K272" s="42"/>
      <c r="L272" s="20"/>
      <c r="M272" s="20"/>
      <c r="N272" s="20"/>
      <c r="O272" s="20"/>
      <c r="P272" s="20"/>
      <c r="Q272" s="20"/>
      <c r="R272" s="20"/>
      <c r="S272" s="20"/>
      <c r="T272" s="20"/>
      <c r="U272" s="20"/>
      <c r="V272" s="20"/>
      <c r="W272" s="20"/>
      <c r="X272" s="20"/>
      <c r="Y272" s="20"/>
      <c r="Z272" s="21"/>
      <c r="AA272" s="22"/>
      <c r="AB272" s="22"/>
    </row>
    <row r="273" spans="1:28" ht="15.75" customHeight="1" x14ac:dyDescent="0.25">
      <c r="A273" s="42"/>
      <c r="B273" s="42"/>
      <c r="C273" s="43"/>
      <c r="D273" s="43"/>
      <c r="E273" s="42"/>
      <c r="F273" s="42"/>
      <c r="G273" s="44"/>
      <c r="H273" s="42"/>
      <c r="I273" s="42"/>
      <c r="J273" s="42"/>
      <c r="K273" s="42"/>
      <c r="L273" s="20"/>
      <c r="M273" s="20"/>
      <c r="N273" s="20"/>
      <c r="O273" s="20"/>
      <c r="P273" s="20"/>
      <c r="Q273" s="20"/>
      <c r="R273" s="20"/>
      <c r="S273" s="20"/>
      <c r="T273" s="20"/>
      <c r="U273" s="20"/>
      <c r="V273" s="20"/>
      <c r="W273" s="20"/>
      <c r="X273" s="20"/>
      <c r="Y273" s="20"/>
      <c r="Z273" s="21"/>
      <c r="AA273" s="22"/>
      <c r="AB273" s="22"/>
    </row>
    <row r="274" spans="1:28" ht="15.75" customHeight="1" x14ac:dyDescent="0.25">
      <c r="A274" s="42"/>
      <c r="B274" s="42"/>
      <c r="C274" s="43"/>
      <c r="D274" s="43"/>
      <c r="E274" s="42"/>
      <c r="F274" s="42"/>
      <c r="G274" s="44"/>
      <c r="H274" s="42"/>
      <c r="I274" s="42"/>
      <c r="J274" s="42"/>
      <c r="K274" s="42"/>
      <c r="L274" s="20"/>
      <c r="M274" s="20"/>
      <c r="N274" s="20"/>
      <c r="O274" s="20"/>
      <c r="P274" s="20"/>
      <c r="Q274" s="20"/>
      <c r="R274" s="20"/>
      <c r="S274" s="20"/>
      <c r="T274" s="20"/>
      <c r="U274" s="20"/>
      <c r="V274" s="20"/>
      <c r="W274" s="20"/>
      <c r="X274" s="20"/>
      <c r="Y274" s="20"/>
      <c r="Z274" s="21"/>
      <c r="AA274" s="22"/>
      <c r="AB274" s="22"/>
    </row>
    <row r="275" spans="1:28" ht="15.75" customHeight="1" x14ac:dyDescent="0.25">
      <c r="A275" s="42"/>
      <c r="B275" s="42"/>
      <c r="C275" s="43"/>
      <c r="D275" s="43"/>
      <c r="E275" s="42"/>
      <c r="F275" s="42"/>
      <c r="G275" s="44"/>
      <c r="H275" s="42"/>
      <c r="I275" s="42"/>
      <c r="J275" s="42"/>
      <c r="K275" s="42"/>
      <c r="L275" s="20"/>
      <c r="M275" s="20"/>
      <c r="N275" s="20"/>
      <c r="O275" s="20"/>
      <c r="P275" s="20"/>
      <c r="Q275" s="20"/>
      <c r="R275" s="20"/>
      <c r="S275" s="20"/>
      <c r="T275" s="20"/>
      <c r="U275" s="20"/>
      <c r="V275" s="20"/>
      <c r="W275" s="20"/>
      <c r="X275" s="20"/>
      <c r="Y275" s="20"/>
      <c r="Z275" s="21"/>
      <c r="AA275" s="22"/>
      <c r="AB275" s="22"/>
    </row>
    <row r="276" spans="1:28" ht="15.75" customHeight="1" x14ac:dyDescent="0.25">
      <c r="A276" s="42"/>
      <c r="B276" s="42"/>
      <c r="C276" s="43"/>
      <c r="D276" s="43"/>
      <c r="E276" s="42"/>
      <c r="F276" s="42"/>
      <c r="G276" s="44"/>
      <c r="H276" s="42"/>
      <c r="I276" s="42"/>
      <c r="J276" s="42"/>
      <c r="K276" s="42"/>
      <c r="L276" s="20"/>
      <c r="M276" s="20"/>
      <c r="N276" s="20"/>
      <c r="O276" s="20"/>
      <c r="P276" s="20"/>
      <c r="Q276" s="20"/>
      <c r="R276" s="20"/>
      <c r="S276" s="20"/>
      <c r="T276" s="20"/>
      <c r="U276" s="20"/>
      <c r="V276" s="20"/>
      <c r="W276" s="20"/>
      <c r="X276" s="20"/>
      <c r="Y276" s="20"/>
      <c r="Z276" s="21"/>
      <c r="AA276" s="22"/>
      <c r="AB276" s="22"/>
    </row>
    <row r="277" spans="1:28" ht="15.75" customHeight="1" x14ac:dyDescent="0.25">
      <c r="A277" s="42"/>
      <c r="B277" s="42"/>
      <c r="C277" s="43"/>
      <c r="D277" s="43"/>
      <c r="E277" s="42"/>
      <c r="F277" s="42"/>
      <c r="G277" s="44"/>
      <c r="H277" s="42"/>
      <c r="I277" s="42"/>
      <c r="J277" s="42"/>
      <c r="K277" s="42"/>
      <c r="L277" s="20"/>
      <c r="M277" s="20"/>
      <c r="N277" s="20"/>
      <c r="O277" s="20"/>
      <c r="P277" s="20"/>
      <c r="Q277" s="20"/>
      <c r="R277" s="20"/>
      <c r="S277" s="20"/>
      <c r="T277" s="20"/>
      <c r="U277" s="20"/>
      <c r="V277" s="20"/>
      <c r="W277" s="20"/>
      <c r="X277" s="20"/>
      <c r="Y277" s="20"/>
      <c r="Z277" s="21"/>
      <c r="AA277" s="22"/>
      <c r="AB277" s="22"/>
    </row>
    <row r="278" spans="1:28" ht="15.75" customHeight="1" x14ac:dyDescent="0.25">
      <c r="A278" s="42"/>
      <c r="B278" s="42"/>
      <c r="C278" s="43"/>
      <c r="D278" s="43"/>
      <c r="E278" s="42"/>
      <c r="F278" s="42"/>
      <c r="G278" s="44"/>
      <c r="H278" s="42"/>
      <c r="I278" s="42"/>
      <c r="J278" s="42"/>
      <c r="K278" s="42"/>
      <c r="L278" s="20"/>
      <c r="M278" s="20"/>
      <c r="N278" s="20"/>
      <c r="O278" s="20"/>
      <c r="P278" s="20"/>
      <c r="Q278" s="20"/>
      <c r="R278" s="20"/>
      <c r="S278" s="20"/>
      <c r="T278" s="20"/>
      <c r="U278" s="20"/>
      <c r="V278" s="20"/>
      <c r="W278" s="20"/>
      <c r="X278" s="20"/>
      <c r="Y278" s="20"/>
      <c r="Z278" s="21"/>
      <c r="AA278" s="22"/>
      <c r="AB278" s="22"/>
    </row>
    <row r="279" spans="1:28" ht="15.75" customHeight="1" x14ac:dyDescent="0.25">
      <c r="A279" s="42"/>
      <c r="B279" s="42"/>
      <c r="C279" s="43"/>
      <c r="D279" s="43"/>
      <c r="E279" s="42"/>
      <c r="F279" s="42"/>
      <c r="G279" s="44"/>
      <c r="H279" s="42"/>
      <c r="I279" s="42"/>
      <c r="J279" s="42"/>
      <c r="K279" s="42"/>
      <c r="L279" s="20"/>
      <c r="M279" s="20"/>
      <c r="N279" s="20"/>
      <c r="O279" s="20"/>
      <c r="P279" s="20"/>
      <c r="Q279" s="20"/>
      <c r="R279" s="20"/>
      <c r="S279" s="20"/>
      <c r="T279" s="20"/>
      <c r="U279" s="20"/>
      <c r="V279" s="20"/>
      <c r="W279" s="20"/>
      <c r="X279" s="20"/>
      <c r="Y279" s="20"/>
      <c r="Z279" s="21"/>
      <c r="AA279" s="22"/>
      <c r="AB279" s="22"/>
    </row>
    <row r="280" spans="1:28" ht="15.75" customHeight="1" x14ac:dyDescent="0.25">
      <c r="A280" s="42"/>
      <c r="B280" s="42"/>
      <c r="C280" s="43"/>
      <c r="D280" s="43"/>
      <c r="E280" s="42"/>
      <c r="F280" s="42"/>
      <c r="G280" s="44"/>
      <c r="H280" s="42"/>
      <c r="I280" s="42"/>
      <c r="J280" s="42"/>
      <c r="K280" s="42"/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0"/>
      <c r="W280" s="20"/>
      <c r="X280" s="20"/>
      <c r="Y280" s="20"/>
      <c r="Z280" s="21"/>
      <c r="AA280" s="22"/>
      <c r="AB280" s="22"/>
    </row>
    <row r="281" spans="1:28" ht="15.75" customHeight="1" x14ac:dyDescent="0.25">
      <c r="A281" s="42"/>
      <c r="B281" s="42"/>
      <c r="C281" s="43"/>
      <c r="D281" s="43"/>
      <c r="E281" s="42"/>
      <c r="F281" s="42"/>
      <c r="G281" s="44"/>
      <c r="H281" s="42"/>
      <c r="I281" s="42"/>
      <c r="J281" s="42"/>
      <c r="K281" s="42"/>
      <c r="L281" s="20"/>
      <c r="M281" s="20"/>
      <c r="N281" s="20"/>
      <c r="O281" s="20"/>
      <c r="P281" s="20"/>
      <c r="Q281" s="20"/>
      <c r="R281" s="20"/>
      <c r="S281" s="20"/>
      <c r="T281" s="20"/>
      <c r="U281" s="20"/>
      <c r="V281" s="20"/>
      <c r="W281" s="20"/>
      <c r="X281" s="20"/>
      <c r="Y281" s="20"/>
      <c r="Z281" s="21"/>
      <c r="AA281" s="22"/>
      <c r="AB281" s="22"/>
    </row>
    <row r="282" spans="1:28" ht="15.75" customHeight="1" x14ac:dyDescent="0.25">
      <c r="A282" s="42"/>
      <c r="B282" s="42"/>
      <c r="C282" s="43"/>
      <c r="D282" s="43"/>
      <c r="E282" s="42"/>
      <c r="F282" s="42"/>
      <c r="G282" s="44"/>
      <c r="H282" s="42"/>
      <c r="I282" s="42"/>
      <c r="J282" s="42"/>
      <c r="K282" s="42"/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0"/>
      <c r="W282" s="20"/>
      <c r="X282" s="20"/>
      <c r="Y282" s="20"/>
      <c r="Z282" s="21"/>
      <c r="AA282" s="22"/>
      <c r="AB282" s="22"/>
    </row>
    <row r="283" spans="1:28" ht="15.75" customHeight="1" x14ac:dyDescent="0.25">
      <c r="A283" s="42"/>
      <c r="B283" s="42"/>
      <c r="C283" s="43"/>
      <c r="D283" s="43"/>
      <c r="E283" s="42"/>
      <c r="F283" s="42"/>
      <c r="G283" s="44"/>
      <c r="H283" s="42"/>
      <c r="I283" s="42"/>
      <c r="J283" s="42"/>
      <c r="K283" s="42"/>
      <c r="L283" s="20"/>
      <c r="M283" s="20"/>
      <c r="N283" s="20"/>
      <c r="O283" s="20"/>
      <c r="P283" s="20"/>
      <c r="Q283" s="20"/>
      <c r="R283" s="20"/>
      <c r="S283" s="20"/>
      <c r="T283" s="20"/>
      <c r="U283" s="20"/>
      <c r="V283" s="20"/>
      <c r="W283" s="20"/>
      <c r="X283" s="20"/>
      <c r="Y283" s="20"/>
      <c r="Z283" s="21"/>
      <c r="AA283" s="22"/>
      <c r="AB283" s="22"/>
    </row>
    <row r="284" spans="1:28" ht="15.75" customHeight="1" x14ac:dyDescent="0.25">
      <c r="A284" s="42"/>
      <c r="B284" s="42"/>
      <c r="C284" s="43"/>
      <c r="D284" s="43"/>
      <c r="E284" s="42"/>
      <c r="F284" s="42"/>
      <c r="G284" s="44"/>
      <c r="H284" s="42"/>
      <c r="I284" s="42"/>
      <c r="J284" s="42"/>
      <c r="K284" s="42"/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0"/>
      <c r="W284" s="20"/>
      <c r="X284" s="20"/>
      <c r="Y284" s="20"/>
      <c r="Z284" s="21"/>
      <c r="AA284" s="22"/>
      <c r="AB284" s="22"/>
    </row>
    <row r="285" spans="1:28" ht="15.75" customHeight="1" x14ac:dyDescent="0.25">
      <c r="A285" s="42"/>
      <c r="B285" s="42"/>
      <c r="C285" s="43"/>
      <c r="D285" s="43"/>
      <c r="E285" s="42"/>
      <c r="F285" s="42"/>
      <c r="G285" s="44"/>
      <c r="H285" s="42"/>
      <c r="I285" s="42"/>
      <c r="J285" s="42"/>
      <c r="K285" s="42"/>
      <c r="L285" s="20"/>
      <c r="M285" s="20"/>
      <c r="N285" s="20"/>
      <c r="O285" s="20"/>
      <c r="P285" s="20"/>
      <c r="Q285" s="20"/>
      <c r="R285" s="20"/>
      <c r="S285" s="20"/>
      <c r="T285" s="20"/>
      <c r="U285" s="20"/>
      <c r="V285" s="20"/>
      <c r="W285" s="20"/>
      <c r="X285" s="20"/>
      <c r="Y285" s="20"/>
      <c r="Z285" s="21"/>
      <c r="AA285" s="22"/>
      <c r="AB285" s="22"/>
    </row>
    <row r="286" spans="1:28" ht="15.75" customHeight="1" x14ac:dyDescent="0.25">
      <c r="A286" s="42"/>
      <c r="B286" s="42"/>
      <c r="C286" s="43"/>
      <c r="D286" s="43"/>
      <c r="E286" s="42"/>
      <c r="F286" s="42"/>
      <c r="G286" s="44"/>
      <c r="H286" s="42"/>
      <c r="I286" s="42"/>
      <c r="J286" s="42"/>
      <c r="K286" s="42"/>
      <c r="L286" s="20"/>
      <c r="M286" s="20"/>
      <c r="N286" s="20"/>
      <c r="O286" s="20"/>
      <c r="P286" s="20"/>
      <c r="Q286" s="20"/>
      <c r="R286" s="20"/>
      <c r="S286" s="20"/>
      <c r="T286" s="20"/>
      <c r="U286" s="20"/>
      <c r="V286" s="20"/>
      <c r="W286" s="20"/>
      <c r="X286" s="20"/>
      <c r="Y286" s="20"/>
      <c r="Z286" s="21"/>
      <c r="AA286" s="22"/>
      <c r="AB286" s="22"/>
    </row>
    <row r="287" spans="1:28" ht="15.75" customHeight="1" x14ac:dyDescent="0.25">
      <c r="A287" s="42"/>
      <c r="B287" s="42"/>
      <c r="C287" s="43"/>
      <c r="D287" s="43"/>
      <c r="E287" s="42"/>
      <c r="F287" s="42"/>
      <c r="G287" s="44"/>
      <c r="H287" s="42"/>
      <c r="I287" s="42"/>
      <c r="J287" s="42"/>
      <c r="K287" s="42"/>
      <c r="L287" s="20"/>
      <c r="M287" s="20"/>
      <c r="N287" s="20"/>
      <c r="O287" s="20"/>
      <c r="P287" s="20"/>
      <c r="Q287" s="20"/>
      <c r="R287" s="20"/>
      <c r="S287" s="20"/>
      <c r="T287" s="20"/>
      <c r="U287" s="20"/>
      <c r="V287" s="20"/>
      <c r="W287" s="20"/>
      <c r="X287" s="20"/>
      <c r="Y287" s="20"/>
      <c r="Z287" s="21"/>
      <c r="AA287" s="22"/>
      <c r="AB287" s="22"/>
    </row>
    <row r="288" spans="1:28" ht="15.75" customHeight="1" x14ac:dyDescent="0.25">
      <c r="A288" s="42"/>
      <c r="B288" s="42"/>
      <c r="C288" s="43"/>
      <c r="D288" s="43"/>
      <c r="E288" s="42"/>
      <c r="F288" s="42"/>
      <c r="G288" s="44"/>
      <c r="H288" s="42"/>
      <c r="I288" s="42"/>
      <c r="J288" s="42"/>
      <c r="K288" s="42"/>
      <c r="L288" s="20"/>
      <c r="M288" s="20"/>
      <c r="N288" s="20"/>
      <c r="O288" s="20"/>
      <c r="P288" s="20"/>
      <c r="Q288" s="20"/>
      <c r="R288" s="20"/>
      <c r="S288" s="20"/>
      <c r="T288" s="20"/>
      <c r="U288" s="20"/>
      <c r="V288" s="20"/>
      <c r="W288" s="20"/>
      <c r="X288" s="20"/>
      <c r="Y288" s="20"/>
      <c r="Z288" s="21"/>
      <c r="AA288" s="22"/>
      <c r="AB288" s="22"/>
    </row>
    <row r="289" spans="1:28" ht="15.75" customHeight="1" x14ac:dyDescent="0.25">
      <c r="A289" s="42"/>
      <c r="B289" s="42"/>
      <c r="C289" s="43"/>
      <c r="D289" s="43"/>
      <c r="E289" s="42"/>
      <c r="F289" s="42"/>
      <c r="G289" s="44"/>
      <c r="H289" s="42"/>
      <c r="I289" s="42"/>
      <c r="J289" s="42"/>
      <c r="K289" s="42"/>
      <c r="L289" s="20"/>
      <c r="M289" s="20"/>
      <c r="N289" s="20"/>
      <c r="O289" s="20"/>
      <c r="P289" s="20"/>
      <c r="Q289" s="20"/>
      <c r="R289" s="20"/>
      <c r="S289" s="20"/>
      <c r="T289" s="20"/>
      <c r="U289" s="20"/>
      <c r="V289" s="20"/>
      <c r="W289" s="20"/>
      <c r="X289" s="20"/>
      <c r="Y289" s="20"/>
      <c r="Z289" s="21"/>
      <c r="AA289" s="22"/>
      <c r="AB289" s="22"/>
    </row>
    <row r="290" spans="1:28" ht="15.75" customHeight="1" x14ac:dyDescent="0.25">
      <c r="A290" s="42"/>
      <c r="B290" s="42"/>
      <c r="C290" s="43"/>
      <c r="D290" s="43"/>
      <c r="E290" s="42"/>
      <c r="F290" s="42"/>
      <c r="G290" s="44"/>
      <c r="H290" s="42"/>
      <c r="I290" s="42"/>
      <c r="J290" s="42"/>
      <c r="K290" s="42"/>
      <c r="L290" s="20"/>
      <c r="M290" s="20"/>
      <c r="N290" s="20"/>
      <c r="O290" s="20"/>
      <c r="P290" s="20"/>
      <c r="Q290" s="20"/>
      <c r="R290" s="20"/>
      <c r="S290" s="20"/>
      <c r="T290" s="20"/>
      <c r="U290" s="20"/>
      <c r="V290" s="20"/>
      <c r="W290" s="20"/>
      <c r="X290" s="20"/>
      <c r="Y290" s="20"/>
      <c r="Z290" s="21"/>
      <c r="AA290" s="22"/>
      <c r="AB290" s="22"/>
    </row>
    <row r="291" spans="1:28" ht="15.75" customHeight="1" x14ac:dyDescent="0.25">
      <c r="A291" s="42"/>
      <c r="B291" s="42"/>
      <c r="C291" s="43"/>
      <c r="D291" s="43"/>
      <c r="E291" s="42"/>
      <c r="F291" s="42"/>
      <c r="G291" s="44"/>
      <c r="H291" s="42"/>
      <c r="I291" s="42"/>
      <c r="J291" s="42"/>
      <c r="K291" s="42"/>
      <c r="L291" s="20"/>
      <c r="M291" s="20"/>
      <c r="N291" s="20"/>
      <c r="O291" s="20"/>
      <c r="P291" s="20"/>
      <c r="Q291" s="20"/>
      <c r="R291" s="20"/>
      <c r="S291" s="20"/>
      <c r="T291" s="20"/>
      <c r="U291" s="20"/>
      <c r="V291" s="20"/>
      <c r="W291" s="20"/>
      <c r="X291" s="20"/>
      <c r="Y291" s="20"/>
      <c r="Z291" s="21"/>
      <c r="AA291" s="22"/>
      <c r="AB291" s="22"/>
    </row>
    <row r="292" spans="1:28" ht="15.75" customHeight="1" x14ac:dyDescent="0.25">
      <c r="A292" s="42"/>
      <c r="B292" s="42"/>
      <c r="C292" s="43"/>
      <c r="D292" s="43"/>
      <c r="E292" s="42"/>
      <c r="F292" s="42"/>
      <c r="G292" s="44"/>
      <c r="H292" s="42"/>
      <c r="I292" s="42"/>
      <c r="J292" s="42"/>
      <c r="K292" s="42"/>
      <c r="L292" s="20"/>
      <c r="M292" s="20"/>
      <c r="N292" s="20"/>
      <c r="O292" s="20"/>
      <c r="P292" s="20"/>
      <c r="Q292" s="20"/>
      <c r="R292" s="20"/>
      <c r="S292" s="20"/>
      <c r="T292" s="20"/>
      <c r="U292" s="20"/>
      <c r="V292" s="20"/>
      <c r="W292" s="20"/>
      <c r="X292" s="20"/>
      <c r="Y292" s="20"/>
      <c r="Z292" s="21"/>
      <c r="AA292" s="22"/>
      <c r="AB292" s="22"/>
    </row>
    <row r="293" spans="1:28" ht="15.75" customHeight="1" x14ac:dyDescent="0.25">
      <c r="A293" s="42"/>
      <c r="B293" s="42"/>
      <c r="C293" s="43"/>
      <c r="D293" s="43"/>
      <c r="E293" s="42"/>
      <c r="F293" s="42"/>
      <c r="G293" s="44"/>
      <c r="H293" s="42"/>
      <c r="I293" s="42"/>
      <c r="J293" s="42"/>
      <c r="K293" s="42"/>
      <c r="L293" s="20"/>
      <c r="M293" s="20"/>
      <c r="N293" s="20"/>
      <c r="O293" s="20"/>
      <c r="P293" s="20"/>
      <c r="Q293" s="20"/>
      <c r="R293" s="20"/>
      <c r="S293" s="20"/>
      <c r="T293" s="20"/>
      <c r="U293" s="20"/>
      <c r="V293" s="20"/>
      <c r="W293" s="20"/>
      <c r="X293" s="20"/>
      <c r="Y293" s="20"/>
      <c r="Z293" s="21"/>
      <c r="AA293" s="22"/>
      <c r="AB293" s="22"/>
    </row>
    <row r="294" spans="1:28" ht="15.75" customHeight="1" x14ac:dyDescent="0.25">
      <c r="A294" s="42"/>
      <c r="B294" s="42"/>
      <c r="C294" s="43"/>
      <c r="D294" s="43"/>
      <c r="E294" s="42"/>
      <c r="F294" s="42"/>
      <c r="G294" s="44"/>
      <c r="H294" s="42"/>
      <c r="I294" s="42"/>
      <c r="J294" s="42"/>
      <c r="K294" s="42"/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0"/>
      <c r="W294" s="20"/>
      <c r="X294" s="20"/>
      <c r="Y294" s="20"/>
      <c r="Z294" s="21"/>
      <c r="AA294" s="22"/>
      <c r="AB294" s="22"/>
    </row>
    <row r="295" spans="1:28" ht="15.75" customHeight="1" x14ac:dyDescent="0.25">
      <c r="A295" s="42"/>
      <c r="B295" s="42"/>
      <c r="C295" s="43"/>
      <c r="D295" s="43"/>
      <c r="E295" s="42"/>
      <c r="F295" s="42"/>
      <c r="G295" s="44"/>
      <c r="H295" s="42"/>
      <c r="I295" s="42"/>
      <c r="J295" s="42"/>
      <c r="K295" s="42"/>
      <c r="L295" s="20"/>
      <c r="M295" s="20"/>
      <c r="N295" s="20"/>
      <c r="O295" s="20"/>
      <c r="P295" s="20"/>
      <c r="Q295" s="20"/>
      <c r="R295" s="20"/>
      <c r="S295" s="20"/>
      <c r="T295" s="20"/>
      <c r="U295" s="20"/>
      <c r="V295" s="20"/>
      <c r="W295" s="20"/>
      <c r="X295" s="20"/>
      <c r="Y295" s="20"/>
      <c r="Z295" s="21"/>
      <c r="AA295" s="22"/>
      <c r="AB295" s="22"/>
    </row>
    <row r="296" spans="1:28" ht="15.75" customHeight="1" x14ac:dyDescent="0.25">
      <c r="A296" s="42"/>
      <c r="B296" s="42"/>
      <c r="C296" s="43"/>
      <c r="D296" s="43"/>
      <c r="E296" s="42"/>
      <c r="F296" s="42"/>
      <c r="G296" s="44"/>
      <c r="H296" s="42"/>
      <c r="I296" s="42"/>
      <c r="J296" s="42"/>
      <c r="K296" s="42"/>
      <c r="L296" s="20"/>
      <c r="M296" s="20"/>
      <c r="N296" s="20"/>
      <c r="O296" s="20"/>
      <c r="P296" s="20"/>
      <c r="Q296" s="20"/>
      <c r="R296" s="20"/>
      <c r="S296" s="20"/>
      <c r="T296" s="20"/>
      <c r="U296" s="20"/>
      <c r="V296" s="20"/>
      <c r="W296" s="20"/>
      <c r="X296" s="20"/>
      <c r="Y296" s="20"/>
      <c r="Z296" s="21"/>
      <c r="AA296" s="22"/>
      <c r="AB296" s="22"/>
    </row>
    <row r="297" spans="1:28" ht="15.75" customHeight="1" x14ac:dyDescent="0.25">
      <c r="A297" s="42"/>
      <c r="B297" s="42"/>
      <c r="C297" s="43"/>
      <c r="D297" s="43"/>
      <c r="E297" s="42"/>
      <c r="F297" s="42"/>
      <c r="G297" s="44"/>
      <c r="H297" s="42"/>
      <c r="I297" s="42"/>
      <c r="J297" s="42"/>
      <c r="K297" s="42"/>
      <c r="L297" s="20"/>
      <c r="M297" s="20"/>
      <c r="N297" s="20"/>
      <c r="O297" s="20"/>
      <c r="P297" s="20"/>
      <c r="Q297" s="20"/>
      <c r="R297" s="20"/>
      <c r="S297" s="20"/>
      <c r="T297" s="20"/>
      <c r="U297" s="20"/>
      <c r="V297" s="20"/>
      <c r="W297" s="20"/>
      <c r="X297" s="20"/>
      <c r="Y297" s="20"/>
      <c r="Z297" s="21"/>
      <c r="AA297" s="22"/>
      <c r="AB297" s="22"/>
    </row>
    <row r="298" spans="1:28" ht="15.75" customHeight="1" x14ac:dyDescent="0.25">
      <c r="A298" s="42"/>
      <c r="B298" s="42"/>
      <c r="C298" s="43"/>
      <c r="D298" s="43"/>
      <c r="E298" s="42"/>
      <c r="F298" s="42"/>
      <c r="G298" s="44"/>
      <c r="H298" s="42"/>
      <c r="I298" s="42"/>
      <c r="J298" s="42"/>
      <c r="K298" s="42"/>
      <c r="L298" s="20"/>
      <c r="M298" s="20"/>
      <c r="N298" s="20"/>
      <c r="O298" s="20"/>
      <c r="P298" s="20"/>
      <c r="Q298" s="20"/>
      <c r="R298" s="20"/>
      <c r="S298" s="20"/>
      <c r="T298" s="20"/>
      <c r="U298" s="20"/>
      <c r="V298" s="20"/>
      <c r="W298" s="20"/>
      <c r="X298" s="20"/>
      <c r="Y298" s="20"/>
      <c r="Z298" s="21"/>
      <c r="AA298" s="22"/>
      <c r="AB298" s="22"/>
    </row>
    <row r="299" spans="1:28" ht="15.75" customHeight="1" x14ac:dyDescent="0.25">
      <c r="A299" s="42"/>
      <c r="B299" s="42"/>
      <c r="C299" s="43"/>
      <c r="D299" s="43"/>
      <c r="E299" s="42"/>
      <c r="F299" s="42"/>
      <c r="G299" s="44"/>
      <c r="H299" s="42"/>
      <c r="I299" s="42"/>
      <c r="J299" s="42"/>
      <c r="K299" s="42"/>
      <c r="L299" s="20"/>
      <c r="M299" s="20"/>
      <c r="N299" s="20"/>
      <c r="O299" s="20"/>
      <c r="P299" s="20"/>
      <c r="Q299" s="20"/>
      <c r="R299" s="20"/>
      <c r="S299" s="20"/>
      <c r="T299" s="20"/>
      <c r="U299" s="20"/>
      <c r="V299" s="20"/>
      <c r="W299" s="20"/>
      <c r="X299" s="20"/>
      <c r="Y299" s="20"/>
      <c r="Z299" s="21"/>
      <c r="AA299" s="22"/>
      <c r="AB299" s="22"/>
    </row>
    <row r="300" spans="1:28" ht="15.75" customHeight="1" x14ac:dyDescent="0.25">
      <c r="A300" s="42"/>
      <c r="B300" s="42"/>
      <c r="C300" s="43"/>
      <c r="D300" s="43"/>
      <c r="E300" s="42"/>
      <c r="F300" s="42"/>
      <c r="G300" s="44"/>
      <c r="H300" s="42"/>
      <c r="I300" s="42"/>
      <c r="J300" s="42"/>
      <c r="K300" s="42"/>
      <c r="L300" s="20"/>
      <c r="M300" s="20"/>
      <c r="N300" s="20"/>
      <c r="O300" s="20"/>
      <c r="P300" s="20"/>
      <c r="Q300" s="20"/>
      <c r="R300" s="20"/>
      <c r="S300" s="20"/>
      <c r="T300" s="20"/>
      <c r="U300" s="20"/>
      <c r="V300" s="20"/>
      <c r="W300" s="20"/>
      <c r="X300" s="20"/>
      <c r="Y300" s="20"/>
      <c r="Z300" s="21"/>
      <c r="AA300" s="22"/>
      <c r="AB300" s="22"/>
    </row>
    <row r="301" spans="1:28" ht="15.75" customHeight="1" x14ac:dyDescent="0.25">
      <c r="A301" s="42"/>
      <c r="B301" s="42"/>
      <c r="C301" s="43"/>
      <c r="D301" s="43"/>
      <c r="E301" s="42"/>
      <c r="F301" s="42"/>
      <c r="G301" s="44"/>
      <c r="H301" s="42"/>
      <c r="I301" s="42"/>
      <c r="J301" s="42"/>
      <c r="K301" s="42"/>
      <c r="L301" s="20"/>
      <c r="M301" s="20"/>
      <c r="N301" s="20"/>
      <c r="O301" s="20"/>
      <c r="P301" s="20"/>
      <c r="Q301" s="20"/>
      <c r="R301" s="20"/>
      <c r="S301" s="20"/>
      <c r="T301" s="20"/>
      <c r="U301" s="20"/>
      <c r="V301" s="20"/>
      <c r="W301" s="20"/>
      <c r="X301" s="20"/>
      <c r="Y301" s="20"/>
      <c r="Z301" s="21"/>
      <c r="AA301" s="22"/>
      <c r="AB301" s="22"/>
    </row>
    <row r="302" spans="1:28" ht="15.75" customHeight="1" x14ac:dyDescent="0.25">
      <c r="A302" s="42"/>
      <c r="B302" s="42"/>
      <c r="C302" s="43"/>
      <c r="D302" s="43"/>
      <c r="E302" s="42"/>
      <c r="F302" s="42"/>
      <c r="G302" s="44"/>
      <c r="H302" s="42"/>
      <c r="I302" s="42"/>
      <c r="J302" s="42"/>
      <c r="K302" s="42"/>
      <c r="L302" s="20"/>
      <c r="M302" s="20"/>
      <c r="N302" s="20"/>
      <c r="O302" s="20"/>
      <c r="P302" s="20"/>
      <c r="Q302" s="20"/>
      <c r="R302" s="20"/>
      <c r="S302" s="20"/>
      <c r="T302" s="20"/>
      <c r="U302" s="20"/>
      <c r="V302" s="20"/>
      <c r="W302" s="20"/>
      <c r="X302" s="20"/>
      <c r="Y302" s="20"/>
      <c r="Z302" s="21"/>
      <c r="AA302" s="22"/>
      <c r="AB302" s="22"/>
    </row>
    <row r="303" spans="1:28" ht="15.75" customHeight="1" x14ac:dyDescent="0.25">
      <c r="A303" s="42"/>
      <c r="B303" s="42"/>
      <c r="C303" s="43"/>
      <c r="D303" s="43"/>
      <c r="E303" s="42"/>
      <c r="F303" s="42"/>
      <c r="G303" s="44"/>
      <c r="H303" s="42"/>
      <c r="I303" s="42"/>
      <c r="J303" s="42"/>
      <c r="K303" s="42"/>
      <c r="L303" s="20"/>
      <c r="M303" s="20"/>
      <c r="N303" s="20"/>
      <c r="O303" s="20"/>
      <c r="P303" s="20"/>
      <c r="Q303" s="20"/>
      <c r="R303" s="20"/>
      <c r="S303" s="20"/>
      <c r="T303" s="20"/>
      <c r="U303" s="20"/>
      <c r="V303" s="20"/>
      <c r="W303" s="20"/>
      <c r="X303" s="20"/>
      <c r="Y303" s="20"/>
      <c r="Z303" s="21"/>
      <c r="AA303" s="22"/>
      <c r="AB303" s="22"/>
    </row>
    <row r="304" spans="1:28" ht="15.75" customHeight="1" x14ac:dyDescent="0.25">
      <c r="A304" s="42"/>
      <c r="B304" s="42"/>
      <c r="C304" s="43"/>
      <c r="D304" s="43"/>
      <c r="E304" s="42"/>
      <c r="F304" s="42"/>
      <c r="G304" s="44"/>
      <c r="H304" s="42"/>
      <c r="I304" s="42"/>
      <c r="J304" s="42"/>
      <c r="K304" s="42"/>
      <c r="L304" s="20"/>
      <c r="M304" s="20"/>
      <c r="N304" s="20"/>
      <c r="O304" s="20"/>
      <c r="P304" s="20"/>
      <c r="Q304" s="20"/>
      <c r="R304" s="20"/>
      <c r="S304" s="20"/>
      <c r="T304" s="20"/>
      <c r="U304" s="20"/>
      <c r="V304" s="20"/>
      <c r="W304" s="20"/>
      <c r="X304" s="20"/>
      <c r="Y304" s="20"/>
      <c r="Z304" s="21"/>
      <c r="AA304" s="22"/>
      <c r="AB304" s="22"/>
    </row>
    <row r="305" spans="1:28" ht="15.75" customHeight="1" x14ac:dyDescent="0.25">
      <c r="A305" s="42"/>
      <c r="B305" s="42"/>
      <c r="C305" s="43"/>
      <c r="D305" s="43"/>
      <c r="E305" s="42"/>
      <c r="F305" s="42"/>
      <c r="G305" s="44"/>
      <c r="H305" s="42"/>
      <c r="I305" s="42"/>
      <c r="J305" s="42"/>
      <c r="K305" s="42"/>
      <c r="L305" s="20"/>
      <c r="M305" s="20"/>
      <c r="N305" s="20"/>
      <c r="O305" s="20"/>
      <c r="P305" s="20"/>
      <c r="Q305" s="20"/>
      <c r="R305" s="20"/>
      <c r="S305" s="20"/>
      <c r="T305" s="20"/>
      <c r="U305" s="20"/>
      <c r="V305" s="20"/>
      <c r="W305" s="20"/>
      <c r="X305" s="20"/>
      <c r="Y305" s="20"/>
      <c r="Z305" s="21"/>
      <c r="AA305" s="22"/>
      <c r="AB305" s="22"/>
    </row>
    <row r="306" spans="1:28" ht="15.75" customHeight="1" x14ac:dyDescent="0.25">
      <c r="A306" s="42"/>
      <c r="B306" s="42"/>
      <c r="C306" s="43"/>
      <c r="D306" s="43"/>
      <c r="E306" s="42"/>
      <c r="F306" s="42"/>
      <c r="G306" s="44"/>
      <c r="H306" s="42"/>
      <c r="I306" s="42"/>
      <c r="J306" s="42"/>
      <c r="K306" s="42"/>
      <c r="L306" s="20"/>
      <c r="M306" s="20"/>
      <c r="N306" s="20"/>
      <c r="O306" s="20"/>
      <c r="P306" s="20"/>
      <c r="Q306" s="20"/>
      <c r="R306" s="20"/>
      <c r="S306" s="20"/>
      <c r="T306" s="20"/>
      <c r="U306" s="20"/>
      <c r="V306" s="20"/>
      <c r="W306" s="20"/>
      <c r="X306" s="20"/>
      <c r="Y306" s="20"/>
      <c r="Z306" s="21"/>
      <c r="AA306" s="22"/>
      <c r="AB306" s="22"/>
    </row>
    <row r="307" spans="1:28" ht="15.75" customHeight="1" x14ac:dyDescent="0.25">
      <c r="A307" s="42"/>
      <c r="B307" s="42"/>
      <c r="C307" s="43"/>
      <c r="D307" s="43"/>
      <c r="E307" s="42"/>
      <c r="F307" s="42"/>
      <c r="G307" s="44"/>
      <c r="H307" s="42"/>
      <c r="I307" s="42"/>
      <c r="J307" s="42"/>
      <c r="K307" s="42"/>
      <c r="L307" s="20"/>
      <c r="M307" s="20"/>
      <c r="N307" s="20"/>
      <c r="O307" s="20"/>
      <c r="P307" s="20"/>
      <c r="Q307" s="20"/>
      <c r="R307" s="20"/>
      <c r="S307" s="20"/>
      <c r="T307" s="20"/>
      <c r="U307" s="20"/>
      <c r="V307" s="20"/>
      <c r="W307" s="20"/>
      <c r="X307" s="20"/>
      <c r="Y307" s="20"/>
      <c r="Z307" s="21"/>
      <c r="AA307" s="22"/>
      <c r="AB307" s="22"/>
    </row>
    <row r="308" spans="1:28" ht="15.75" customHeight="1" x14ac:dyDescent="0.25">
      <c r="A308" s="42"/>
      <c r="B308" s="42"/>
      <c r="C308" s="43"/>
      <c r="D308" s="43"/>
      <c r="E308" s="42"/>
      <c r="F308" s="42"/>
      <c r="G308" s="44"/>
      <c r="H308" s="42"/>
      <c r="I308" s="42"/>
      <c r="J308" s="42"/>
      <c r="K308" s="42"/>
      <c r="L308" s="20"/>
      <c r="M308" s="20"/>
      <c r="N308" s="20"/>
      <c r="O308" s="20"/>
      <c r="P308" s="20"/>
      <c r="Q308" s="20"/>
      <c r="R308" s="20"/>
      <c r="S308" s="20"/>
      <c r="T308" s="20"/>
      <c r="U308" s="20"/>
      <c r="V308" s="20"/>
      <c r="W308" s="20"/>
      <c r="X308" s="20"/>
      <c r="Y308" s="20"/>
      <c r="Z308" s="21"/>
      <c r="AA308" s="22"/>
      <c r="AB308" s="22"/>
    </row>
    <row r="309" spans="1:28" ht="15.75" customHeight="1" x14ac:dyDescent="0.25">
      <c r="A309" s="45"/>
      <c r="B309" s="45"/>
      <c r="C309" s="46"/>
      <c r="D309" s="46"/>
      <c r="E309" s="45"/>
      <c r="F309" s="45"/>
      <c r="G309" s="47"/>
      <c r="H309" s="45"/>
      <c r="I309" s="45"/>
      <c r="J309" s="45"/>
      <c r="K309" s="45"/>
      <c r="L309" s="20"/>
      <c r="M309" s="20"/>
      <c r="N309" s="20"/>
      <c r="O309" s="20"/>
      <c r="P309" s="20"/>
      <c r="Q309" s="20"/>
      <c r="R309" s="20"/>
      <c r="S309" s="20"/>
      <c r="T309" s="20"/>
      <c r="U309" s="20"/>
      <c r="V309" s="20"/>
      <c r="W309" s="20"/>
      <c r="X309" s="20"/>
      <c r="Y309" s="20"/>
      <c r="Z309" s="21"/>
      <c r="AA309" s="22"/>
      <c r="AB309" s="23"/>
    </row>
    <row r="310" spans="1:28" ht="15.75" customHeight="1" x14ac:dyDescent="0.25">
      <c r="A310" s="45"/>
      <c r="B310" s="45"/>
      <c r="C310" s="46"/>
      <c r="D310" s="46"/>
      <c r="E310" s="45"/>
      <c r="F310" s="45"/>
      <c r="G310" s="47"/>
      <c r="H310" s="45"/>
      <c r="I310" s="45"/>
      <c r="J310" s="45"/>
      <c r="K310" s="45"/>
      <c r="L310" s="20"/>
      <c r="M310" s="20"/>
      <c r="N310" s="20"/>
      <c r="O310" s="20"/>
      <c r="P310" s="20"/>
      <c r="Q310" s="20"/>
      <c r="R310" s="20"/>
      <c r="S310" s="20"/>
      <c r="T310" s="20"/>
      <c r="U310" s="20"/>
      <c r="V310" s="20"/>
      <c r="W310" s="20"/>
      <c r="X310" s="20"/>
      <c r="Y310" s="20"/>
      <c r="Z310" s="21"/>
      <c r="AA310" s="22"/>
      <c r="AB310" s="23"/>
    </row>
    <row r="311" spans="1:28" ht="15.75" customHeight="1" x14ac:dyDescent="0.25">
      <c r="A311" s="45"/>
      <c r="B311" s="45"/>
      <c r="C311" s="46"/>
      <c r="D311" s="46"/>
      <c r="E311" s="45"/>
      <c r="F311" s="45"/>
      <c r="G311" s="47"/>
      <c r="H311" s="45"/>
      <c r="I311" s="45"/>
      <c r="J311" s="45"/>
      <c r="K311" s="45"/>
      <c r="L311" s="20"/>
      <c r="M311" s="20"/>
      <c r="N311" s="20"/>
      <c r="O311" s="20"/>
      <c r="P311" s="20"/>
      <c r="Q311" s="20"/>
      <c r="R311" s="20"/>
      <c r="S311" s="20"/>
      <c r="T311" s="20"/>
      <c r="U311" s="20"/>
      <c r="V311" s="20"/>
      <c r="W311" s="20"/>
      <c r="X311" s="20"/>
      <c r="Y311" s="20"/>
      <c r="Z311" s="21"/>
      <c r="AA311" s="22"/>
      <c r="AB311" s="23"/>
    </row>
    <row r="312" spans="1:28" ht="15.75" customHeight="1" x14ac:dyDescent="0.25">
      <c r="A312" s="45"/>
      <c r="B312" s="45"/>
      <c r="C312" s="46"/>
      <c r="D312" s="46"/>
      <c r="E312" s="45"/>
      <c r="F312" s="45"/>
      <c r="G312" s="47"/>
      <c r="H312" s="45"/>
      <c r="I312" s="45"/>
      <c r="J312" s="45"/>
      <c r="K312" s="45"/>
      <c r="L312" s="20"/>
      <c r="M312" s="20"/>
      <c r="N312" s="20"/>
      <c r="O312" s="20"/>
      <c r="P312" s="20"/>
      <c r="Q312" s="20"/>
      <c r="R312" s="20"/>
      <c r="S312" s="20"/>
      <c r="T312" s="20"/>
      <c r="U312" s="20"/>
      <c r="V312" s="20"/>
      <c r="W312" s="20"/>
      <c r="X312" s="20"/>
      <c r="Y312" s="20"/>
      <c r="Z312" s="21"/>
      <c r="AA312" s="22"/>
      <c r="AB312" s="23"/>
    </row>
    <row r="313" spans="1:28" ht="15.75" customHeight="1" x14ac:dyDescent="0.25">
      <c r="A313" s="45"/>
      <c r="B313" s="45"/>
      <c r="C313" s="46"/>
      <c r="D313" s="46"/>
      <c r="E313" s="45"/>
      <c r="F313" s="45"/>
      <c r="G313" s="47"/>
      <c r="H313" s="45"/>
      <c r="I313" s="45"/>
      <c r="J313" s="45"/>
      <c r="K313" s="45"/>
      <c r="L313" s="20"/>
      <c r="M313" s="20"/>
      <c r="N313" s="20"/>
      <c r="O313" s="20"/>
      <c r="P313" s="20"/>
      <c r="Q313" s="20"/>
      <c r="R313" s="20"/>
      <c r="S313" s="20"/>
      <c r="T313" s="20"/>
      <c r="U313" s="20"/>
      <c r="V313" s="20"/>
      <c r="W313" s="20"/>
      <c r="X313" s="20"/>
      <c r="Y313" s="20"/>
      <c r="Z313" s="21"/>
      <c r="AA313" s="22"/>
      <c r="AB313" s="23"/>
    </row>
    <row r="314" spans="1:28" ht="15.75" customHeight="1" x14ac:dyDescent="0.25">
      <c r="A314" s="45"/>
      <c r="B314" s="45"/>
      <c r="C314" s="46"/>
      <c r="D314" s="46"/>
      <c r="E314" s="45"/>
      <c r="F314" s="45"/>
      <c r="G314" s="47"/>
      <c r="H314" s="45"/>
      <c r="I314" s="45"/>
      <c r="J314" s="45"/>
      <c r="K314" s="45"/>
      <c r="L314" s="20"/>
      <c r="M314" s="20"/>
      <c r="N314" s="20"/>
      <c r="O314" s="20"/>
      <c r="P314" s="20"/>
      <c r="Q314" s="20"/>
      <c r="R314" s="20"/>
      <c r="S314" s="20"/>
      <c r="T314" s="20"/>
      <c r="U314" s="20"/>
      <c r="V314" s="20"/>
      <c r="W314" s="20"/>
      <c r="X314" s="20"/>
      <c r="Y314" s="20"/>
      <c r="Z314" s="21"/>
      <c r="AA314" s="22"/>
      <c r="AB314" s="23"/>
    </row>
    <row r="315" spans="1:28" ht="15.75" customHeight="1" x14ac:dyDescent="0.25">
      <c r="A315" s="45"/>
      <c r="B315" s="45"/>
      <c r="C315" s="46"/>
      <c r="D315" s="46"/>
      <c r="E315" s="45"/>
      <c r="F315" s="45"/>
      <c r="G315" s="47"/>
      <c r="H315" s="45"/>
      <c r="I315" s="45"/>
      <c r="J315" s="45"/>
      <c r="K315" s="45"/>
      <c r="L315" s="20"/>
      <c r="M315" s="20"/>
      <c r="N315" s="20"/>
      <c r="O315" s="20"/>
      <c r="P315" s="20"/>
      <c r="Q315" s="20"/>
      <c r="R315" s="20"/>
      <c r="S315" s="20"/>
      <c r="T315" s="20"/>
      <c r="U315" s="20"/>
      <c r="V315" s="20"/>
      <c r="W315" s="20"/>
      <c r="X315" s="20"/>
      <c r="Y315" s="20"/>
      <c r="Z315" s="21"/>
      <c r="AA315" s="22"/>
      <c r="AB315" s="23"/>
    </row>
    <row r="316" spans="1:28" ht="15.75" customHeight="1" x14ac:dyDescent="0.25">
      <c r="A316" s="45"/>
      <c r="B316" s="45"/>
      <c r="C316" s="46"/>
      <c r="D316" s="46"/>
      <c r="E316" s="45"/>
      <c r="F316" s="45"/>
      <c r="G316" s="47"/>
      <c r="H316" s="45"/>
      <c r="I316" s="45"/>
      <c r="J316" s="45"/>
      <c r="K316" s="45"/>
      <c r="L316" s="20"/>
      <c r="M316" s="20"/>
      <c r="N316" s="20"/>
      <c r="O316" s="20"/>
      <c r="P316" s="20"/>
      <c r="Q316" s="20"/>
      <c r="R316" s="20"/>
      <c r="S316" s="20"/>
      <c r="T316" s="20"/>
      <c r="U316" s="20"/>
      <c r="V316" s="20"/>
      <c r="W316" s="20"/>
      <c r="X316" s="20"/>
      <c r="Y316" s="20"/>
      <c r="Z316" s="21"/>
      <c r="AA316" s="22"/>
      <c r="AB316" s="23"/>
    </row>
    <row r="317" spans="1:28" ht="15.75" customHeight="1" x14ac:dyDescent="0.25">
      <c r="A317" s="45"/>
      <c r="B317" s="45"/>
      <c r="C317" s="46"/>
      <c r="D317" s="46"/>
      <c r="E317" s="45"/>
      <c r="F317" s="45"/>
      <c r="G317" s="47"/>
      <c r="H317" s="45"/>
      <c r="I317" s="45"/>
      <c r="J317" s="45"/>
      <c r="K317" s="45"/>
      <c r="L317" s="20"/>
      <c r="M317" s="20"/>
      <c r="N317" s="20"/>
      <c r="O317" s="20"/>
      <c r="P317" s="20"/>
      <c r="Q317" s="20"/>
      <c r="R317" s="20"/>
      <c r="S317" s="20"/>
      <c r="T317" s="20"/>
      <c r="U317" s="20"/>
      <c r="V317" s="20"/>
      <c r="W317" s="20"/>
      <c r="X317" s="20"/>
      <c r="Y317" s="20"/>
      <c r="Z317" s="21"/>
      <c r="AA317" s="22"/>
      <c r="AB317" s="23"/>
    </row>
    <row r="318" spans="1:28" ht="15.75" customHeight="1" x14ac:dyDescent="0.25">
      <c r="A318" s="45"/>
      <c r="B318" s="45"/>
      <c r="C318" s="46"/>
      <c r="D318" s="46"/>
      <c r="E318" s="45"/>
      <c r="F318" s="45"/>
      <c r="G318" s="47"/>
      <c r="H318" s="45"/>
      <c r="I318" s="45"/>
      <c r="J318" s="45"/>
      <c r="K318" s="45"/>
      <c r="L318" s="20"/>
      <c r="M318" s="20"/>
      <c r="N318" s="20"/>
      <c r="O318" s="20"/>
      <c r="P318" s="20"/>
      <c r="Q318" s="20"/>
      <c r="R318" s="20"/>
      <c r="S318" s="20"/>
      <c r="T318" s="20"/>
      <c r="U318" s="20"/>
      <c r="V318" s="20"/>
      <c r="W318" s="20"/>
      <c r="X318" s="20"/>
      <c r="Y318" s="20"/>
      <c r="Z318" s="21"/>
      <c r="AA318" s="22"/>
      <c r="AB318" s="23"/>
    </row>
    <row r="319" spans="1:28" ht="15.75" customHeight="1" x14ac:dyDescent="0.25">
      <c r="A319" s="45"/>
      <c r="B319" s="45"/>
      <c r="C319" s="46"/>
      <c r="D319" s="46"/>
      <c r="E319" s="45"/>
      <c r="F319" s="45"/>
      <c r="G319" s="47"/>
      <c r="H319" s="45"/>
      <c r="I319" s="45"/>
      <c r="J319" s="45"/>
      <c r="K319" s="45"/>
      <c r="L319" s="20"/>
      <c r="M319" s="20"/>
      <c r="N319" s="20"/>
      <c r="O319" s="20"/>
      <c r="P319" s="20"/>
      <c r="Q319" s="20"/>
      <c r="R319" s="20"/>
      <c r="S319" s="20"/>
      <c r="T319" s="20"/>
      <c r="U319" s="20"/>
      <c r="V319" s="20"/>
      <c r="W319" s="20"/>
      <c r="X319" s="20"/>
      <c r="Y319" s="20"/>
      <c r="Z319" s="21"/>
      <c r="AA319" s="22"/>
      <c r="AB319" s="23"/>
    </row>
    <row r="320" spans="1:28" ht="15.75" customHeight="1" x14ac:dyDescent="0.25">
      <c r="A320" s="45"/>
      <c r="B320" s="45"/>
      <c r="C320" s="46"/>
      <c r="D320" s="46"/>
      <c r="E320" s="45"/>
      <c r="F320" s="45"/>
      <c r="G320" s="47"/>
      <c r="H320" s="45"/>
      <c r="I320" s="45"/>
      <c r="J320" s="45"/>
      <c r="K320" s="45"/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1"/>
      <c r="AA320" s="22"/>
      <c r="AB320" s="23"/>
    </row>
    <row r="321" spans="1:28" ht="15.75" customHeight="1" x14ac:dyDescent="0.25">
      <c r="A321" s="45"/>
      <c r="B321" s="45"/>
      <c r="C321" s="46"/>
      <c r="D321" s="46"/>
      <c r="E321" s="45"/>
      <c r="F321" s="45"/>
      <c r="G321" s="47"/>
      <c r="H321" s="45"/>
      <c r="I321" s="45"/>
      <c r="J321" s="45"/>
      <c r="K321" s="45"/>
      <c r="L321" s="20"/>
      <c r="M321" s="20"/>
      <c r="N321" s="20"/>
      <c r="O321" s="20"/>
      <c r="P321" s="20"/>
      <c r="Q321" s="20"/>
      <c r="R321" s="20"/>
      <c r="S321" s="20"/>
      <c r="T321" s="20"/>
      <c r="U321" s="20"/>
      <c r="V321" s="20"/>
      <c r="W321" s="20"/>
      <c r="X321" s="20"/>
      <c r="Y321" s="20"/>
      <c r="Z321" s="21"/>
      <c r="AA321" s="22"/>
      <c r="AB321" s="23"/>
    </row>
    <row r="322" spans="1:28" ht="15.75" customHeight="1" x14ac:dyDescent="0.25">
      <c r="A322" s="45"/>
      <c r="B322" s="45"/>
      <c r="C322" s="46"/>
      <c r="D322" s="46"/>
      <c r="E322" s="45"/>
      <c r="F322" s="45"/>
      <c r="G322" s="47"/>
      <c r="H322" s="45"/>
      <c r="I322" s="45"/>
      <c r="J322" s="45"/>
      <c r="K322" s="45"/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0"/>
      <c r="W322" s="20"/>
      <c r="X322" s="20"/>
      <c r="Y322" s="20"/>
      <c r="Z322" s="21"/>
      <c r="AA322" s="22"/>
      <c r="AB322" s="23"/>
    </row>
    <row r="323" spans="1:28" ht="15.75" customHeight="1" x14ac:dyDescent="0.25">
      <c r="A323" s="45"/>
      <c r="B323" s="45"/>
      <c r="C323" s="46"/>
      <c r="D323" s="46"/>
      <c r="E323" s="45"/>
      <c r="F323" s="45"/>
      <c r="G323" s="47"/>
      <c r="H323" s="45"/>
      <c r="I323" s="45"/>
      <c r="J323" s="45"/>
      <c r="K323" s="45"/>
      <c r="L323" s="20"/>
      <c r="M323" s="20"/>
      <c r="N323" s="20"/>
      <c r="O323" s="20"/>
      <c r="P323" s="20"/>
      <c r="Q323" s="20"/>
      <c r="R323" s="20"/>
      <c r="S323" s="20"/>
      <c r="T323" s="20"/>
      <c r="U323" s="20"/>
      <c r="V323" s="20"/>
      <c r="W323" s="20"/>
      <c r="X323" s="20"/>
      <c r="Y323" s="20"/>
      <c r="Z323" s="21"/>
      <c r="AA323" s="22"/>
      <c r="AB323" s="23"/>
    </row>
    <row r="324" spans="1:28" ht="15.75" customHeight="1" x14ac:dyDescent="0.25">
      <c r="A324" s="45"/>
      <c r="B324" s="45"/>
      <c r="C324" s="46"/>
      <c r="D324" s="46"/>
      <c r="E324" s="45"/>
      <c r="F324" s="45"/>
      <c r="G324" s="47"/>
      <c r="H324" s="45"/>
      <c r="I324" s="45"/>
      <c r="J324" s="45"/>
      <c r="K324" s="45"/>
      <c r="L324" s="20"/>
      <c r="M324" s="20"/>
      <c r="N324" s="20"/>
      <c r="O324" s="20"/>
      <c r="P324" s="20"/>
      <c r="Q324" s="20"/>
      <c r="R324" s="20"/>
      <c r="S324" s="20"/>
      <c r="T324" s="20"/>
      <c r="U324" s="20"/>
      <c r="V324" s="20"/>
      <c r="W324" s="20"/>
      <c r="X324" s="20"/>
      <c r="Y324" s="20"/>
      <c r="Z324" s="21"/>
      <c r="AA324" s="22"/>
      <c r="AB324" s="23"/>
    </row>
    <row r="325" spans="1:28" ht="15.75" customHeight="1" x14ac:dyDescent="0.25">
      <c r="A325" s="45"/>
      <c r="B325" s="45"/>
      <c r="C325" s="46"/>
      <c r="D325" s="46"/>
      <c r="E325" s="45"/>
      <c r="F325" s="45"/>
      <c r="G325" s="47"/>
      <c r="H325" s="45"/>
      <c r="I325" s="45"/>
      <c r="J325" s="45"/>
      <c r="K325" s="45"/>
      <c r="L325" s="20"/>
      <c r="M325" s="20"/>
      <c r="N325" s="20"/>
      <c r="O325" s="20"/>
      <c r="P325" s="20"/>
      <c r="Q325" s="20"/>
      <c r="R325" s="20"/>
      <c r="S325" s="20"/>
      <c r="T325" s="20"/>
      <c r="U325" s="20"/>
      <c r="V325" s="20"/>
      <c r="W325" s="20"/>
      <c r="X325" s="20"/>
      <c r="Y325" s="20"/>
      <c r="Z325" s="21"/>
      <c r="AA325" s="22"/>
      <c r="AB325" s="23"/>
    </row>
    <row r="326" spans="1:28" ht="15.75" customHeight="1" x14ac:dyDescent="0.25">
      <c r="A326" s="45"/>
      <c r="B326" s="45"/>
      <c r="C326" s="46"/>
      <c r="D326" s="46"/>
      <c r="E326" s="45"/>
      <c r="F326" s="45"/>
      <c r="G326" s="47"/>
      <c r="H326" s="45"/>
      <c r="I326" s="45"/>
      <c r="J326" s="45"/>
      <c r="K326" s="45"/>
      <c r="L326" s="20"/>
      <c r="M326" s="20"/>
      <c r="N326" s="20"/>
      <c r="O326" s="20"/>
      <c r="P326" s="20"/>
      <c r="Q326" s="20"/>
      <c r="R326" s="20"/>
      <c r="S326" s="20"/>
      <c r="T326" s="20"/>
      <c r="U326" s="20"/>
      <c r="V326" s="20"/>
      <c r="W326" s="20"/>
      <c r="X326" s="20"/>
      <c r="Y326" s="20"/>
      <c r="Z326" s="21"/>
      <c r="AA326" s="22"/>
      <c r="AB326" s="23"/>
    </row>
    <row r="327" spans="1:28" ht="15.75" customHeight="1" x14ac:dyDescent="0.25">
      <c r="A327" s="45"/>
      <c r="B327" s="45"/>
      <c r="C327" s="46"/>
      <c r="D327" s="46"/>
      <c r="E327" s="45"/>
      <c r="F327" s="45"/>
      <c r="G327" s="47"/>
      <c r="H327" s="45"/>
      <c r="I327" s="45"/>
      <c r="J327" s="45"/>
      <c r="K327" s="45"/>
      <c r="L327" s="20"/>
      <c r="M327" s="20"/>
      <c r="N327" s="20"/>
      <c r="O327" s="20"/>
      <c r="P327" s="20"/>
      <c r="Q327" s="20"/>
      <c r="R327" s="20"/>
      <c r="S327" s="20"/>
      <c r="T327" s="20"/>
      <c r="U327" s="20"/>
      <c r="V327" s="20"/>
      <c r="W327" s="20"/>
      <c r="X327" s="20"/>
      <c r="Y327" s="20"/>
      <c r="Z327" s="21"/>
      <c r="AA327" s="22"/>
      <c r="AB327" s="23"/>
    </row>
    <row r="328" spans="1:28" ht="15.75" customHeight="1" x14ac:dyDescent="0.25">
      <c r="A328" s="45"/>
      <c r="B328" s="45"/>
      <c r="C328" s="46"/>
      <c r="D328" s="46"/>
      <c r="E328" s="45"/>
      <c r="F328" s="45"/>
      <c r="G328" s="47"/>
      <c r="H328" s="45"/>
      <c r="I328" s="45"/>
      <c r="J328" s="45"/>
      <c r="K328" s="45"/>
      <c r="L328" s="20"/>
      <c r="M328" s="20"/>
      <c r="N328" s="20"/>
      <c r="O328" s="20"/>
      <c r="P328" s="20"/>
      <c r="Q328" s="20"/>
      <c r="R328" s="20"/>
      <c r="S328" s="20"/>
      <c r="T328" s="20"/>
      <c r="U328" s="20"/>
      <c r="V328" s="20"/>
      <c r="W328" s="20"/>
      <c r="X328" s="20"/>
      <c r="Y328" s="20"/>
      <c r="Z328" s="21"/>
      <c r="AA328" s="22"/>
      <c r="AB328" s="23"/>
    </row>
    <row r="329" spans="1:28" ht="15.75" customHeight="1" x14ac:dyDescent="0.25">
      <c r="A329" s="45"/>
      <c r="B329" s="45"/>
      <c r="C329" s="46"/>
      <c r="D329" s="46"/>
      <c r="E329" s="45"/>
      <c r="F329" s="45"/>
      <c r="G329" s="47"/>
      <c r="H329" s="45"/>
      <c r="I329" s="45"/>
      <c r="J329" s="45"/>
      <c r="K329" s="45"/>
      <c r="L329" s="20"/>
      <c r="M329" s="20"/>
      <c r="N329" s="20"/>
      <c r="O329" s="20"/>
      <c r="P329" s="20"/>
      <c r="Q329" s="20"/>
      <c r="R329" s="20"/>
      <c r="S329" s="20"/>
      <c r="T329" s="20"/>
      <c r="U329" s="20"/>
      <c r="V329" s="20"/>
      <c r="W329" s="20"/>
      <c r="X329" s="20"/>
      <c r="Y329" s="20"/>
      <c r="Z329" s="21"/>
      <c r="AA329" s="22"/>
      <c r="AB329" s="23"/>
    </row>
    <row r="330" spans="1:28" ht="15.75" customHeight="1" x14ac:dyDescent="0.25">
      <c r="A330" s="45"/>
      <c r="B330" s="45"/>
      <c r="C330" s="46"/>
      <c r="D330" s="46"/>
      <c r="E330" s="45"/>
      <c r="F330" s="45"/>
      <c r="G330" s="47"/>
      <c r="H330" s="45"/>
      <c r="I330" s="45"/>
      <c r="J330" s="45"/>
      <c r="K330" s="45"/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0"/>
      <c r="W330" s="20"/>
      <c r="X330" s="20"/>
      <c r="Y330" s="20"/>
      <c r="Z330" s="21"/>
      <c r="AA330" s="22"/>
      <c r="AB330" s="23"/>
    </row>
    <row r="331" spans="1:28" ht="15.75" customHeight="1" x14ac:dyDescent="0.25">
      <c r="A331" s="45"/>
      <c r="B331" s="45"/>
      <c r="C331" s="46"/>
      <c r="D331" s="46"/>
      <c r="E331" s="45"/>
      <c r="F331" s="45"/>
      <c r="G331" s="47"/>
      <c r="H331" s="45"/>
      <c r="I331" s="45"/>
      <c r="J331" s="45"/>
      <c r="K331" s="45"/>
      <c r="L331" s="20"/>
      <c r="M331" s="20"/>
      <c r="N331" s="20"/>
      <c r="O331" s="20"/>
      <c r="P331" s="20"/>
      <c r="Q331" s="20"/>
      <c r="R331" s="20"/>
      <c r="S331" s="20"/>
      <c r="T331" s="20"/>
      <c r="U331" s="20"/>
      <c r="V331" s="20"/>
      <c r="W331" s="20"/>
      <c r="X331" s="20"/>
      <c r="Y331" s="20"/>
      <c r="Z331" s="21"/>
      <c r="AA331" s="22"/>
      <c r="AB331" s="23"/>
    </row>
    <row r="332" spans="1:28" ht="15.75" customHeight="1" x14ac:dyDescent="0.25">
      <c r="A332" s="45"/>
      <c r="B332" s="45"/>
      <c r="C332" s="46"/>
      <c r="D332" s="46"/>
      <c r="E332" s="45"/>
      <c r="F332" s="45"/>
      <c r="G332" s="47"/>
      <c r="H332" s="45"/>
      <c r="I332" s="45"/>
      <c r="J332" s="45"/>
      <c r="K332" s="45"/>
      <c r="L332" s="20"/>
      <c r="M332" s="20"/>
      <c r="N332" s="20"/>
      <c r="O332" s="20"/>
      <c r="P332" s="20"/>
      <c r="Q332" s="20"/>
      <c r="R332" s="20"/>
      <c r="S332" s="20"/>
      <c r="T332" s="20"/>
      <c r="U332" s="20"/>
      <c r="V332" s="20"/>
      <c r="W332" s="20"/>
      <c r="X332" s="20"/>
      <c r="Y332" s="20"/>
      <c r="Z332" s="21"/>
      <c r="AA332" s="22"/>
      <c r="AB332" s="23"/>
    </row>
    <row r="333" spans="1:28" ht="15.75" customHeight="1" x14ac:dyDescent="0.25">
      <c r="A333" s="45"/>
      <c r="B333" s="45"/>
      <c r="C333" s="46"/>
      <c r="D333" s="46"/>
      <c r="E333" s="45"/>
      <c r="F333" s="45"/>
      <c r="G333" s="47"/>
      <c r="H333" s="45"/>
      <c r="I333" s="45"/>
      <c r="J333" s="45"/>
      <c r="K333" s="45"/>
      <c r="L333" s="20"/>
      <c r="M333" s="20"/>
      <c r="N333" s="20"/>
      <c r="O333" s="20"/>
      <c r="P333" s="20"/>
      <c r="Q333" s="20"/>
      <c r="R333" s="20"/>
      <c r="S333" s="20"/>
      <c r="T333" s="20"/>
      <c r="U333" s="20"/>
      <c r="V333" s="20"/>
      <c r="W333" s="20"/>
      <c r="X333" s="20"/>
      <c r="Y333" s="20"/>
      <c r="Z333" s="21"/>
      <c r="AA333" s="22"/>
      <c r="AB333" s="23"/>
    </row>
    <row r="334" spans="1:28" ht="15.75" customHeight="1" x14ac:dyDescent="0.25">
      <c r="A334" s="45"/>
      <c r="B334" s="45"/>
      <c r="C334" s="46"/>
      <c r="D334" s="46"/>
      <c r="E334" s="45"/>
      <c r="F334" s="45"/>
      <c r="G334" s="47"/>
      <c r="H334" s="45"/>
      <c r="I334" s="45"/>
      <c r="J334" s="45"/>
      <c r="K334" s="45"/>
      <c r="L334" s="20"/>
      <c r="M334" s="20"/>
      <c r="N334" s="20"/>
      <c r="O334" s="20"/>
      <c r="P334" s="20"/>
      <c r="Q334" s="20"/>
      <c r="R334" s="20"/>
      <c r="S334" s="20"/>
      <c r="T334" s="20"/>
      <c r="U334" s="20"/>
      <c r="V334" s="20"/>
      <c r="W334" s="20"/>
      <c r="X334" s="20"/>
      <c r="Y334" s="20"/>
      <c r="Z334" s="21"/>
      <c r="AA334" s="22"/>
      <c r="AB334" s="23"/>
    </row>
    <row r="335" spans="1:28" ht="15.75" customHeight="1" x14ac:dyDescent="0.25">
      <c r="A335" s="45"/>
      <c r="B335" s="45"/>
      <c r="C335" s="46"/>
      <c r="D335" s="46"/>
      <c r="E335" s="45"/>
      <c r="F335" s="45"/>
      <c r="G335" s="47"/>
      <c r="H335" s="45"/>
      <c r="I335" s="45"/>
      <c r="J335" s="45"/>
      <c r="K335" s="45"/>
      <c r="L335" s="20"/>
      <c r="M335" s="20"/>
      <c r="N335" s="20"/>
      <c r="O335" s="20"/>
      <c r="P335" s="20"/>
      <c r="Q335" s="20"/>
      <c r="R335" s="20"/>
      <c r="S335" s="20"/>
      <c r="T335" s="20"/>
      <c r="U335" s="20"/>
      <c r="V335" s="20"/>
      <c r="W335" s="20"/>
      <c r="X335" s="20"/>
      <c r="Y335" s="20"/>
      <c r="Z335" s="21"/>
      <c r="AA335" s="22"/>
      <c r="AB335" s="23"/>
    </row>
    <row r="336" spans="1:28" ht="15.75" customHeight="1" x14ac:dyDescent="0.25">
      <c r="A336" s="45"/>
      <c r="B336" s="45"/>
      <c r="C336" s="46"/>
      <c r="D336" s="46"/>
      <c r="E336" s="45"/>
      <c r="F336" s="45"/>
      <c r="G336" s="47"/>
      <c r="H336" s="45"/>
      <c r="I336" s="45"/>
      <c r="J336" s="45"/>
      <c r="K336" s="45"/>
      <c r="L336" s="20"/>
      <c r="M336" s="20"/>
      <c r="N336" s="20"/>
      <c r="O336" s="20"/>
      <c r="P336" s="20"/>
      <c r="Q336" s="20"/>
      <c r="R336" s="20"/>
      <c r="S336" s="20"/>
      <c r="T336" s="20"/>
      <c r="U336" s="20"/>
      <c r="V336" s="20"/>
      <c r="W336" s="20"/>
      <c r="X336" s="20"/>
      <c r="Y336" s="20"/>
      <c r="Z336" s="21"/>
      <c r="AA336" s="22"/>
      <c r="AB336" s="23"/>
    </row>
    <row r="337" spans="1:28" ht="15.75" customHeight="1" x14ac:dyDescent="0.25">
      <c r="A337" s="45"/>
      <c r="B337" s="45"/>
      <c r="C337" s="46"/>
      <c r="D337" s="46"/>
      <c r="E337" s="45"/>
      <c r="F337" s="45"/>
      <c r="G337" s="47"/>
      <c r="H337" s="45"/>
      <c r="I337" s="45"/>
      <c r="J337" s="45"/>
      <c r="K337" s="45"/>
      <c r="L337" s="20"/>
      <c r="M337" s="20"/>
      <c r="N337" s="20"/>
      <c r="O337" s="20"/>
      <c r="P337" s="20"/>
      <c r="Q337" s="20"/>
      <c r="R337" s="20"/>
      <c r="S337" s="20"/>
      <c r="T337" s="20"/>
      <c r="U337" s="20"/>
      <c r="V337" s="20"/>
      <c r="W337" s="20"/>
      <c r="X337" s="20"/>
      <c r="Y337" s="20"/>
      <c r="Z337" s="21"/>
      <c r="AA337" s="22"/>
      <c r="AB337" s="23"/>
    </row>
    <row r="338" spans="1:28" ht="15.75" customHeight="1" x14ac:dyDescent="0.25">
      <c r="A338" s="45"/>
      <c r="B338" s="45"/>
      <c r="C338" s="46"/>
      <c r="D338" s="46"/>
      <c r="E338" s="45"/>
      <c r="F338" s="45"/>
      <c r="G338" s="47"/>
      <c r="H338" s="45"/>
      <c r="I338" s="45"/>
      <c r="J338" s="45"/>
      <c r="K338" s="45"/>
      <c r="L338" s="20"/>
      <c r="M338" s="20"/>
      <c r="N338" s="20"/>
      <c r="O338" s="20"/>
      <c r="P338" s="20"/>
      <c r="Q338" s="20"/>
      <c r="R338" s="20"/>
      <c r="S338" s="20"/>
      <c r="T338" s="20"/>
      <c r="U338" s="20"/>
      <c r="V338" s="20"/>
      <c r="W338" s="20"/>
      <c r="X338" s="20"/>
      <c r="Y338" s="20"/>
      <c r="Z338" s="21"/>
      <c r="AA338" s="22"/>
      <c r="AB338" s="23"/>
    </row>
    <row r="339" spans="1:28" ht="15.75" customHeight="1" x14ac:dyDescent="0.25">
      <c r="A339" s="45"/>
      <c r="B339" s="45"/>
      <c r="C339" s="46"/>
      <c r="D339" s="46"/>
      <c r="E339" s="45"/>
      <c r="F339" s="45"/>
      <c r="G339" s="47"/>
      <c r="H339" s="45"/>
      <c r="I339" s="45"/>
      <c r="J339" s="45"/>
      <c r="K339" s="45"/>
      <c r="L339" s="20"/>
      <c r="M339" s="20"/>
      <c r="N339" s="20"/>
      <c r="O339" s="20"/>
      <c r="P339" s="20"/>
      <c r="Q339" s="20"/>
      <c r="R339" s="20"/>
      <c r="S339" s="20"/>
      <c r="T339" s="20"/>
      <c r="U339" s="20"/>
      <c r="V339" s="20"/>
      <c r="W339" s="20"/>
      <c r="X339" s="20"/>
      <c r="Y339" s="20"/>
      <c r="Z339" s="21"/>
      <c r="AA339" s="22"/>
      <c r="AB339" s="23"/>
    </row>
    <row r="340" spans="1:28" ht="15.75" customHeight="1" x14ac:dyDescent="0.25">
      <c r="A340" s="45"/>
      <c r="B340" s="45"/>
      <c r="C340" s="46"/>
      <c r="D340" s="46"/>
      <c r="E340" s="45"/>
      <c r="F340" s="45"/>
      <c r="G340" s="47"/>
      <c r="H340" s="45"/>
      <c r="I340" s="45"/>
      <c r="J340" s="45"/>
      <c r="K340" s="45"/>
      <c r="L340" s="20"/>
      <c r="M340" s="20"/>
      <c r="N340" s="20"/>
      <c r="O340" s="20"/>
      <c r="P340" s="20"/>
      <c r="Q340" s="20"/>
      <c r="R340" s="20"/>
      <c r="S340" s="20"/>
      <c r="T340" s="20"/>
      <c r="U340" s="20"/>
      <c r="V340" s="20"/>
      <c r="W340" s="20"/>
      <c r="X340" s="20"/>
      <c r="Y340" s="20"/>
      <c r="Z340" s="21"/>
      <c r="AA340" s="22"/>
      <c r="AB340" s="23"/>
    </row>
    <row r="341" spans="1:28" ht="15.75" customHeight="1" x14ac:dyDescent="0.25">
      <c r="A341" s="45"/>
      <c r="B341" s="45"/>
      <c r="C341" s="46"/>
      <c r="D341" s="46"/>
      <c r="E341" s="45"/>
      <c r="F341" s="45"/>
      <c r="G341" s="47"/>
      <c r="H341" s="45"/>
      <c r="I341" s="45"/>
      <c r="J341" s="45"/>
      <c r="K341" s="45"/>
      <c r="L341" s="20"/>
      <c r="M341" s="20"/>
      <c r="N341" s="20"/>
      <c r="O341" s="20"/>
      <c r="P341" s="20"/>
      <c r="Q341" s="20"/>
      <c r="R341" s="20"/>
      <c r="S341" s="20"/>
      <c r="T341" s="20"/>
      <c r="U341" s="20"/>
      <c r="V341" s="20"/>
      <c r="W341" s="20"/>
      <c r="X341" s="20"/>
      <c r="Y341" s="20"/>
      <c r="Z341" s="21"/>
      <c r="AA341" s="22"/>
      <c r="AB341" s="23"/>
    </row>
    <row r="342" spans="1:28" ht="15.75" customHeight="1" x14ac:dyDescent="0.25">
      <c r="A342" s="45"/>
      <c r="B342" s="45"/>
      <c r="C342" s="46"/>
      <c r="D342" s="46"/>
      <c r="E342" s="45"/>
      <c r="F342" s="45"/>
      <c r="G342" s="47"/>
      <c r="H342" s="45"/>
      <c r="I342" s="45"/>
      <c r="J342" s="45"/>
      <c r="K342" s="45"/>
      <c r="L342" s="20"/>
      <c r="M342" s="20"/>
      <c r="N342" s="20"/>
      <c r="O342" s="20"/>
      <c r="P342" s="20"/>
      <c r="Q342" s="20"/>
      <c r="R342" s="20"/>
      <c r="S342" s="20"/>
      <c r="T342" s="20"/>
      <c r="U342" s="20"/>
      <c r="V342" s="20"/>
      <c r="W342" s="20"/>
      <c r="X342" s="20"/>
      <c r="Y342" s="20"/>
      <c r="Z342" s="21"/>
      <c r="AA342" s="22"/>
      <c r="AB342" s="23"/>
    </row>
    <row r="343" spans="1:28" ht="15.75" customHeight="1" x14ac:dyDescent="0.25">
      <c r="A343" s="45"/>
      <c r="B343" s="45"/>
      <c r="C343" s="46"/>
      <c r="D343" s="46"/>
      <c r="E343" s="45"/>
      <c r="F343" s="45"/>
      <c r="G343" s="47"/>
      <c r="H343" s="45"/>
      <c r="I343" s="45"/>
      <c r="J343" s="45"/>
      <c r="K343" s="45"/>
      <c r="L343" s="20"/>
      <c r="M343" s="20"/>
      <c r="N343" s="20"/>
      <c r="O343" s="20"/>
      <c r="P343" s="20"/>
      <c r="Q343" s="20"/>
      <c r="R343" s="20"/>
      <c r="S343" s="20"/>
      <c r="T343" s="20"/>
      <c r="U343" s="20"/>
      <c r="V343" s="20"/>
      <c r="W343" s="20"/>
      <c r="X343" s="20"/>
      <c r="Y343" s="20"/>
      <c r="Z343" s="21"/>
      <c r="AA343" s="22"/>
      <c r="AB343" s="23"/>
    </row>
    <row r="344" spans="1:28" ht="15.75" customHeight="1" x14ac:dyDescent="0.25">
      <c r="A344" s="45"/>
      <c r="B344" s="45"/>
      <c r="C344" s="46"/>
      <c r="D344" s="46"/>
      <c r="E344" s="45"/>
      <c r="F344" s="45"/>
      <c r="G344" s="47"/>
      <c r="H344" s="45"/>
      <c r="I344" s="45"/>
      <c r="J344" s="45"/>
      <c r="K344" s="45"/>
      <c r="L344" s="20"/>
      <c r="M344" s="20"/>
      <c r="N344" s="20"/>
      <c r="O344" s="20"/>
      <c r="P344" s="20"/>
      <c r="Q344" s="20"/>
      <c r="R344" s="20"/>
      <c r="S344" s="20"/>
      <c r="T344" s="20"/>
      <c r="U344" s="20"/>
      <c r="V344" s="20"/>
      <c r="W344" s="20"/>
      <c r="X344" s="20"/>
      <c r="Y344" s="20"/>
      <c r="Z344" s="21"/>
      <c r="AA344" s="22"/>
      <c r="AB344" s="23"/>
    </row>
    <row r="345" spans="1:28" ht="15.75" customHeight="1" x14ac:dyDescent="0.25">
      <c r="A345" s="45"/>
      <c r="B345" s="45"/>
      <c r="C345" s="46"/>
      <c r="D345" s="46"/>
      <c r="E345" s="45"/>
      <c r="F345" s="45"/>
      <c r="G345" s="47"/>
      <c r="H345" s="45"/>
      <c r="I345" s="45"/>
      <c r="J345" s="45"/>
      <c r="K345" s="45"/>
      <c r="L345" s="20"/>
      <c r="M345" s="20"/>
      <c r="N345" s="20"/>
      <c r="O345" s="20"/>
      <c r="P345" s="20"/>
      <c r="Q345" s="20"/>
      <c r="R345" s="20"/>
      <c r="S345" s="20"/>
      <c r="T345" s="20"/>
      <c r="U345" s="20"/>
      <c r="V345" s="20"/>
      <c r="W345" s="20"/>
      <c r="X345" s="20"/>
      <c r="Y345" s="20"/>
      <c r="Z345" s="21"/>
      <c r="AA345" s="22"/>
      <c r="AB345" s="23"/>
    </row>
    <row r="346" spans="1:28" ht="15.75" customHeight="1" x14ac:dyDescent="0.25">
      <c r="A346" s="45"/>
      <c r="B346" s="45"/>
      <c r="C346" s="46"/>
      <c r="D346" s="46"/>
      <c r="E346" s="45"/>
      <c r="F346" s="45"/>
      <c r="G346" s="47"/>
      <c r="H346" s="45"/>
      <c r="I346" s="45"/>
      <c r="J346" s="45"/>
      <c r="K346" s="45"/>
      <c r="L346" s="20"/>
      <c r="M346" s="20"/>
      <c r="N346" s="20"/>
      <c r="O346" s="20"/>
      <c r="P346" s="20"/>
      <c r="Q346" s="20"/>
      <c r="R346" s="20"/>
      <c r="S346" s="20"/>
      <c r="T346" s="20"/>
      <c r="U346" s="20"/>
      <c r="V346" s="20"/>
      <c r="W346" s="20"/>
      <c r="X346" s="20"/>
      <c r="Y346" s="20"/>
      <c r="Z346" s="21"/>
      <c r="AA346" s="22"/>
      <c r="AB346" s="23"/>
    </row>
    <row r="347" spans="1:28" ht="15.75" customHeight="1" x14ac:dyDescent="0.25">
      <c r="A347" s="45"/>
      <c r="B347" s="45"/>
      <c r="C347" s="46"/>
      <c r="D347" s="46"/>
      <c r="E347" s="45"/>
      <c r="F347" s="45"/>
      <c r="G347" s="47"/>
      <c r="H347" s="45"/>
      <c r="I347" s="45"/>
      <c r="J347" s="45"/>
      <c r="K347" s="45"/>
      <c r="L347" s="20"/>
      <c r="M347" s="20"/>
      <c r="N347" s="20"/>
      <c r="O347" s="20"/>
      <c r="P347" s="20"/>
      <c r="Q347" s="20"/>
      <c r="R347" s="20"/>
      <c r="S347" s="20"/>
      <c r="T347" s="20"/>
      <c r="U347" s="20"/>
      <c r="V347" s="20"/>
      <c r="W347" s="20"/>
      <c r="X347" s="20"/>
      <c r="Y347" s="20"/>
      <c r="Z347" s="21"/>
      <c r="AA347" s="22"/>
      <c r="AB347" s="23"/>
    </row>
    <row r="348" spans="1:28" ht="15.75" customHeight="1" x14ac:dyDescent="0.25">
      <c r="A348" s="45"/>
      <c r="B348" s="45"/>
      <c r="C348" s="46"/>
      <c r="D348" s="46"/>
      <c r="E348" s="45"/>
      <c r="F348" s="45"/>
      <c r="G348" s="47"/>
      <c r="H348" s="45"/>
      <c r="I348" s="45"/>
      <c r="J348" s="45"/>
      <c r="K348" s="45"/>
      <c r="L348" s="20"/>
      <c r="M348" s="20"/>
      <c r="N348" s="20"/>
      <c r="O348" s="20"/>
      <c r="P348" s="20"/>
      <c r="Q348" s="20"/>
      <c r="R348" s="20"/>
      <c r="S348" s="20"/>
      <c r="T348" s="20"/>
      <c r="U348" s="20"/>
      <c r="V348" s="20"/>
      <c r="W348" s="20"/>
      <c r="X348" s="20"/>
      <c r="Y348" s="20"/>
      <c r="Z348" s="21"/>
      <c r="AA348" s="22"/>
      <c r="AB348" s="23"/>
    </row>
    <row r="349" spans="1:28" ht="15.75" customHeight="1" x14ac:dyDescent="0.25">
      <c r="A349" s="45"/>
      <c r="B349" s="45"/>
      <c r="C349" s="46"/>
      <c r="D349" s="46"/>
      <c r="E349" s="45"/>
      <c r="F349" s="45"/>
      <c r="G349" s="47"/>
      <c r="H349" s="45"/>
      <c r="I349" s="45"/>
      <c r="J349" s="45"/>
      <c r="K349" s="45"/>
      <c r="L349" s="20"/>
      <c r="M349" s="20"/>
      <c r="N349" s="20"/>
      <c r="O349" s="20"/>
      <c r="P349" s="20"/>
      <c r="Q349" s="20"/>
      <c r="R349" s="20"/>
      <c r="S349" s="20"/>
      <c r="T349" s="20"/>
      <c r="U349" s="20"/>
      <c r="V349" s="20"/>
      <c r="W349" s="20"/>
      <c r="X349" s="20"/>
      <c r="Y349" s="20"/>
      <c r="Z349" s="21"/>
      <c r="AA349" s="22"/>
      <c r="AB349" s="23"/>
    </row>
    <row r="350" spans="1:28" ht="15.75" customHeight="1" x14ac:dyDescent="0.25">
      <c r="A350" s="45"/>
      <c r="B350" s="45"/>
      <c r="C350" s="46"/>
      <c r="D350" s="46"/>
      <c r="E350" s="45"/>
      <c r="F350" s="45"/>
      <c r="G350" s="47"/>
      <c r="H350" s="45"/>
      <c r="I350" s="45"/>
      <c r="J350" s="45"/>
      <c r="K350" s="45"/>
      <c r="L350" s="20"/>
      <c r="M350" s="20"/>
      <c r="N350" s="20"/>
      <c r="O350" s="20"/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1"/>
      <c r="AA350" s="22"/>
      <c r="AB350" s="23"/>
    </row>
    <row r="351" spans="1:28" ht="15.75" customHeight="1" x14ac:dyDescent="0.25">
      <c r="A351" s="45"/>
      <c r="B351" s="45"/>
      <c r="C351" s="46"/>
      <c r="D351" s="46"/>
      <c r="E351" s="45"/>
      <c r="F351" s="45"/>
      <c r="G351" s="47"/>
      <c r="H351" s="45"/>
      <c r="I351" s="45"/>
      <c r="J351" s="45"/>
      <c r="K351" s="45"/>
      <c r="L351" s="20"/>
      <c r="M351" s="20"/>
      <c r="N351" s="20"/>
      <c r="O351" s="20"/>
      <c r="P351" s="20"/>
      <c r="Q351" s="20"/>
      <c r="R351" s="20"/>
      <c r="S351" s="20"/>
      <c r="T351" s="20"/>
      <c r="U351" s="20"/>
      <c r="V351" s="20"/>
      <c r="W351" s="20"/>
      <c r="X351" s="20"/>
      <c r="Y351" s="20"/>
      <c r="Z351" s="21"/>
      <c r="AA351" s="22"/>
      <c r="AB351" s="23"/>
    </row>
    <row r="352" spans="1:28" ht="15.75" customHeight="1" x14ac:dyDescent="0.25">
      <c r="A352" s="45"/>
      <c r="B352" s="45"/>
      <c r="C352" s="46"/>
      <c r="D352" s="46"/>
      <c r="E352" s="45"/>
      <c r="F352" s="45"/>
      <c r="G352" s="47"/>
      <c r="H352" s="45"/>
      <c r="I352" s="45"/>
      <c r="J352" s="45"/>
      <c r="K352" s="45"/>
      <c r="L352" s="20"/>
      <c r="M352" s="20"/>
      <c r="N352" s="20"/>
      <c r="O352" s="20"/>
      <c r="P352" s="20"/>
      <c r="Q352" s="20"/>
      <c r="R352" s="20"/>
      <c r="S352" s="20"/>
      <c r="T352" s="20"/>
      <c r="U352" s="20"/>
      <c r="V352" s="20"/>
      <c r="W352" s="20"/>
      <c r="X352" s="20"/>
      <c r="Y352" s="20"/>
      <c r="Z352" s="21"/>
      <c r="AA352" s="22"/>
      <c r="AB352" s="23"/>
    </row>
    <row r="353" spans="1:28" ht="15.75" customHeight="1" x14ac:dyDescent="0.25">
      <c r="A353" s="45"/>
      <c r="B353" s="45"/>
      <c r="C353" s="46"/>
      <c r="D353" s="46"/>
      <c r="E353" s="45"/>
      <c r="F353" s="45"/>
      <c r="G353" s="47"/>
      <c r="H353" s="45"/>
      <c r="I353" s="45"/>
      <c r="J353" s="45"/>
      <c r="K353" s="45"/>
      <c r="L353" s="20"/>
      <c r="M353" s="20"/>
      <c r="N353" s="20"/>
      <c r="O353" s="20"/>
      <c r="P353" s="20"/>
      <c r="Q353" s="20"/>
      <c r="R353" s="20"/>
      <c r="S353" s="20"/>
      <c r="T353" s="20"/>
      <c r="U353" s="20"/>
      <c r="V353" s="20"/>
      <c r="W353" s="20"/>
      <c r="X353" s="20"/>
      <c r="Y353" s="20"/>
      <c r="Z353" s="21"/>
      <c r="AA353" s="22"/>
      <c r="AB353" s="23"/>
    </row>
    <row r="354" spans="1:28" ht="15.75" customHeight="1" x14ac:dyDescent="0.25">
      <c r="A354" s="45"/>
      <c r="B354" s="45"/>
      <c r="C354" s="46"/>
      <c r="D354" s="46"/>
      <c r="E354" s="45"/>
      <c r="F354" s="45"/>
      <c r="G354" s="47"/>
      <c r="H354" s="45"/>
      <c r="I354" s="45"/>
      <c r="J354" s="45"/>
      <c r="K354" s="45"/>
      <c r="L354" s="20"/>
      <c r="M354" s="20"/>
      <c r="N354" s="20"/>
      <c r="O354" s="20"/>
      <c r="P354" s="20"/>
      <c r="Q354" s="20"/>
      <c r="R354" s="20"/>
      <c r="S354" s="20"/>
      <c r="T354" s="20"/>
      <c r="U354" s="20"/>
      <c r="V354" s="20"/>
      <c r="W354" s="20"/>
      <c r="X354" s="20"/>
      <c r="Y354" s="20"/>
      <c r="Z354" s="21"/>
      <c r="AA354" s="22"/>
      <c r="AB354" s="23"/>
    </row>
    <row r="355" spans="1:28" ht="15.75" customHeight="1" x14ac:dyDescent="0.25">
      <c r="A355" s="45"/>
      <c r="B355" s="45"/>
      <c r="C355" s="46"/>
      <c r="D355" s="46"/>
      <c r="E355" s="45"/>
      <c r="F355" s="45"/>
      <c r="G355" s="47"/>
      <c r="H355" s="45"/>
      <c r="I355" s="45"/>
      <c r="J355" s="45"/>
      <c r="K355" s="45"/>
      <c r="L355" s="20"/>
      <c r="M355" s="20"/>
      <c r="N355" s="20"/>
      <c r="O355" s="20"/>
      <c r="P355" s="20"/>
      <c r="Q355" s="20"/>
      <c r="R355" s="20"/>
      <c r="S355" s="20"/>
      <c r="T355" s="20"/>
      <c r="U355" s="20"/>
      <c r="V355" s="20"/>
      <c r="W355" s="20"/>
      <c r="X355" s="20"/>
      <c r="Y355" s="20"/>
      <c r="Z355" s="21"/>
      <c r="AA355" s="22"/>
      <c r="AB355" s="23"/>
    </row>
    <row r="356" spans="1:28" ht="15.75" customHeight="1" x14ac:dyDescent="0.25">
      <c r="A356" s="45"/>
      <c r="B356" s="45"/>
      <c r="C356" s="46"/>
      <c r="D356" s="46"/>
      <c r="E356" s="45"/>
      <c r="F356" s="45"/>
      <c r="G356" s="47"/>
      <c r="H356" s="45"/>
      <c r="I356" s="45"/>
      <c r="J356" s="45"/>
      <c r="K356" s="45"/>
      <c r="L356" s="20"/>
      <c r="M356" s="20"/>
      <c r="N356" s="20"/>
      <c r="O356" s="20"/>
      <c r="P356" s="20"/>
      <c r="Q356" s="20"/>
      <c r="R356" s="20"/>
      <c r="S356" s="20"/>
      <c r="T356" s="20"/>
      <c r="U356" s="20"/>
      <c r="V356" s="20"/>
      <c r="W356" s="20"/>
      <c r="X356" s="20"/>
      <c r="Y356" s="20"/>
      <c r="Z356" s="21"/>
      <c r="AA356" s="22"/>
      <c r="AB356" s="23"/>
    </row>
    <row r="357" spans="1:28" ht="15.75" customHeight="1" x14ac:dyDescent="0.25">
      <c r="A357" s="45"/>
      <c r="B357" s="45"/>
      <c r="C357" s="46"/>
      <c r="D357" s="46"/>
      <c r="E357" s="45"/>
      <c r="F357" s="45"/>
      <c r="G357" s="47"/>
      <c r="H357" s="45"/>
      <c r="I357" s="45"/>
      <c r="J357" s="45"/>
      <c r="K357" s="45"/>
      <c r="L357" s="20"/>
      <c r="M357" s="20"/>
      <c r="N357" s="20"/>
      <c r="O357" s="20"/>
      <c r="P357" s="20"/>
      <c r="Q357" s="20"/>
      <c r="R357" s="20"/>
      <c r="S357" s="20"/>
      <c r="T357" s="20"/>
      <c r="U357" s="20"/>
      <c r="V357" s="20"/>
      <c r="W357" s="20"/>
      <c r="X357" s="20"/>
      <c r="Y357" s="20"/>
      <c r="Z357" s="21"/>
      <c r="AA357" s="22"/>
      <c r="AB357" s="23"/>
    </row>
    <row r="358" spans="1:28" ht="15.75" customHeight="1" x14ac:dyDescent="0.25">
      <c r="A358" s="45"/>
      <c r="B358" s="45"/>
      <c r="C358" s="46"/>
      <c r="D358" s="46"/>
      <c r="E358" s="45"/>
      <c r="F358" s="45"/>
      <c r="G358" s="47"/>
      <c r="H358" s="45"/>
      <c r="I358" s="45"/>
      <c r="J358" s="45"/>
      <c r="K358" s="45"/>
      <c r="L358" s="20"/>
      <c r="M358" s="20"/>
      <c r="N358" s="20"/>
      <c r="O358" s="20"/>
      <c r="P358" s="20"/>
      <c r="Q358" s="20"/>
      <c r="R358" s="20"/>
      <c r="S358" s="20"/>
      <c r="T358" s="20"/>
      <c r="U358" s="20"/>
      <c r="V358" s="20"/>
      <c r="W358" s="20"/>
      <c r="X358" s="20"/>
      <c r="Y358" s="20"/>
      <c r="Z358" s="21"/>
      <c r="AA358" s="22"/>
      <c r="AB358" s="23"/>
    </row>
    <row r="359" spans="1:28" ht="15.75" customHeight="1" x14ac:dyDescent="0.25">
      <c r="A359" s="45"/>
      <c r="B359" s="45"/>
      <c r="C359" s="46"/>
      <c r="D359" s="46"/>
      <c r="E359" s="45"/>
      <c r="F359" s="45"/>
      <c r="G359" s="47"/>
      <c r="H359" s="45"/>
      <c r="I359" s="45"/>
      <c r="J359" s="45"/>
      <c r="K359" s="45"/>
      <c r="L359" s="20"/>
      <c r="M359" s="20"/>
      <c r="N359" s="20"/>
      <c r="O359" s="20"/>
      <c r="P359" s="20"/>
      <c r="Q359" s="20"/>
      <c r="R359" s="20"/>
      <c r="S359" s="20"/>
      <c r="T359" s="20"/>
      <c r="U359" s="20"/>
      <c r="V359" s="20"/>
      <c r="W359" s="20"/>
      <c r="X359" s="20"/>
      <c r="Y359" s="20"/>
      <c r="Z359" s="21"/>
      <c r="AA359" s="22"/>
      <c r="AB359" s="23"/>
    </row>
    <row r="360" spans="1:28" ht="15.75" customHeight="1" x14ac:dyDescent="0.25">
      <c r="A360" s="45"/>
      <c r="B360" s="45"/>
      <c r="C360" s="46"/>
      <c r="D360" s="46"/>
      <c r="E360" s="45"/>
      <c r="F360" s="45"/>
      <c r="G360" s="47"/>
      <c r="H360" s="45"/>
      <c r="I360" s="45"/>
      <c r="J360" s="45"/>
      <c r="K360" s="45"/>
      <c r="L360" s="20"/>
      <c r="M360" s="20"/>
      <c r="N360" s="20"/>
      <c r="O360" s="20"/>
      <c r="P360" s="20"/>
      <c r="Q360" s="20"/>
      <c r="R360" s="20"/>
      <c r="S360" s="20"/>
      <c r="T360" s="20"/>
      <c r="U360" s="20"/>
      <c r="V360" s="20"/>
      <c r="W360" s="20"/>
      <c r="X360" s="20"/>
      <c r="Y360" s="20"/>
      <c r="Z360" s="21"/>
      <c r="AA360" s="22"/>
      <c r="AB360" s="23"/>
    </row>
    <row r="361" spans="1:28" ht="15.75" customHeight="1" x14ac:dyDescent="0.25">
      <c r="A361" s="45"/>
      <c r="B361" s="45"/>
      <c r="C361" s="46"/>
      <c r="D361" s="46"/>
      <c r="E361" s="45"/>
      <c r="F361" s="45"/>
      <c r="G361" s="47"/>
      <c r="H361" s="45"/>
      <c r="I361" s="45"/>
      <c r="J361" s="45"/>
      <c r="K361" s="45"/>
      <c r="L361" s="20"/>
      <c r="M361" s="20"/>
      <c r="N361" s="20"/>
      <c r="O361" s="20"/>
      <c r="P361" s="20"/>
      <c r="Q361" s="20"/>
      <c r="R361" s="20"/>
      <c r="S361" s="20"/>
      <c r="T361" s="20"/>
      <c r="U361" s="20"/>
      <c r="V361" s="20"/>
      <c r="W361" s="20"/>
      <c r="X361" s="20"/>
      <c r="Y361" s="20"/>
      <c r="Z361" s="21"/>
      <c r="AA361" s="22"/>
      <c r="AB361" s="23"/>
    </row>
    <row r="362" spans="1:28" ht="15.75" customHeight="1" x14ac:dyDescent="0.25">
      <c r="A362" s="45"/>
      <c r="B362" s="45"/>
      <c r="C362" s="46"/>
      <c r="D362" s="46"/>
      <c r="E362" s="45"/>
      <c r="F362" s="45"/>
      <c r="G362" s="47"/>
      <c r="H362" s="45"/>
      <c r="I362" s="45"/>
      <c r="J362" s="45"/>
      <c r="K362" s="45"/>
      <c r="L362" s="20"/>
      <c r="M362" s="20"/>
      <c r="N362" s="20"/>
      <c r="O362" s="20"/>
      <c r="P362" s="20"/>
      <c r="Q362" s="20"/>
      <c r="R362" s="20"/>
      <c r="S362" s="20"/>
      <c r="T362" s="20"/>
      <c r="U362" s="20"/>
      <c r="V362" s="20"/>
      <c r="W362" s="20"/>
      <c r="X362" s="20"/>
      <c r="Y362" s="20"/>
      <c r="Z362" s="21"/>
      <c r="AA362" s="22"/>
      <c r="AB362" s="23"/>
    </row>
    <row r="363" spans="1:28" ht="15.75" customHeight="1" x14ac:dyDescent="0.25">
      <c r="A363" s="45"/>
      <c r="B363" s="45"/>
      <c r="C363" s="46"/>
      <c r="D363" s="46"/>
      <c r="E363" s="45"/>
      <c r="F363" s="45"/>
      <c r="G363" s="47"/>
      <c r="H363" s="45"/>
      <c r="I363" s="45"/>
      <c r="J363" s="45"/>
      <c r="K363" s="45"/>
      <c r="L363" s="20"/>
      <c r="M363" s="20"/>
      <c r="N363" s="20"/>
      <c r="O363" s="20"/>
      <c r="P363" s="20"/>
      <c r="Q363" s="20"/>
      <c r="R363" s="20"/>
      <c r="S363" s="20"/>
      <c r="T363" s="20"/>
      <c r="U363" s="20"/>
      <c r="V363" s="20"/>
      <c r="W363" s="20"/>
      <c r="X363" s="20"/>
      <c r="Y363" s="20"/>
      <c r="Z363" s="21"/>
      <c r="AA363" s="22"/>
      <c r="AB363" s="23"/>
    </row>
    <row r="364" spans="1:28" ht="15.75" customHeight="1" x14ac:dyDescent="0.25">
      <c r="A364" s="45"/>
      <c r="B364" s="45"/>
      <c r="C364" s="46"/>
      <c r="D364" s="46"/>
      <c r="E364" s="45"/>
      <c r="F364" s="45"/>
      <c r="G364" s="47"/>
      <c r="H364" s="45"/>
      <c r="I364" s="45"/>
      <c r="J364" s="45"/>
      <c r="K364" s="45"/>
      <c r="L364" s="20"/>
      <c r="M364" s="20"/>
      <c r="N364" s="20"/>
      <c r="O364" s="20"/>
      <c r="P364" s="20"/>
      <c r="Q364" s="20"/>
      <c r="R364" s="20"/>
      <c r="S364" s="20"/>
      <c r="T364" s="20"/>
      <c r="U364" s="20"/>
      <c r="V364" s="20"/>
      <c r="W364" s="20"/>
      <c r="X364" s="20"/>
      <c r="Y364" s="20"/>
      <c r="Z364" s="21"/>
      <c r="AA364" s="22"/>
      <c r="AB364" s="23"/>
    </row>
    <row r="365" spans="1:28" ht="15.75" customHeight="1" x14ac:dyDescent="0.25">
      <c r="A365" s="45"/>
      <c r="B365" s="45"/>
      <c r="C365" s="46"/>
      <c r="D365" s="46"/>
      <c r="E365" s="45"/>
      <c r="F365" s="45"/>
      <c r="G365" s="47"/>
      <c r="H365" s="45"/>
      <c r="I365" s="45"/>
      <c r="J365" s="45"/>
      <c r="K365" s="45"/>
      <c r="L365" s="20"/>
      <c r="M365" s="20"/>
      <c r="N365" s="20"/>
      <c r="O365" s="20"/>
      <c r="P365" s="20"/>
      <c r="Q365" s="20"/>
      <c r="R365" s="20"/>
      <c r="S365" s="20"/>
      <c r="T365" s="20"/>
      <c r="U365" s="20"/>
      <c r="V365" s="20"/>
      <c r="W365" s="20"/>
      <c r="X365" s="20"/>
      <c r="Y365" s="20"/>
      <c r="Z365" s="21"/>
      <c r="AA365" s="22"/>
      <c r="AB365" s="23"/>
    </row>
    <row r="366" spans="1:28" ht="15.75" customHeight="1" x14ac:dyDescent="0.25">
      <c r="A366" s="45"/>
      <c r="B366" s="45"/>
      <c r="C366" s="46"/>
      <c r="D366" s="46"/>
      <c r="E366" s="45"/>
      <c r="F366" s="45"/>
      <c r="G366" s="47"/>
      <c r="H366" s="45"/>
      <c r="I366" s="45"/>
      <c r="J366" s="45"/>
      <c r="K366" s="45"/>
      <c r="L366" s="20"/>
      <c r="M366" s="20"/>
      <c r="N366" s="20"/>
      <c r="O366" s="20"/>
      <c r="P366" s="20"/>
      <c r="Q366" s="20"/>
      <c r="R366" s="20"/>
      <c r="S366" s="20"/>
      <c r="T366" s="20"/>
      <c r="U366" s="20"/>
      <c r="V366" s="20"/>
      <c r="W366" s="20"/>
      <c r="X366" s="20"/>
      <c r="Y366" s="20"/>
      <c r="Z366" s="21"/>
      <c r="AA366" s="22"/>
      <c r="AB366" s="23"/>
    </row>
    <row r="367" spans="1:28" ht="15.75" customHeight="1" x14ac:dyDescent="0.25">
      <c r="A367" s="45"/>
      <c r="B367" s="45"/>
      <c r="C367" s="46"/>
      <c r="D367" s="46"/>
      <c r="E367" s="45"/>
      <c r="F367" s="45"/>
      <c r="G367" s="47"/>
      <c r="H367" s="45"/>
      <c r="I367" s="45"/>
      <c r="J367" s="45"/>
      <c r="K367" s="45"/>
      <c r="L367" s="20"/>
      <c r="M367" s="20"/>
      <c r="N367" s="20"/>
      <c r="O367" s="20"/>
      <c r="P367" s="20"/>
      <c r="Q367" s="20"/>
      <c r="R367" s="20"/>
      <c r="S367" s="20"/>
      <c r="T367" s="20"/>
      <c r="U367" s="20"/>
      <c r="V367" s="20"/>
      <c r="W367" s="20"/>
      <c r="X367" s="20"/>
      <c r="Y367" s="20"/>
      <c r="Z367" s="21"/>
      <c r="AA367" s="22"/>
      <c r="AB367" s="23"/>
    </row>
    <row r="368" spans="1:28" ht="15.75" customHeight="1" x14ac:dyDescent="0.25">
      <c r="A368" s="45"/>
      <c r="B368" s="45"/>
      <c r="C368" s="46"/>
      <c r="D368" s="46"/>
      <c r="E368" s="45"/>
      <c r="F368" s="45"/>
      <c r="G368" s="47"/>
      <c r="H368" s="45"/>
      <c r="I368" s="45"/>
      <c r="J368" s="45"/>
      <c r="K368" s="45"/>
      <c r="L368" s="20"/>
      <c r="M368" s="20"/>
      <c r="N368" s="20"/>
      <c r="O368" s="20"/>
      <c r="P368" s="20"/>
      <c r="Q368" s="20"/>
      <c r="R368" s="20"/>
      <c r="S368" s="20"/>
      <c r="T368" s="20"/>
      <c r="U368" s="20"/>
      <c r="V368" s="20"/>
      <c r="W368" s="20"/>
      <c r="X368" s="20"/>
      <c r="Y368" s="20"/>
      <c r="Z368" s="21"/>
      <c r="AA368" s="22"/>
      <c r="AB368" s="23"/>
    </row>
    <row r="369" spans="1:28" ht="15.75" customHeight="1" x14ac:dyDescent="0.25">
      <c r="A369" s="45"/>
      <c r="B369" s="45"/>
      <c r="C369" s="46"/>
      <c r="D369" s="46"/>
      <c r="E369" s="45"/>
      <c r="F369" s="45"/>
      <c r="G369" s="47"/>
      <c r="H369" s="45"/>
      <c r="I369" s="45"/>
      <c r="J369" s="45"/>
      <c r="K369" s="45"/>
      <c r="L369" s="20"/>
      <c r="M369" s="20"/>
      <c r="N369" s="20"/>
      <c r="O369" s="20"/>
      <c r="P369" s="20"/>
      <c r="Q369" s="20"/>
      <c r="R369" s="20"/>
      <c r="S369" s="20"/>
      <c r="T369" s="20"/>
      <c r="U369" s="20"/>
      <c r="V369" s="20"/>
      <c r="W369" s="20"/>
      <c r="X369" s="20"/>
      <c r="Y369" s="20"/>
      <c r="Z369" s="21"/>
      <c r="AA369" s="22"/>
      <c r="AB369" s="23"/>
    </row>
    <row r="370" spans="1:28" ht="15.75" customHeight="1" x14ac:dyDescent="0.25">
      <c r="A370" s="45"/>
      <c r="B370" s="45"/>
      <c r="C370" s="46"/>
      <c r="D370" s="46"/>
      <c r="E370" s="45"/>
      <c r="F370" s="45"/>
      <c r="G370" s="47"/>
      <c r="H370" s="45"/>
      <c r="I370" s="45"/>
      <c r="J370" s="45"/>
      <c r="K370" s="45"/>
      <c r="L370" s="20"/>
      <c r="M370" s="20"/>
      <c r="N370" s="20"/>
      <c r="O370" s="20"/>
      <c r="P370" s="20"/>
      <c r="Q370" s="20"/>
      <c r="R370" s="20"/>
      <c r="S370" s="20"/>
      <c r="T370" s="20"/>
      <c r="U370" s="20"/>
      <c r="V370" s="20"/>
      <c r="W370" s="20"/>
      <c r="X370" s="20"/>
      <c r="Y370" s="20"/>
      <c r="Z370" s="21"/>
      <c r="AA370" s="22"/>
      <c r="AB370" s="23"/>
    </row>
    <row r="371" spans="1:28" ht="15.75" customHeight="1" x14ac:dyDescent="0.25">
      <c r="A371" s="45"/>
      <c r="B371" s="45"/>
      <c r="C371" s="46"/>
      <c r="D371" s="46"/>
      <c r="E371" s="45"/>
      <c r="F371" s="45"/>
      <c r="G371" s="47"/>
      <c r="H371" s="45"/>
      <c r="I371" s="45"/>
      <c r="J371" s="45"/>
      <c r="K371" s="45"/>
      <c r="L371" s="20"/>
      <c r="M371" s="20"/>
      <c r="N371" s="20"/>
      <c r="O371" s="20"/>
      <c r="P371" s="20"/>
      <c r="Q371" s="20"/>
      <c r="R371" s="20"/>
      <c r="S371" s="20"/>
      <c r="T371" s="20"/>
      <c r="U371" s="20"/>
      <c r="V371" s="20"/>
      <c r="W371" s="20"/>
      <c r="X371" s="20"/>
      <c r="Y371" s="20"/>
      <c r="Z371" s="21"/>
      <c r="AA371" s="22"/>
      <c r="AB371" s="23"/>
    </row>
    <row r="372" spans="1:28" ht="15.75" customHeight="1" x14ac:dyDescent="0.25">
      <c r="A372" s="45"/>
      <c r="B372" s="45"/>
      <c r="C372" s="46"/>
      <c r="D372" s="46"/>
      <c r="E372" s="45"/>
      <c r="F372" s="45"/>
      <c r="G372" s="47"/>
      <c r="H372" s="45"/>
      <c r="I372" s="45"/>
      <c r="J372" s="45"/>
      <c r="K372" s="45"/>
      <c r="L372" s="20"/>
      <c r="M372" s="20"/>
      <c r="N372" s="20"/>
      <c r="O372" s="20"/>
      <c r="P372" s="20"/>
      <c r="Q372" s="20"/>
      <c r="R372" s="20"/>
      <c r="S372" s="20"/>
      <c r="T372" s="20"/>
      <c r="U372" s="20"/>
      <c r="V372" s="20"/>
      <c r="W372" s="20"/>
      <c r="X372" s="20"/>
      <c r="Y372" s="20"/>
      <c r="Z372" s="21"/>
      <c r="AA372" s="22"/>
      <c r="AB372" s="23"/>
    </row>
    <row r="373" spans="1:28" ht="15.75" customHeight="1" x14ac:dyDescent="0.25">
      <c r="A373" s="45"/>
      <c r="B373" s="45"/>
      <c r="C373" s="46"/>
      <c r="D373" s="46"/>
      <c r="E373" s="45"/>
      <c r="F373" s="45"/>
      <c r="G373" s="47"/>
      <c r="H373" s="45"/>
      <c r="I373" s="45"/>
      <c r="J373" s="45"/>
      <c r="K373" s="45"/>
      <c r="L373" s="20"/>
      <c r="M373" s="20"/>
      <c r="N373" s="20"/>
      <c r="O373" s="20"/>
      <c r="P373" s="20"/>
      <c r="Q373" s="20"/>
      <c r="R373" s="20"/>
      <c r="S373" s="20"/>
      <c r="T373" s="20"/>
      <c r="U373" s="20"/>
      <c r="V373" s="20"/>
      <c r="W373" s="20"/>
      <c r="X373" s="20"/>
      <c r="Y373" s="20"/>
      <c r="Z373" s="21"/>
      <c r="AA373" s="22"/>
      <c r="AB373" s="23"/>
    </row>
    <row r="374" spans="1:28" ht="15.75" customHeight="1" x14ac:dyDescent="0.25">
      <c r="A374" s="45"/>
      <c r="B374" s="45"/>
      <c r="C374" s="46"/>
      <c r="D374" s="46"/>
      <c r="E374" s="45"/>
      <c r="F374" s="45"/>
      <c r="G374" s="47"/>
      <c r="H374" s="45"/>
      <c r="I374" s="45"/>
      <c r="J374" s="45"/>
      <c r="K374" s="45"/>
      <c r="L374" s="20"/>
      <c r="M374" s="20"/>
      <c r="N374" s="20"/>
      <c r="O374" s="20"/>
      <c r="P374" s="20"/>
      <c r="Q374" s="20"/>
      <c r="R374" s="20"/>
      <c r="S374" s="20"/>
      <c r="T374" s="20"/>
      <c r="U374" s="20"/>
      <c r="V374" s="20"/>
      <c r="W374" s="20"/>
      <c r="X374" s="20"/>
      <c r="Y374" s="20"/>
      <c r="Z374" s="21"/>
      <c r="AA374" s="22"/>
      <c r="AB374" s="23"/>
    </row>
    <row r="375" spans="1:28" ht="15.75" customHeight="1" x14ac:dyDescent="0.25">
      <c r="A375" s="45"/>
      <c r="B375" s="45"/>
      <c r="C375" s="46"/>
      <c r="D375" s="46"/>
      <c r="E375" s="45"/>
      <c r="F375" s="45"/>
      <c r="G375" s="47"/>
      <c r="H375" s="45"/>
      <c r="I375" s="45"/>
      <c r="J375" s="45"/>
      <c r="K375" s="45"/>
      <c r="L375" s="20"/>
      <c r="M375" s="20"/>
      <c r="N375" s="20"/>
      <c r="O375" s="20"/>
      <c r="P375" s="20"/>
      <c r="Q375" s="20"/>
      <c r="R375" s="20"/>
      <c r="S375" s="20"/>
      <c r="T375" s="20"/>
      <c r="U375" s="20"/>
      <c r="V375" s="20"/>
      <c r="W375" s="20"/>
      <c r="X375" s="20"/>
      <c r="Y375" s="20"/>
      <c r="Z375" s="21"/>
      <c r="AA375" s="22"/>
      <c r="AB375" s="23"/>
    </row>
    <row r="376" spans="1:28" ht="15.75" customHeight="1" x14ac:dyDescent="0.25">
      <c r="A376" s="45"/>
      <c r="B376" s="45"/>
      <c r="C376" s="46"/>
      <c r="D376" s="46"/>
      <c r="E376" s="45"/>
      <c r="F376" s="45"/>
      <c r="G376" s="47"/>
      <c r="H376" s="45"/>
      <c r="I376" s="45"/>
      <c r="J376" s="45"/>
      <c r="K376" s="45"/>
      <c r="L376" s="20"/>
      <c r="M376" s="20"/>
      <c r="N376" s="20"/>
      <c r="O376" s="20"/>
      <c r="P376" s="20"/>
      <c r="Q376" s="20"/>
      <c r="R376" s="20"/>
      <c r="S376" s="20"/>
      <c r="T376" s="20"/>
      <c r="U376" s="20"/>
      <c r="V376" s="20"/>
      <c r="W376" s="20"/>
      <c r="X376" s="20"/>
      <c r="Y376" s="20"/>
      <c r="Z376" s="21"/>
      <c r="AA376" s="22"/>
      <c r="AB376" s="23"/>
    </row>
    <row r="377" spans="1:28" ht="15.75" customHeight="1" x14ac:dyDescent="0.25">
      <c r="A377" s="45"/>
      <c r="B377" s="45"/>
      <c r="C377" s="46"/>
      <c r="D377" s="46"/>
      <c r="E377" s="45"/>
      <c r="F377" s="45"/>
      <c r="G377" s="47"/>
      <c r="H377" s="45"/>
      <c r="I377" s="45"/>
      <c r="J377" s="45"/>
      <c r="K377" s="45"/>
      <c r="L377" s="20"/>
      <c r="M377" s="20"/>
      <c r="N377" s="20"/>
      <c r="O377" s="20"/>
      <c r="P377" s="20"/>
      <c r="Q377" s="20"/>
      <c r="R377" s="20"/>
      <c r="S377" s="20"/>
      <c r="T377" s="20"/>
      <c r="U377" s="20"/>
      <c r="V377" s="20"/>
      <c r="W377" s="20"/>
      <c r="X377" s="20"/>
      <c r="Y377" s="20"/>
      <c r="Z377" s="21"/>
      <c r="AA377" s="22"/>
      <c r="AB377" s="23"/>
    </row>
    <row r="378" spans="1:28" ht="15.75" customHeight="1" x14ac:dyDescent="0.25">
      <c r="A378" s="45"/>
      <c r="B378" s="45"/>
      <c r="C378" s="46"/>
      <c r="D378" s="46"/>
      <c r="E378" s="45"/>
      <c r="F378" s="45"/>
      <c r="G378" s="47"/>
      <c r="H378" s="45"/>
      <c r="I378" s="45"/>
      <c r="J378" s="45"/>
      <c r="K378" s="45"/>
      <c r="L378" s="20"/>
      <c r="M378" s="20"/>
      <c r="N378" s="20"/>
      <c r="O378" s="20"/>
      <c r="P378" s="20"/>
      <c r="Q378" s="20"/>
      <c r="R378" s="20"/>
      <c r="S378" s="20"/>
      <c r="T378" s="20"/>
      <c r="U378" s="20"/>
      <c r="V378" s="20"/>
      <c r="W378" s="20"/>
      <c r="X378" s="20"/>
      <c r="Y378" s="20"/>
      <c r="Z378" s="21"/>
      <c r="AA378" s="22"/>
      <c r="AB378" s="23"/>
    </row>
    <row r="379" spans="1:28" ht="15.75" customHeight="1" x14ac:dyDescent="0.25">
      <c r="A379" s="45"/>
      <c r="B379" s="45"/>
      <c r="C379" s="46"/>
      <c r="D379" s="46"/>
      <c r="E379" s="45"/>
      <c r="F379" s="45"/>
      <c r="G379" s="47"/>
      <c r="H379" s="45"/>
      <c r="I379" s="45"/>
      <c r="J379" s="45"/>
      <c r="K379" s="45"/>
      <c r="L379" s="20"/>
      <c r="M379" s="20"/>
      <c r="N379" s="20"/>
      <c r="O379" s="20"/>
      <c r="P379" s="20"/>
      <c r="Q379" s="20"/>
      <c r="R379" s="20"/>
      <c r="S379" s="20"/>
      <c r="T379" s="20"/>
      <c r="U379" s="20"/>
      <c r="V379" s="20"/>
      <c r="W379" s="20"/>
      <c r="X379" s="20"/>
      <c r="Y379" s="20"/>
      <c r="Z379" s="21"/>
      <c r="AA379" s="22"/>
      <c r="AB379" s="23"/>
    </row>
    <row r="380" spans="1:28" ht="15.75" customHeight="1" x14ac:dyDescent="0.25">
      <c r="A380" s="45"/>
      <c r="B380" s="45"/>
      <c r="C380" s="46"/>
      <c r="D380" s="46"/>
      <c r="E380" s="45"/>
      <c r="F380" s="45"/>
      <c r="G380" s="47"/>
      <c r="H380" s="45"/>
      <c r="I380" s="45"/>
      <c r="J380" s="45"/>
      <c r="K380" s="45"/>
      <c r="L380" s="20"/>
      <c r="M380" s="20"/>
      <c r="N380" s="20"/>
      <c r="O380" s="20"/>
      <c r="P380" s="20"/>
      <c r="Q380" s="20"/>
      <c r="R380" s="20"/>
      <c r="S380" s="20"/>
      <c r="T380" s="20"/>
      <c r="U380" s="20"/>
      <c r="V380" s="20"/>
      <c r="W380" s="20"/>
      <c r="X380" s="20"/>
      <c r="Y380" s="20"/>
      <c r="Z380" s="21"/>
      <c r="AA380" s="22"/>
      <c r="AB380" s="23"/>
    </row>
    <row r="381" spans="1:28" ht="15.75" customHeight="1" x14ac:dyDescent="0.25">
      <c r="G381" s="1"/>
    </row>
    <row r="382" spans="1:28" ht="15.75" customHeight="1" x14ac:dyDescent="0.25">
      <c r="G382" s="1"/>
    </row>
    <row r="383" spans="1:28" ht="15.75" customHeight="1" x14ac:dyDescent="0.25">
      <c r="G383" s="1"/>
    </row>
    <row r="384" spans="1:28" ht="15.75" customHeight="1" x14ac:dyDescent="0.25">
      <c r="G384" s="1"/>
    </row>
    <row r="385" spans="7:7" ht="15.75" customHeight="1" x14ac:dyDescent="0.25">
      <c r="G385" s="1"/>
    </row>
    <row r="386" spans="7:7" ht="15.75" customHeight="1" x14ac:dyDescent="0.25">
      <c r="G386" s="1"/>
    </row>
    <row r="387" spans="7:7" ht="15.75" customHeight="1" x14ac:dyDescent="0.25">
      <c r="G387" s="1"/>
    </row>
    <row r="388" spans="7:7" ht="15.75" customHeight="1" x14ac:dyDescent="0.25">
      <c r="G388" s="1"/>
    </row>
    <row r="389" spans="7:7" ht="15.75" customHeight="1" x14ac:dyDescent="0.25">
      <c r="G389" s="1"/>
    </row>
    <row r="390" spans="7:7" ht="15.75" customHeight="1" x14ac:dyDescent="0.25">
      <c r="G390" s="1"/>
    </row>
    <row r="391" spans="7:7" ht="15.75" customHeight="1" x14ac:dyDescent="0.25">
      <c r="G391" s="1"/>
    </row>
    <row r="392" spans="7:7" ht="15.75" customHeight="1" x14ac:dyDescent="0.25">
      <c r="G392" s="1"/>
    </row>
    <row r="393" spans="7:7" ht="15.75" customHeight="1" x14ac:dyDescent="0.25">
      <c r="G393" s="1"/>
    </row>
    <row r="394" spans="7:7" ht="15.75" customHeight="1" x14ac:dyDescent="0.25">
      <c r="G394" s="1"/>
    </row>
    <row r="395" spans="7:7" ht="15.75" customHeight="1" x14ac:dyDescent="0.25">
      <c r="G395" s="1"/>
    </row>
    <row r="396" spans="7:7" ht="15.75" customHeight="1" x14ac:dyDescent="0.25">
      <c r="G396" s="1"/>
    </row>
    <row r="397" spans="7:7" ht="15.75" customHeight="1" x14ac:dyDescent="0.25">
      <c r="G397" s="1"/>
    </row>
    <row r="398" spans="7:7" ht="15.75" customHeight="1" x14ac:dyDescent="0.25">
      <c r="G398" s="1"/>
    </row>
    <row r="399" spans="7:7" ht="15.75" customHeight="1" x14ac:dyDescent="0.25">
      <c r="G399" s="1"/>
    </row>
    <row r="400" spans="7:7" ht="15.75" customHeight="1" x14ac:dyDescent="0.25">
      <c r="G400" s="1"/>
    </row>
    <row r="401" spans="7:7" ht="15.75" customHeight="1" x14ac:dyDescent="0.25">
      <c r="G401" s="1"/>
    </row>
    <row r="402" spans="7:7" ht="15.75" customHeight="1" x14ac:dyDescent="0.25">
      <c r="G402" s="1"/>
    </row>
    <row r="403" spans="7:7" ht="15.75" customHeight="1" x14ac:dyDescent="0.25">
      <c r="G403" s="1"/>
    </row>
    <row r="404" spans="7:7" ht="15.75" customHeight="1" x14ac:dyDescent="0.25">
      <c r="G404" s="1"/>
    </row>
    <row r="405" spans="7:7" ht="15.75" customHeight="1" x14ac:dyDescent="0.25">
      <c r="G405" s="1"/>
    </row>
    <row r="406" spans="7:7" ht="15.75" customHeight="1" x14ac:dyDescent="0.25">
      <c r="G406" s="1"/>
    </row>
    <row r="407" spans="7:7" ht="15.75" customHeight="1" x14ac:dyDescent="0.25">
      <c r="G407" s="1"/>
    </row>
    <row r="408" spans="7:7" ht="15.75" customHeight="1" x14ac:dyDescent="0.25">
      <c r="G408" s="1"/>
    </row>
    <row r="409" spans="7:7" ht="15.75" customHeight="1" x14ac:dyDescent="0.25">
      <c r="G409" s="1"/>
    </row>
    <row r="410" spans="7:7" ht="15.75" customHeight="1" x14ac:dyDescent="0.25">
      <c r="G410" s="1"/>
    </row>
    <row r="411" spans="7:7" ht="15.75" customHeight="1" x14ac:dyDescent="0.25">
      <c r="G411" s="1"/>
    </row>
    <row r="412" spans="7:7" ht="15.75" customHeight="1" x14ac:dyDescent="0.25">
      <c r="G412" s="1"/>
    </row>
    <row r="413" spans="7:7" ht="15.75" customHeight="1" x14ac:dyDescent="0.25">
      <c r="G413" s="1"/>
    </row>
    <row r="414" spans="7:7" ht="15.75" customHeight="1" x14ac:dyDescent="0.25">
      <c r="G414" s="1"/>
    </row>
    <row r="415" spans="7:7" ht="15.75" customHeight="1" x14ac:dyDescent="0.25">
      <c r="G415" s="1"/>
    </row>
    <row r="416" spans="7:7" ht="15.75" customHeight="1" x14ac:dyDescent="0.25">
      <c r="G416" s="1"/>
    </row>
    <row r="417" spans="7:7" ht="15.75" customHeight="1" x14ac:dyDescent="0.25">
      <c r="G417" s="1"/>
    </row>
    <row r="418" spans="7:7" ht="15.75" customHeight="1" x14ac:dyDescent="0.25">
      <c r="G418" s="1"/>
    </row>
    <row r="419" spans="7:7" ht="15.75" customHeight="1" x14ac:dyDescent="0.25">
      <c r="G419" s="1"/>
    </row>
    <row r="420" spans="7:7" ht="15.75" customHeight="1" x14ac:dyDescent="0.25">
      <c r="G420" s="1"/>
    </row>
    <row r="421" spans="7:7" ht="15.75" customHeight="1" x14ac:dyDescent="0.25">
      <c r="G421" s="1"/>
    </row>
    <row r="422" spans="7:7" ht="15.75" customHeight="1" x14ac:dyDescent="0.25">
      <c r="G422" s="1"/>
    </row>
    <row r="423" spans="7:7" ht="15.75" customHeight="1" x14ac:dyDescent="0.25">
      <c r="G423" s="1"/>
    </row>
    <row r="424" spans="7:7" ht="15.75" customHeight="1" x14ac:dyDescent="0.25">
      <c r="G424" s="1"/>
    </row>
    <row r="425" spans="7:7" ht="15.75" customHeight="1" x14ac:dyDescent="0.25">
      <c r="G425" s="1"/>
    </row>
    <row r="426" spans="7:7" ht="15.75" customHeight="1" x14ac:dyDescent="0.25">
      <c r="G426" s="1"/>
    </row>
    <row r="427" spans="7:7" ht="15.75" customHeight="1" x14ac:dyDescent="0.25">
      <c r="G427" s="1"/>
    </row>
    <row r="428" spans="7:7" ht="15.75" customHeight="1" x14ac:dyDescent="0.25">
      <c r="G428" s="1"/>
    </row>
    <row r="429" spans="7:7" ht="15.75" customHeight="1" x14ac:dyDescent="0.25">
      <c r="G429" s="1"/>
    </row>
    <row r="430" spans="7:7" ht="15.75" customHeight="1" x14ac:dyDescent="0.25">
      <c r="G430" s="1"/>
    </row>
    <row r="431" spans="7:7" ht="15.75" customHeight="1" x14ac:dyDescent="0.25">
      <c r="G431" s="1"/>
    </row>
    <row r="432" spans="7:7" ht="15.75" customHeight="1" x14ac:dyDescent="0.25">
      <c r="G432" s="1"/>
    </row>
    <row r="433" spans="7:7" ht="15.75" customHeight="1" x14ac:dyDescent="0.25">
      <c r="G433" s="1"/>
    </row>
    <row r="434" spans="7:7" ht="15.75" customHeight="1" x14ac:dyDescent="0.25">
      <c r="G434" s="1"/>
    </row>
    <row r="435" spans="7:7" ht="15.75" customHeight="1" x14ac:dyDescent="0.25">
      <c r="G435" s="1"/>
    </row>
    <row r="436" spans="7:7" ht="15.75" customHeight="1" x14ac:dyDescent="0.25">
      <c r="G436" s="1"/>
    </row>
    <row r="437" spans="7:7" ht="15.75" customHeight="1" x14ac:dyDescent="0.25">
      <c r="G437" s="1"/>
    </row>
    <row r="438" spans="7:7" ht="15.75" customHeight="1" x14ac:dyDescent="0.25">
      <c r="G438" s="1"/>
    </row>
    <row r="439" spans="7:7" ht="15.75" customHeight="1" x14ac:dyDescent="0.25">
      <c r="G439" s="1"/>
    </row>
    <row r="440" spans="7:7" ht="15.75" customHeight="1" x14ac:dyDescent="0.25">
      <c r="G440" s="1"/>
    </row>
    <row r="441" spans="7:7" ht="15.75" customHeight="1" x14ac:dyDescent="0.25">
      <c r="G441" s="1"/>
    </row>
    <row r="442" spans="7:7" ht="15.75" customHeight="1" x14ac:dyDescent="0.25">
      <c r="G442" s="1"/>
    </row>
    <row r="443" spans="7:7" ht="15.75" customHeight="1" x14ac:dyDescent="0.25">
      <c r="G443" s="1"/>
    </row>
    <row r="444" spans="7:7" ht="15.75" customHeight="1" x14ac:dyDescent="0.25">
      <c r="G444" s="1"/>
    </row>
    <row r="445" spans="7:7" ht="15.75" customHeight="1" x14ac:dyDescent="0.25">
      <c r="G445" s="1"/>
    </row>
    <row r="446" spans="7:7" ht="15.75" customHeight="1" x14ac:dyDescent="0.25">
      <c r="G446" s="1"/>
    </row>
    <row r="447" spans="7:7" ht="15.75" customHeight="1" x14ac:dyDescent="0.25">
      <c r="G447" s="1"/>
    </row>
    <row r="448" spans="7:7" ht="15.75" customHeight="1" x14ac:dyDescent="0.25">
      <c r="G448" s="1"/>
    </row>
    <row r="449" spans="7:7" ht="15.75" customHeight="1" x14ac:dyDescent="0.25">
      <c r="G449" s="1"/>
    </row>
    <row r="450" spans="7:7" ht="15.75" customHeight="1" x14ac:dyDescent="0.25">
      <c r="G450" s="1"/>
    </row>
    <row r="451" spans="7:7" ht="15.75" customHeight="1" x14ac:dyDescent="0.25">
      <c r="G451" s="1"/>
    </row>
    <row r="452" spans="7:7" ht="15.75" customHeight="1" x14ac:dyDescent="0.25">
      <c r="G452" s="1"/>
    </row>
    <row r="453" spans="7:7" ht="15.75" customHeight="1" x14ac:dyDescent="0.25">
      <c r="G453" s="1"/>
    </row>
    <row r="454" spans="7:7" ht="15.75" customHeight="1" x14ac:dyDescent="0.25">
      <c r="G454" s="1"/>
    </row>
    <row r="455" spans="7:7" ht="15.75" customHeight="1" x14ac:dyDescent="0.25">
      <c r="G455" s="1"/>
    </row>
    <row r="456" spans="7:7" ht="15.75" customHeight="1" x14ac:dyDescent="0.25">
      <c r="G456" s="1"/>
    </row>
    <row r="457" spans="7:7" ht="15.75" customHeight="1" x14ac:dyDescent="0.25">
      <c r="G457" s="1"/>
    </row>
    <row r="458" spans="7:7" ht="15.75" customHeight="1" x14ac:dyDescent="0.25">
      <c r="G458" s="1"/>
    </row>
    <row r="459" spans="7:7" ht="15.75" customHeight="1" x14ac:dyDescent="0.25">
      <c r="G459" s="1"/>
    </row>
    <row r="460" spans="7:7" ht="15.75" customHeight="1" x14ac:dyDescent="0.25">
      <c r="G460" s="1"/>
    </row>
    <row r="461" spans="7:7" ht="15.75" customHeight="1" x14ac:dyDescent="0.25">
      <c r="G461" s="1"/>
    </row>
    <row r="462" spans="7:7" ht="15.75" customHeight="1" x14ac:dyDescent="0.25">
      <c r="G462" s="1"/>
    </row>
    <row r="463" spans="7:7" ht="15.75" customHeight="1" x14ac:dyDescent="0.25">
      <c r="G463" s="1"/>
    </row>
    <row r="464" spans="7:7" ht="15.75" customHeight="1" x14ac:dyDescent="0.25">
      <c r="G464" s="1"/>
    </row>
    <row r="465" spans="7:7" ht="15.75" customHeight="1" x14ac:dyDescent="0.25">
      <c r="G465" s="1"/>
    </row>
    <row r="466" spans="7:7" ht="15.75" customHeight="1" x14ac:dyDescent="0.25">
      <c r="G466" s="1"/>
    </row>
    <row r="467" spans="7:7" ht="15.75" customHeight="1" x14ac:dyDescent="0.25">
      <c r="G467" s="1"/>
    </row>
    <row r="468" spans="7:7" ht="15.75" customHeight="1" x14ac:dyDescent="0.25">
      <c r="G468" s="1"/>
    </row>
    <row r="469" spans="7:7" ht="15.75" customHeight="1" x14ac:dyDescent="0.25">
      <c r="G469" s="1"/>
    </row>
    <row r="470" spans="7:7" ht="15.75" customHeight="1" x14ac:dyDescent="0.25">
      <c r="G470" s="1"/>
    </row>
    <row r="471" spans="7:7" ht="15.75" customHeight="1" x14ac:dyDescent="0.25">
      <c r="G471" s="1"/>
    </row>
    <row r="472" spans="7:7" ht="15.75" customHeight="1" x14ac:dyDescent="0.25">
      <c r="G472" s="1"/>
    </row>
    <row r="473" spans="7:7" ht="15.75" customHeight="1" x14ac:dyDescent="0.25">
      <c r="G473" s="1"/>
    </row>
    <row r="474" spans="7:7" ht="15.75" customHeight="1" x14ac:dyDescent="0.25">
      <c r="G474" s="1"/>
    </row>
    <row r="475" spans="7:7" ht="15.75" customHeight="1" x14ac:dyDescent="0.25">
      <c r="G475" s="1"/>
    </row>
    <row r="476" spans="7:7" ht="15.75" customHeight="1" x14ac:dyDescent="0.25">
      <c r="G476" s="1"/>
    </row>
    <row r="477" spans="7:7" ht="15.75" customHeight="1" x14ac:dyDescent="0.25">
      <c r="G477" s="1"/>
    </row>
    <row r="478" spans="7:7" ht="15.75" customHeight="1" x14ac:dyDescent="0.25">
      <c r="G478" s="1"/>
    </row>
    <row r="479" spans="7:7" ht="15.75" customHeight="1" x14ac:dyDescent="0.25">
      <c r="G479" s="1"/>
    </row>
    <row r="480" spans="7:7" ht="15.75" customHeight="1" x14ac:dyDescent="0.25">
      <c r="G480" s="1"/>
    </row>
    <row r="481" spans="7:7" ht="15.75" customHeight="1" x14ac:dyDescent="0.25">
      <c r="G481" s="1"/>
    </row>
    <row r="482" spans="7:7" ht="15.75" customHeight="1" x14ac:dyDescent="0.25">
      <c r="G482" s="1"/>
    </row>
    <row r="483" spans="7:7" ht="15.75" customHeight="1" x14ac:dyDescent="0.25">
      <c r="G483" s="1"/>
    </row>
    <row r="484" spans="7:7" ht="15.75" customHeight="1" x14ac:dyDescent="0.25">
      <c r="G484" s="1"/>
    </row>
    <row r="485" spans="7:7" ht="15.75" customHeight="1" x14ac:dyDescent="0.25">
      <c r="G485" s="1"/>
    </row>
    <row r="486" spans="7:7" ht="15.75" customHeight="1" x14ac:dyDescent="0.25">
      <c r="G486" s="1"/>
    </row>
    <row r="487" spans="7:7" ht="15.75" customHeight="1" x14ac:dyDescent="0.25">
      <c r="G487" s="1"/>
    </row>
    <row r="488" spans="7:7" ht="15.75" customHeight="1" x14ac:dyDescent="0.25">
      <c r="G488" s="1"/>
    </row>
    <row r="489" spans="7:7" ht="15.75" customHeight="1" x14ac:dyDescent="0.25">
      <c r="G489" s="1"/>
    </row>
    <row r="490" spans="7:7" ht="15.75" customHeight="1" x14ac:dyDescent="0.25">
      <c r="G490" s="1"/>
    </row>
    <row r="491" spans="7:7" ht="15.75" customHeight="1" x14ac:dyDescent="0.25">
      <c r="G491" s="1"/>
    </row>
    <row r="492" spans="7:7" ht="15.75" customHeight="1" x14ac:dyDescent="0.25">
      <c r="G492" s="1"/>
    </row>
    <row r="493" spans="7:7" ht="15.75" customHeight="1" x14ac:dyDescent="0.25">
      <c r="G493" s="1"/>
    </row>
    <row r="494" spans="7:7" ht="15.75" customHeight="1" x14ac:dyDescent="0.25">
      <c r="G494" s="1"/>
    </row>
    <row r="495" spans="7:7" ht="15.75" customHeight="1" x14ac:dyDescent="0.25">
      <c r="G495" s="1"/>
    </row>
    <row r="496" spans="7:7" ht="15.75" customHeight="1" x14ac:dyDescent="0.25">
      <c r="G496" s="1"/>
    </row>
    <row r="497" spans="7:7" ht="15.75" customHeight="1" x14ac:dyDescent="0.25">
      <c r="G497" s="1"/>
    </row>
    <row r="498" spans="7:7" ht="15.75" customHeight="1" x14ac:dyDescent="0.25">
      <c r="G498" s="1"/>
    </row>
    <row r="499" spans="7:7" ht="15.75" customHeight="1" x14ac:dyDescent="0.25">
      <c r="G499" s="1"/>
    </row>
    <row r="500" spans="7:7" ht="15.75" customHeight="1" x14ac:dyDescent="0.25">
      <c r="G500" s="1"/>
    </row>
    <row r="501" spans="7:7" ht="15.75" customHeight="1" x14ac:dyDescent="0.25">
      <c r="G501" s="1"/>
    </row>
    <row r="502" spans="7:7" ht="15.75" customHeight="1" x14ac:dyDescent="0.25">
      <c r="G502" s="1"/>
    </row>
    <row r="503" spans="7:7" ht="15.75" customHeight="1" x14ac:dyDescent="0.25">
      <c r="G503" s="1"/>
    </row>
    <row r="504" spans="7:7" ht="15.75" customHeight="1" x14ac:dyDescent="0.25">
      <c r="G504" s="1"/>
    </row>
    <row r="505" spans="7:7" ht="15.75" customHeight="1" x14ac:dyDescent="0.25">
      <c r="G505" s="1"/>
    </row>
    <row r="506" spans="7:7" ht="15.75" customHeight="1" x14ac:dyDescent="0.25">
      <c r="G506" s="1"/>
    </row>
    <row r="507" spans="7:7" ht="15.75" customHeight="1" x14ac:dyDescent="0.25">
      <c r="G507" s="1"/>
    </row>
    <row r="508" spans="7:7" ht="15.75" customHeight="1" x14ac:dyDescent="0.25">
      <c r="G508" s="1"/>
    </row>
    <row r="509" spans="7:7" ht="15.75" customHeight="1" x14ac:dyDescent="0.25">
      <c r="G509" s="1"/>
    </row>
    <row r="510" spans="7:7" ht="15.75" customHeight="1" x14ac:dyDescent="0.25">
      <c r="G510" s="1"/>
    </row>
    <row r="511" spans="7:7" ht="15.75" customHeight="1" x14ac:dyDescent="0.25">
      <c r="G511" s="1"/>
    </row>
    <row r="512" spans="7:7" ht="15.75" customHeight="1" x14ac:dyDescent="0.25">
      <c r="G512" s="1"/>
    </row>
    <row r="513" spans="7:7" ht="15.75" customHeight="1" x14ac:dyDescent="0.25">
      <c r="G513" s="1"/>
    </row>
    <row r="514" spans="7:7" ht="15.75" customHeight="1" x14ac:dyDescent="0.25">
      <c r="G514" s="1"/>
    </row>
    <row r="515" spans="7:7" ht="15.75" customHeight="1" x14ac:dyDescent="0.25">
      <c r="G515" s="1"/>
    </row>
    <row r="516" spans="7:7" ht="15.75" customHeight="1" x14ac:dyDescent="0.25">
      <c r="G516" s="1"/>
    </row>
    <row r="517" spans="7:7" ht="15.75" customHeight="1" x14ac:dyDescent="0.25">
      <c r="G517" s="1"/>
    </row>
    <row r="518" spans="7:7" ht="15.75" customHeight="1" x14ac:dyDescent="0.25">
      <c r="G518" s="1"/>
    </row>
    <row r="519" spans="7:7" ht="15.75" customHeight="1" x14ac:dyDescent="0.25">
      <c r="G519" s="1"/>
    </row>
    <row r="520" spans="7:7" ht="15.75" customHeight="1" x14ac:dyDescent="0.25">
      <c r="G520" s="1"/>
    </row>
    <row r="521" spans="7:7" ht="15.75" customHeight="1" x14ac:dyDescent="0.25">
      <c r="G521" s="1"/>
    </row>
    <row r="522" spans="7:7" ht="15.75" customHeight="1" x14ac:dyDescent="0.25">
      <c r="G522" s="1"/>
    </row>
    <row r="523" spans="7:7" ht="15.75" customHeight="1" x14ac:dyDescent="0.25">
      <c r="G523" s="1"/>
    </row>
    <row r="524" spans="7:7" ht="15.75" customHeight="1" x14ac:dyDescent="0.25">
      <c r="G524" s="1"/>
    </row>
    <row r="525" spans="7:7" ht="15.75" customHeight="1" x14ac:dyDescent="0.25">
      <c r="G525" s="1"/>
    </row>
    <row r="526" spans="7:7" ht="15.75" customHeight="1" x14ac:dyDescent="0.25">
      <c r="G526" s="1"/>
    </row>
    <row r="527" spans="7:7" ht="15.75" customHeight="1" x14ac:dyDescent="0.25">
      <c r="G527" s="1"/>
    </row>
    <row r="528" spans="7:7" ht="15.75" customHeight="1" x14ac:dyDescent="0.25">
      <c r="G528" s="1"/>
    </row>
    <row r="529" spans="7:7" ht="15.75" customHeight="1" x14ac:dyDescent="0.25">
      <c r="G529" s="1"/>
    </row>
    <row r="530" spans="7:7" ht="15.75" customHeight="1" x14ac:dyDescent="0.25">
      <c r="G530" s="1"/>
    </row>
    <row r="531" spans="7:7" ht="15.75" customHeight="1" x14ac:dyDescent="0.25">
      <c r="G531" s="1"/>
    </row>
    <row r="532" spans="7:7" ht="15.75" customHeight="1" x14ac:dyDescent="0.25">
      <c r="G532" s="1"/>
    </row>
    <row r="533" spans="7:7" ht="15.75" customHeight="1" x14ac:dyDescent="0.25">
      <c r="G533" s="1"/>
    </row>
    <row r="534" spans="7:7" ht="15.75" customHeight="1" x14ac:dyDescent="0.25">
      <c r="G534" s="1"/>
    </row>
    <row r="535" spans="7:7" ht="15.75" customHeight="1" x14ac:dyDescent="0.25">
      <c r="G535" s="1"/>
    </row>
    <row r="536" spans="7:7" ht="15.75" customHeight="1" x14ac:dyDescent="0.25">
      <c r="G536" s="1"/>
    </row>
    <row r="537" spans="7:7" ht="15.75" customHeight="1" x14ac:dyDescent="0.25">
      <c r="G537" s="1"/>
    </row>
    <row r="538" spans="7:7" ht="15.75" customHeight="1" x14ac:dyDescent="0.25">
      <c r="G538" s="1"/>
    </row>
    <row r="539" spans="7:7" ht="15.75" customHeight="1" x14ac:dyDescent="0.25">
      <c r="G539" s="1"/>
    </row>
    <row r="540" spans="7:7" ht="15.75" customHeight="1" x14ac:dyDescent="0.25">
      <c r="G540" s="1"/>
    </row>
    <row r="541" spans="7:7" ht="15.75" customHeight="1" x14ac:dyDescent="0.25">
      <c r="G541" s="1"/>
    </row>
    <row r="542" spans="7:7" ht="15.75" customHeight="1" x14ac:dyDescent="0.25">
      <c r="G542" s="1"/>
    </row>
    <row r="543" spans="7:7" ht="15.75" customHeight="1" x14ac:dyDescent="0.25">
      <c r="G543" s="1"/>
    </row>
    <row r="544" spans="7:7" ht="15.75" customHeight="1" x14ac:dyDescent="0.25">
      <c r="G544" s="1"/>
    </row>
    <row r="545" spans="7:7" ht="15.75" customHeight="1" x14ac:dyDescent="0.25">
      <c r="G545" s="1"/>
    </row>
    <row r="546" spans="7:7" ht="15.75" customHeight="1" x14ac:dyDescent="0.25">
      <c r="G546" s="1"/>
    </row>
    <row r="547" spans="7:7" ht="15.75" customHeight="1" x14ac:dyDescent="0.25">
      <c r="G547" s="1"/>
    </row>
    <row r="548" spans="7:7" ht="15.75" customHeight="1" x14ac:dyDescent="0.25">
      <c r="G548" s="1"/>
    </row>
    <row r="549" spans="7:7" ht="15.75" customHeight="1" x14ac:dyDescent="0.25">
      <c r="G549" s="1"/>
    </row>
    <row r="550" spans="7:7" ht="15.75" customHeight="1" x14ac:dyDescent="0.25">
      <c r="G550" s="1"/>
    </row>
    <row r="551" spans="7:7" ht="15.75" customHeight="1" x14ac:dyDescent="0.25">
      <c r="G551" s="1"/>
    </row>
    <row r="552" spans="7:7" ht="15.75" customHeight="1" x14ac:dyDescent="0.25">
      <c r="G552" s="1"/>
    </row>
    <row r="553" spans="7:7" ht="15.75" customHeight="1" x14ac:dyDescent="0.25">
      <c r="G553" s="1"/>
    </row>
    <row r="554" spans="7:7" ht="15.75" customHeight="1" x14ac:dyDescent="0.25">
      <c r="G554" s="1"/>
    </row>
    <row r="555" spans="7:7" ht="15.75" customHeight="1" x14ac:dyDescent="0.25">
      <c r="G555" s="1"/>
    </row>
    <row r="556" spans="7:7" ht="15.75" customHeight="1" x14ac:dyDescent="0.25">
      <c r="G556" s="1"/>
    </row>
    <row r="557" spans="7:7" ht="15.75" customHeight="1" x14ac:dyDescent="0.25">
      <c r="G557" s="1"/>
    </row>
    <row r="558" spans="7:7" ht="15.75" customHeight="1" x14ac:dyDescent="0.25">
      <c r="G558" s="1"/>
    </row>
    <row r="559" spans="7:7" ht="15.75" customHeight="1" x14ac:dyDescent="0.25">
      <c r="G559" s="1"/>
    </row>
    <row r="560" spans="7:7" ht="15.75" customHeight="1" x14ac:dyDescent="0.25">
      <c r="G560" s="1"/>
    </row>
    <row r="561" spans="7:7" ht="15.75" customHeight="1" x14ac:dyDescent="0.25">
      <c r="G561" s="1"/>
    </row>
    <row r="562" spans="7:7" ht="15.75" customHeight="1" x14ac:dyDescent="0.25">
      <c r="G562" s="1"/>
    </row>
    <row r="563" spans="7:7" ht="15.75" customHeight="1" x14ac:dyDescent="0.25">
      <c r="G563" s="1"/>
    </row>
    <row r="564" spans="7:7" ht="15.75" customHeight="1" x14ac:dyDescent="0.25">
      <c r="G564" s="1"/>
    </row>
    <row r="565" spans="7:7" ht="15.75" customHeight="1" x14ac:dyDescent="0.25">
      <c r="G565" s="1"/>
    </row>
    <row r="566" spans="7:7" ht="15.75" customHeight="1" x14ac:dyDescent="0.25">
      <c r="G566" s="1"/>
    </row>
    <row r="567" spans="7:7" ht="15.75" customHeight="1" x14ac:dyDescent="0.25">
      <c r="G567" s="1"/>
    </row>
    <row r="568" spans="7:7" ht="15.75" customHeight="1" x14ac:dyDescent="0.25">
      <c r="G568" s="1"/>
    </row>
    <row r="569" spans="7:7" ht="15.75" customHeight="1" x14ac:dyDescent="0.25">
      <c r="G569" s="1"/>
    </row>
    <row r="570" spans="7:7" ht="15.75" customHeight="1" x14ac:dyDescent="0.25">
      <c r="G570" s="1"/>
    </row>
    <row r="571" spans="7:7" ht="15.75" customHeight="1" x14ac:dyDescent="0.25">
      <c r="G571" s="1"/>
    </row>
    <row r="572" spans="7:7" ht="15.75" customHeight="1" x14ac:dyDescent="0.25">
      <c r="G572" s="1"/>
    </row>
    <row r="573" spans="7:7" ht="15.75" customHeight="1" x14ac:dyDescent="0.25">
      <c r="G573" s="1"/>
    </row>
    <row r="574" spans="7:7" ht="15.75" customHeight="1" x14ac:dyDescent="0.25">
      <c r="G574" s="1"/>
    </row>
    <row r="575" spans="7:7" ht="15.75" customHeight="1" x14ac:dyDescent="0.25">
      <c r="G575" s="1"/>
    </row>
    <row r="576" spans="7:7" ht="15.75" customHeight="1" x14ac:dyDescent="0.25">
      <c r="G576" s="1"/>
    </row>
    <row r="577" spans="7:7" ht="15.75" customHeight="1" x14ac:dyDescent="0.25">
      <c r="G577" s="1"/>
    </row>
    <row r="578" spans="7:7" ht="15.75" customHeight="1" x14ac:dyDescent="0.25">
      <c r="G578" s="1"/>
    </row>
    <row r="579" spans="7:7" ht="15.75" customHeight="1" x14ac:dyDescent="0.25">
      <c r="G579" s="1"/>
    </row>
    <row r="580" spans="7:7" ht="15.75" customHeight="1" x14ac:dyDescent="0.25">
      <c r="G580" s="1"/>
    </row>
    <row r="581" spans="7:7" ht="15.75" customHeight="1" x14ac:dyDescent="0.25">
      <c r="G581" s="1"/>
    </row>
    <row r="582" spans="7:7" ht="15.75" customHeight="1" x14ac:dyDescent="0.25">
      <c r="G582" s="1"/>
    </row>
    <row r="583" spans="7:7" ht="15.75" customHeight="1" x14ac:dyDescent="0.25">
      <c r="G583" s="1"/>
    </row>
    <row r="584" spans="7:7" ht="15.75" customHeight="1" x14ac:dyDescent="0.25">
      <c r="G584" s="1"/>
    </row>
    <row r="585" spans="7:7" ht="15.75" customHeight="1" x14ac:dyDescent="0.25">
      <c r="G585" s="1"/>
    </row>
    <row r="586" spans="7:7" ht="15.75" customHeight="1" x14ac:dyDescent="0.25">
      <c r="G586" s="1"/>
    </row>
    <row r="587" spans="7:7" ht="15.75" customHeight="1" x14ac:dyDescent="0.25">
      <c r="G587" s="1"/>
    </row>
    <row r="588" spans="7:7" ht="15.75" customHeight="1" x14ac:dyDescent="0.25">
      <c r="G588" s="1"/>
    </row>
    <row r="589" spans="7:7" ht="15.75" customHeight="1" x14ac:dyDescent="0.25">
      <c r="G589" s="1"/>
    </row>
    <row r="590" spans="7:7" ht="15.75" customHeight="1" x14ac:dyDescent="0.25">
      <c r="G590" s="1"/>
    </row>
    <row r="591" spans="7:7" ht="15.75" customHeight="1" x14ac:dyDescent="0.25">
      <c r="G591" s="1"/>
    </row>
    <row r="592" spans="7:7" ht="15.75" customHeight="1" x14ac:dyDescent="0.25">
      <c r="G592" s="1"/>
    </row>
    <row r="593" spans="7:7" ht="15.75" customHeight="1" x14ac:dyDescent="0.25">
      <c r="G593" s="1"/>
    </row>
    <row r="594" spans="7:7" ht="15.75" customHeight="1" x14ac:dyDescent="0.25">
      <c r="G594" s="1"/>
    </row>
    <row r="595" spans="7:7" ht="15.75" customHeight="1" x14ac:dyDescent="0.25">
      <c r="G595" s="1"/>
    </row>
    <row r="596" spans="7:7" ht="15.75" customHeight="1" x14ac:dyDescent="0.25">
      <c r="G596" s="1"/>
    </row>
    <row r="597" spans="7:7" ht="15.75" customHeight="1" x14ac:dyDescent="0.25">
      <c r="G597" s="1"/>
    </row>
    <row r="598" spans="7:7" ht="15.75" customHeight="1" x14ac:dyDescent="0.25">
      <c r="G598" s="1"/>
    </row>
    <row r="599" spans="7:7" ht="15.75" customHeight="1" x14ac:dyDescent="0.25">
      <c r="G599" s="1"/>
    </row>
    <row r="600" spans="7:7" ht="15.75" customHeight="1" x14ac:dyDescent="0.25">
      <c r="G600" s="1"/>
    </row>
    <row r="601" spans="7:7" ht="15.75" customHeight="1" x14ac:dyDescent="0.25">
      <c r="G601" s="1"/>
    </row>
    <row r="602" spans="7:7" ht="15.75" customHeight="1" x14ac:dyDescent="0.25">
      <c r="G602" s="1"/>
    </row>
    <row r="603" spans="7:7" ht="15.75" customHeight="1" x14ac:dyDescent="0.25">
      <c r="G603" s="1"/>
    </row>
    <row r="604" spans="7:7" ht="15.75" customHeight="1" x14ac:dyDescent="0.25">
      <c r="G604" s="1"/>
    </row>
    <row r="605" spans="7:7" ht="15.75" customHeight="1" x14ac:dyDescent="0.25">
      <c r="G605" s="1"/>
    </row>
    <row r="606" spans="7:7" ht="15.75" customHeight="1" x14ac:dyDescent="0.25">
      <c r="G606" s="1"/>
    </row>
    <row r="607" spans="7:7" ht="15.75" customHeight="1" x14ac:dyDescent="0.25">
      <c r="G607" s="1"/>
    </row>
    <row r="608" spans="7:7" ht="15.75" customHeight="1" x14ac:dyDescent="0.25">
      <c r="G608" s="1"/>
    </row>
    <row r="609" spans="7:7" ht="15.75" customHeight="1" x14ac:dyDescent="0.25">
      <c r="G609" s="1"/>
    </row>
    <row r="610" spans="7:7" ht="15.75" customHeight="1" x14ac:dyDescent="0.25">
      <c r="G610" s="1"/>
    </row>
    <row r="611" spans="7:7" ht="15.75" customHeight="1" x14ac:dyDescent="0.25">
      <c r="G611" s="1"/>
    </row>
    <row r="612" spans="7:7" ht="15.75" customHeight="1" x14ac:dyDescent="0.25">
      <c r="G612" s="1"/>
    </row>
    <row r="613" spans="7:7" ht="15.75" customHeight="1" x14ac:dyDescent="0.25">
      <c r="G613" s="1"/>
    </row>
    <row r="614" spans="7:7" ht="15.75" customHeight="1" x14ac:dyDescent="0.25">
      <c r="G614" s="1"/>
    </row>
    <row r="615" spans="7:7" ht="15.75" customHeight="1" x14ac:dyDescent="0.25">
      <c r="G615" s="1"/>
    </row>
    <row r="616" spans="7:7" ht="15.75" customHeight="1" x14ac:dyDescent="0.25">
      <c r="G616" s="1"/>
    </row>
    <row r="617" spans="7:7" ht="15.75" customHeight="1" x14ac:dyDescent="0.25">
      <c r="G617" s="1"/>
    </row>
    <row r="618" spans="7:7" ht="15.75" customHeight="1" x14ac:dyDescent="0.25">
      <c r="G618" s="1"/>
    </row>
    <row r="619" spans="7:7" ht="15.75" customHeight="1" x14ac:dyDescent="0.25">
      <c r="G619" s="1"/>
    </row>
    <row r="620" spans="7:7" ht="15.75" customHeight="1" x14ac:dyDescent="0.25">
      <c r="G620" s="1"/>
    </row>
    <row r="621" spans="7:7" ht="15.75" customHeight="1" x14ac:dyDescent="0.25">
      <c r="G621" s="1"/>
    </row>
    <row r="622" spans="7:7" ht="15.75" customHeight="1" x14ac:dyDescent="0.25">
      <c r="G622" s="1"/>
    </row>
    <row r="623" spans="7:7" ht="15.75" customHeight="1" x14ac:dyDescent="0.25">
      <c r="G623" s="1"/>
    </row>
    <row r="624" spans="7:7" ht="15.75" customHeight="1" x14ac:dyDescent="0.25">
      <c r="G624" s="1"/>
    </row>
    <row r="625" spans="7:7" ht="15.75" customHeight="1" x14ac:dyDescent="0.25">
      <c r="G625" s="1"/>
    </row>
    <row r="626" spans="7:7" ht="15.75" customHeight="1" x14ac:dyDescent="0.25">
      <c r="G626" s="1"/>
    </row>
    <row r="627" spans="7:7" ht="15.75" customHeight="1" x14ac:dyDescent="0.25">
      <c r="G627" s="1"/>
    </row>
    <row r="628" spans="7:7" ht="15.75" customHeight="1" x14ac:dyDescent="0.25">
      <c r="G628" s="1"/>
    </row>
    <row r="629" spans="7:7" ht="15.75" customHeight="1" x14ac:dyDescent="0.25">
      <c r="G629" s="1"/>
    </row>
    <row r="630" spans="7:7" ht="15.75" customHeight="1" x14ac:dyDescent="0.25">
      <c r="G630" s="1"/>
    </row>
    <row r="631" spans="7:7" ht="15.75" customHeight="1" x14ac:dyDescent="0.25">
      <c r="G631" s="1"/>
    </row>
    <row r="632" spans="7:7" ht="15.75" customHeight="1" x14ac:dyDescent="0.25">
      <c r="G632" s="1"/>
    </row>
    <row r="633" spans="7:7" ht="15.75" customHeight="1" x14ac:dyDescent="0.25">
      <c r="G633" s="1"/>
    </row>
    <row r="634" spans="7:7" ht="15.75" customHeight="1" x14ac:dyDescent="0.25">
      <c r="G634" s="1"/>
    </row>
    <row r="635" spans="7:7" ht="15.75" customHeight="1" x14ac:dyDescent="0.25">
      <c r="G635" s="1"/>
    </row>
    <row r="636" spans="7:7" ht="15.75" customHeight="1" x14ac:dyDescent="0.25">
      <c r="G636" s="1"/>
    </row>
    <row r="637" spans="7:7" ht="15.75" customHeight="1" x14ac:dyDescent="0.25">
      <c r="G637" s="1"/>
    </row>
    <row r="638" spans="7:7" ht="15.75" customHeight="1" x14ac:dyDescent="0.25">
      <c r="G638" s="1"/>
    </row>
    <row r="639" spans="7:7" ht="15.75" customHeight="1" x14ac:dyDescent="0.25">
      <c r="G639" s="1"/>
    </row>
    <row r="640" spans="7:7" ht="15.75" customHeight="1" x14ac:dyDescent="0.25">
      <c r="G640" s="1"/>
    </row>
    <row r="641" spans="7:7" ht="15.75" customHeight="1" x14ac:dyDescent="0.25">
      <c r="G641" s="1"/>
    </row>
    <row r="642" spans="7:7" ht="15.75" customHeight="1" x14ac:dyDescent="0.25">
      <c r="G642" s="1"/>
    </row>
    <row r="643" spans="7:7" ht="15.75" customHeight="1" x14ac:dyDescent="0.25">
      <c r="G643" s="1"/>
    </row>
    <row r="644" spans="7:7" ht="15.75" customHeight="1" x14ac:dyDescent="0.25">
      <c r="G644" s="1"/>
    </row>
    <row r="645" spans="7:7" ht="15.75" customHeight="1" x14ac:dyDescent="0.25">
      <c r="G645" s="1"/>
    </row>
    <row r="646" spans="7:7" ht="15.75" customHeight="1" x14ac:dyDescent="0.25">
      <c r="G646" s="1"/>
    </row>
    <row r="647" spans="7:7" ht="15.75" customHeight="1" x14ac:dyDescent="0.25">
      <c r="G647" s="1"/>
    </row>
    <row r="648" spans="7:7" ht="15.75" customHeight="1" x14ac:dyDescent="0.25">
      <c r="G648" s="1"/>
    </row>
    <row r="649" spans="7:7" ht="15.75" customHeight="1" x14ac:dyDescent="0.25">
      <c r="G649" s="1"/>
    </row>
    <row r="650" spans="7:7" ht="15.75" customHeight="1" x14ac:dyDescent="0.25">
      <c r="G650" s="1"/>
    </row>
    <row r="651" spans="7:7" ht="15.75" customHeight="1" x14ac:dyDescent="0.25">
      <c r="G651" s="1"/>
    </row>
    <row r="652" spans="7:7" ht="15.75" customHeight="1" x14ac:dyDescent="0.25">
      <c r="G652" s="1"/>
    </row>
    <row r="653" spans="7:7" ht="15.75" customHeight="1" x14ac:dyDescent="0.25">
      <c r="G653" s="1"/>
    </row>
    <row r="654" spans="7:7" ht="15.75" customHeight="1" x14ac:dyDescent="0.25">
      <c r="G654" s="1"/>
    </row>
    <row r="655" spans="7:7" ht="15.75" customHeight="1" x14ac:dyDescent="0.25">
      <c r="G655" s="1"/>
    </row>
    <row r="656" spans="7:7" ht="15.75" customHeight="1" x14ac:dyDescent="0.25">
      <c r="G656" s="1"/>
    </row>
    <row r="657" spans="7:7" ht="15.75" customHeight="1" x14ac:dyDescent="0.25">
      <c r="G657" s="1"/>
    </row>
    <row r="658" spans="7:7" ht="15.75" customHeight="1" x14ac:dyDescent="0.25">
      <c r="G658" s="1"/>
    </row>
    <row r="659" spans="7:7" ht="15.75" customHeight="1" x14ac:dyDescent="0.25">
      <c r="G659" s="1"/>
    </row>
    <row r="660" spans="7:7" ht="15.75" customHeight="1" x14ac:dyDescent="0.25">
      <c r="G660" s="1"/>
    </row>
    <row r="661" spans="7:7" ht="15.75" customHeight="1" x14ac:dyDescent="0.25">
      <c r="G661" s="1"/>
    </row>
    <row r="662" spans="7:7" ht="15.75" customHeight="1" x14ac:dyDescent="0.25">
      <c r="G662" s="1"/>
    </row>
    <row r="663" spans="7:7" ht="15.75" customHeight="1" x14ac:dyDescent="0.25">
      <c r="G663" s="1"/>
    </row>
    <row r="664" spans="7:7" ht="15.75" customHeight="1" x14ac:dyDescent="0.25">
      <c r="G664" s="1"/>
    </row>
    <row r="665" spans="7:7" ht="15.75" customHeight="1" x14ac:dyDescent="0.25">
      <c r="G665" s="1"/>
    </row>
    <row r="666" spans="7:7" ht="15.75" customHeight="1" x14ac:dyDescent="0.25">
      <c r="G666" s="1"/>
    </row>
    <row r="667" spans="7:7" ht="15.75" customHeight="1" x14ac:dyDescent="0.25">
      <c r="G667" s="1"/>
    </row>
    <row r="668" spans="7:7" ht="15.75" customHeight="1" x14ac:dyDescent="0.25">
      <c r="G668" s="1"/>
    </row>
    <row r="669" spans="7:7" ht="15.75" customHeight="1" x14ac:dyDescent="0.25">
      <c r="G669" s="1"/>
    </row>
    <row r="670" spans="7:7" ht="15.75" customHeight="1" x14ac:dyDescent="0.25">
      <c r="G670" s="1"/>
    </row>
    <row r="671" spans="7:7" ht="15.75" customHeight="1" x14ac:dyDescent="0.25">
      <c r="G671" s="1"/>
    </row>
    <row r="672" spans="7:7" ht="15.75" customHeight="1" x14ac:dyDescent="0.25">
      <c r="G672" s="1"/>
    </row>
    <row r="673" spans="7:7" ht="15.75" customHeight="1" x14ac:dyDescent="0.25">
      <c r="G673" s="1"/>
    </row>
    <row r="674" spans="7:7" ht="15.75" customHeight="1" x14ac:dyDescent="0.25">
      <c r="G674" s="1"/>
    </row>
    <row r="675" spans="7:7" ht="15.75" customHeight="1" x14ac:dyDescent="0.25">
      <c r="G675" s="1"/>
    </row>
    <row r="676" spans="7:7" ht="15.75" customHeight="1" x14ac:dyDescent="0.25">
      <c r="G676" s="1"/>
    </row>
    <row r="677" spans="7:7" ht="15.75" customHeight="1" x14ac:dyDescent="0.25">
      <c r="G677" s="1"/>
    </row>
    <row r="678" spans="7:7" ht="15.75" customHeight="1" x14ac:dyDescent="0.25">
      <c r="G678" s="1"/>
    </row>
    <row r="679" spans="7:7" ht="15.75" customHeight="1" x14ac:dyDescent="0.25">
      <c r="G679" s="1"/>
    </row>
    <row r="680" spans="7:7" ht="15.75" customHeight="1" x14ac:dyDescent="0.25">
      <c r="G680" s="1"/>
    </row>
    <row r="681" spans="7:7" ht="15.75" customHeight="1" x14ac:dyDescent="0.25">
      <c r="G681" s="1"/>
    </row>
    <row r="682" spans="7:7" ht="15.75" customHeight="1" x14ac:dyDescent="0.25">
      <c r="G682" s="1"/>
    </row>
    <row r="683" spans="7:7" ht="15.75" customHeight="1" x14ac:dyDescent="0.25">
      <c r="G683" s="1"/>
    </row>
    <row r="684" spans="7:7" ht="15.75" customHeight="1" x14ac:dyDescent="0.25">
      <c r="G684" s="1"/>
    </row>
    <row r="685" spans="7:7" ht="15.75" customHeight="1" x14ac:dyDescent="0.25">
      <c r="G685" s="1"/>
    </row>
    <row r="686" spans="7:7" ht="15.75" customHeight="1" x14ac:dyDescent="0.25">
      <c r="G686" s="1"/>
    </row>
    <row r="687" spans="7:7" ht="15.75" customHeight="1" x14ac:dyDescent="0.25">
      <c r="G687" s="1"/>
    </row>
    <row r="688" spans="7:7" ht="15.75" customHeight="1" x14ac:dyDescent="0.25">
      <c r="G688" s="1"/>
    </row>
    <row r="689" spans="7:7" ht="15.75" customHeight="1" x14ac:dyDescent="0.25">
      <c r="G689" s="1"/>
    </row>
    <row r="690" spans="7:7" ht="15.75" customHeight="1" x14ac:dyDescent="0.25">
      <c r="G690" s="1"/>
    </row>
    <row r="691" spans="7:7" ht="15.75" customHeight="1" x14ac:dyDescent="0.25">
      <c r="G691" s="1"/>
    </row>
    <row r="692" spans="7:7" ht="15.75" customHeight="1" x14ac:dyDescent="0.25">
      <c r="G692" s="1"/>
    </row>
    <row r="693" spans="7:7" ht="15.75" customHeight="1" x14ac:dyDescent="0.25">
      <c r="G693" s="1"/>
    </row>
    <row r="694" spans="7:7" ht="15.75" customHeight="1" x14ac:dyDescent="0.25">
      <c r="G694" s="1"/>
    </row>
    <row r="695" spans="7:7" ht="15.75" customHeight="1" x14ac:dyDescent="0.25">
      <c r="G695" s="1"/>
    </row>
    <row r="696" spans="7:7" ht="15.75" customHeight="1" x14ac:dyDescent="0.25">
      <c r="G696" s="1"/>
    </row>
    <row r="697" spans="7:7" ht="15.75" customHeight="1" x14ac:dyDescent="0.25">
      <c r="G697" s="1"/>
    </row>
    <row r="698" spans="7:7" ht="15.75" customHeight="1" x14ac:dyDescent="0.25">
      <c r="G698" s="1"/>
    </row>
    <row r="699" spans="7:7" ht="15.75" customHeight="1" x14ac:dyDescent="0.25">
      <c r="G699" s="1"/>
    </row>
    <row r="700" spans="7:7" ht="15.75" customHeight="1" x14ac:dyDescent="0.25">
      <c r="G700" s="1"/>
    </row>
    <row r="701" spans="7:7" ht="15.75" customHeight="1" x14ac:dyDescent="0.25">
      <c r="G701" s="1"/>
    </row>
    <row r="702" spans="7:7" ht="15.75" customHeight="1" x14ac:dyDescent="0.25">
      <c r="G702" s="1"/>
    </row>
    <row r="703" spans="7:7" ht="15.75" customHeight="1" x14ac:dyDescent="0.25">
      <c r="G703" s="1"/>
    </row>
    <row r="704" spans="7:7" ht="15.75" customHeight="1" x14ac:dyDescent="0.25">
      <c r="G704" s="1"/>
    </row>
    <row r="705" spans="7:7" ht="15.75" customHeight="1" x14ac:dyDescent="0.25">
      <c r="G705" s="1"/>
    </row>
    <row r="706" spans="7:7" ht="15.75" customHeight="1" x14ac:dyDescent="0.25">
      <c r="G706" s="1"/>
    </row>
    <row r="707" spans="7:7" ht="15.75" customHeight="1" x14ac:dyDescent="0.25">
      <c r="G707" s="1"/>
    </row>
    <row r="708" spans="7:7" ht="15.75" customHeight="1" x14ac:dyDescent="0.25">
      <c r="G708" s="1"/>
    </row>
    <row r="709" spans="7:7" ht="15.75" customHeight="1" x14ac:dyDescent="0.25">
      <c r="G709" s="1"/>
    </row>
    <row r="710" spans="7:7" ht="15.75" customHeight="1" x14ac:dyDescent="0.25">
      <c r="G710" s="1"/>
    </row>
    <row r="711" spans="7:7" ht="15.75" customHeight="1" x14ac:dyDescent="0.25">
      <c r="G711" s="1"/>
    </row>
    <row r="712" spans="7:7" ht="15.75" customHeight="1" x14ac:dyDescent="0.25">
      <c r="G712" s="1"/>
    </row>
    <row r="713" spans="7:7" ht="15.75" customHeight="1" x14ac:dyDescent="0.25">
      <c r="G713" s="1"/>
    </row>
    <row r="714" spans="7:7" ht="15.75" customHeight="1" x14ac:dyDescent="0.25">
      <c r="G714" s="1"/>
    </row>
    <row r="715" spans="7:7" ht="15.75" customHeight="1" x14ac:dyDescent="0.25">
      <c r="G715" s="1"/>
    </row>
    <row r="716" spans="7:7" ht="15.75" customHeight="1" x14ac:dyDescent="0.25">
      <c r="G716" s="1"/>
    </row>
    <row r="717" spans="7:7" ht="15.75" customHeight="1" x14ac:dyDescent="0.25">
      <c r="G717" s="1"/>
    </row>
    <row r="718" spans="7:7" ht="15.75" customHeight="1" x14ac:dyDescent="0.25">
      <c r="G718" s="1"/>
    </row>
    <row r="719" spans="7:7" ht="15.75" customHeight="1" x14ac:dyDescent="0.25">
      <c r="G719" s="1"/>
    </row>
    <row r="720" spans="7:7" ht="15.75" customHeight="1" x14ac:dyDescent="0.25">
      <c r="G720" s="1"/>
    </row>
    <row r="721" spans="7:7" ht="15.75" customHeight="1" x14ac:dyDescent="0.25">
      <c r="G721" s="1"/>
    </row>
    <row r="722" spans="7:7" ht="15.75" customHeight="1" x14ac:dyDescent="0.25">
      <c r="G722" s="1"/>
    </row>
    <row r="723" spans="7:7" ht="15.75" customHeight="1" x14ac:dyDescent="0.25">
      <c r="G723" s="1"/>
    </row>
    <row r="724" spans="7:7" ht="15.75" customHeight="1" x14ac:dyDescent="0.25">
      <c r="G724" s="1"/>
    </row>
    <row r="725" spans="7:7" ht="15.75" customHeight="1" x14ac:dyDescent="0.25">
      <c r="G725" s="1"/>
    </row>
    <row r="726" spans="7:7" ht="15.75" customHeight="1" x14ac:dyDescent="0.25">
      <c r="G726" s="1"/>
    </row>
    <row r="727" spans="7:7" ht="15.75" customHeight="1" x14ac:dyDescent="0.25">
      <c r="G727" s="1"/>
    </row>
    <row r="728" spans="7:7" ht="15.75" customHeight="1" x14ac:dyDescent="0.25">
      <c r="G728" s="1"/>
    </row>
    <row r="729" spans="7:7" ht="15.75" customHeight="1" x14ac:dyDescent="0.25">
      <c r="G729" s="1"/>
    </row>
    <row r="730" spans="7:7" ht="15.75" customHeight="1" x14ac:dyDescent="0.25">
      <c r="G730" s="1"/>
    </row>
    <row r="731" spans="7:7" ht="15.75" customHeight="1" x14ac:dyDescent="0.25">
      <c r="G731" s="1"/>
    </row>
    <row r="732" spans="7:7" ht="15.75" customHeight="1" x14ac:dyDescent="0.25">
      <c r="G732" s="1"/>
    </row>
    <row r="733" spans="7:7" ht="15.75" customHeight="1" x14ac:dyDescent="0.25">
      <c r="G733" s="1"/>
    </row>
    <row r="734" spans="7:7" ht="15.75" customHeight="1" x14ac:dyDescent="0.25">
      <c r="G734" s="1"/>
    </row>
    <row r="735" spans="7:7" ht="15.75" customHeight="1" x14ac:dyDescent="0.25">
      <c r="G735" s="1"/>
    </row>
    <row r="736" spans="7:7" ht="15.75" customHeight="1" x14ac:dyDescent="0.25">
      <c r="G736" s="1"/>
    </row>
    <row r="737" spans="7:7" ht="15.75" customHeight="1" x14ac:dyDescent="0.25">
      <c r="G737" s="1"/>
    </row>
    <row r="738" spans="7:7" ht="15.75" customHeight="1" x14ac:dyDescent="0.25">
      <c r="G738" s="1"/>
    </row>
    <row r="739" spans="7:7" ht="15.75" customHeight="1" x14ac:dyDescent="0.25">
      <c r="G739" s="1"/>
    </row>
    <row r="740" spans="7:7" ht="15.75" customHeight="1" x14ac:dyDescent="0.25">
      <c r="G740" s="1"/>
    </row>
    <row r="741" spans="7:7" ht="15.75" customHeight="1" x14ac:dyDescent="0.25">
      <c r="G741" s="1"/>
    </row>
    <row r="742" spans="7:7" ht="15.75" customHeight="1" x14ac:dyDescent="0.25">
      <c r="G742" s="1"/>
    </row>
    <row r="743" spans="7:7" ht="15.75" customHeight="1" x14ac:dyDescent="0.25">
      <c r="G743" s="1"/>
    </row>
    <row r="744" spans="7:7" ht="15.75" customHeight="1" x14ac:dyDescent="0.25">
      <c r="G744" s="1"/>
    </row>
    <row r="745" spans="7:7" ht="15.75" customHeight="1" x14ac:dyDescent="0.25">
      <c r="G745" s="1"/>
    </row>
    <row r="746" spans="7:7" ht="15.75" customHeight="1" x14ac:dyDescent="0.25">
      <c r="G746" s="1"/>
    </row>
    <row r="747" spans="7:7" ht="15.75" customHeight="1" x14ac:dyDescent="0.25">
      <c r="G747" s="1"/>
    </row>
    <row r="748" spans="7:7" ht="15.75" customHeight="1" x14ac:dyDescent="0.25">
      <c r="G748" s="1"/>
    </row>
    <row r="749" spans="7:7" ht="15.75" customHeight="1" x14ac:dyDescent="0.25">
      <c r="G749" s="1"/>
    </row>
    <row r="750" spans="7:7" ht="15.75" customHeight="1" x14ac:dyDescent="0.25">
      <c r="G750" s="1"/>
    </row>
    <row r="751" spans="7:7" ht="15.75" customHeight="1" x14ac:dyDescent="0.25">
      <c r="G751" s="1"/>
    </row>
    <row r="752" spans="7:7" ht="15.75" customHeight="1" x14ac:dyDescent="0.25">
      <c r="G752" s="1"/>
    </row>
    <row r="753" spans="7:7" ht="15.75" customHeight="1" x14ac:dyDescent="0.25">
      <c r="G753" s="1"/>
    </row>
    <row r="754" spans="7:7" ht="15.75" customHeight="1" x14ac:dyDescent="0.25">
      <c r="G754" s="1"/>
    </row>
    <row r="755" spans="7:7" ht="15.75" customHeight="1" x14ac:dyDescent="0.25">
      <c r="G755" s="1"/>
    </row>
    <row r="756" spans="7:7" ht="15.75" customHeight="1" x14ac:dyDescent="0.25">
      <c r="G756" s="1"/>
    </row>
    <row r="757" spans="7:7" ht="15.75" customHeight="1" x14ac:dyDescent="0.25">
      <c r="G757" s="1"/>
    </row>
    <row r="758" spans="7:7" ht="15.75" customHeight="1" x14ac:dyDescent="0.25">
      <c r="G758" s="1"/>
    </row>
    <row r="759" spans="7:7" ht="15.75" customHeight="1" x14ac:dyDescent="0.25">
      <c r="G759" s="1"/>
    </row>
    <row r="760" spans="7:7" ht="15.75" customHeight="1" x14ac:dyDescent="0.25">
      <c r="G760" s="1"/>
    </row>
    <row r="761" spans="7:7" ht="15.75" customHeight="1" x14ac:dyDescent="0.25">
      <c r="G761" s="1"/>
    </row>
    <row r="762" spans="7:7" ht="15.75" customHeight="1" x14ac:dyDescent="0.25">
      <c r="G762" s="1"/>
    </row>
    <row r="763" spans="7:7" ht="15.75" customHeight="1" x14ac:dyDescent="0.25">
      <c r="G763" s="1"/>
    </row>
    <row r="764" spans="7:7" ht="15.75" customHeight="1" x14ac:dyDescent="0.25">
      <c r="G764" s="1"/>
    </row>
    <row r="765" spans="7:7" ht="15.75" customHeight="1" x14ac:dyDescent="0.25">
      <c r="G765" s="1"/>
    </row>
    <row r="766" spans="7:7" ht="15.75" customHeight="1" x14ac:dyDescent="0.25">
      <c r="G766" s="1"/>
    </row>
    <row r="767" spans="7:7" ht="15.75" customHeight="1" x14ac:dyDescent="0.25">
      <c r="G767" s="1"/>
    </row>
    <row r="768" spans="7:7" ht="15.75" customHeight="1" x14ac:dyDescent="0.25">
      <c r="G768" s="1"/>
    </row>
    <row r="769" spans="7:7" ht="15.75" customHeight="1" x14ac:dyDescent="0.25">
      <c r="G769" s="1"/>
    </row>
    <row r="770" spans="7:7" ht="15.75" customHeight="1" x14ac:dyDescent="0.25">
      <c r="G770" s="1"/>
    </row>
    <row r="771" spans="7:7" ht="15.75" customHeight="1" x14ac:dyDescent="0.25">
      <c r="G771" s="1"/>
    </row>
    <row r="772" spans="7:7" ht="15.75" customHeight="1" x14ac:dyDescent="0.25">
      <c r="G772" s="1"/>
    </row>
    <row r="773" spans="7:7" ht="15.75" customHeight="1" x14ac:dyDescent="0.25">
      <c r="G773" s="1"/>
    </row>
    <row r="774" spans="7:7" ht="15.75" customHeight="1" x14ac:dyDescent="0.25">
      <c r="G774" s="1"/>
    </row>
    <row r="775" spans="7:7" ht="15.75" customHeight="1" x14ac:dyDescent="0.25">
      <c r="G775" s="1"/>
    </row>
    <row r="776" spans="7:7" ht="15.75" customHeight="1" x14ac:dyDescent="0.25">
      <c r="G776" s="1"/>
    </row>
    <row r="777" spans="7:7" ht="15.75" customHeight="1" x14ac:dyDescent="0.25">
      <c r="G777" s="1"/>
    </row>
    <row r="778" spans="7:7" ht="15.75" customHeight="1" x14ac:dyDescent="0.25">
      <c r="G778" s="1"/>
    </row>
    <row r="779" spans="7:7" ht="15.75" customHeight="1" x14ac:dyDescent="0.25">
      <c r="G779" s="1"/>
    </row>
    <row r="780" spans="7:7" ht="15.75" customHeight="1" x14ac:dyDescent="0.25">
      <c r="G780" s="1"/>
    </row>
    <row r="781" spans="7:7" ht="15.75" customHeight="1" x14ac:dyDescent="0.25">
      <c r="G781" s="1"/>
    </row>
    <row r="782" spans="7:7" ht="15.75" customHeight="1" x14ac:dyDescent="0.25">
      <c r="G782" s="1"/>
    </row>
    <row r="783" spans="7:7" ht="15.75" customHeight="1" x14ac:dyDescent="0.25">
      <c r="G783" s="1"/>
    </row>
    <row r="784" spans="7:7" ht="15.75" customHeight="1" x14ac:dyDescent="0.25">
      <c r="G784" s="1"/>
    </row>
    <row r="785" spans="7:7" ht="15.75" customHeight="1" x14ac:dyDescent="0.25">
      <c r="G785" s="1"/>
    </row>
    <row r="786" spans="7:7" ht="15.75" customHeight="1" x14ac:dyDescent="0.25">
      <c r="G786" s="1"/>
    </row>
    <row r="787" spans="7:7" ht="15.75" customHeight="1" x14ac:dyDescent="0.25">
      <c r="G787" s="1"/>
    </row>
    <row r="788" spans="7:7" ht="15.75" customHeight="1" x14ac:dyDescent="0.25">
      <c r="G788" s="1"/>
    </row>
    <row r="789" spans="7:7" ht="15.75" customHeight="1" x14ac:dyDescent="0.25">
      <c r="G789" s="1"/>
    </row>
    <row r="790" spans="7:7" ht="15.75" customHeight="1" x14ac:dyDescent="0.25">
      <c r="G790" s="1"/>
    </row>
    <row r="791" spans="7:7" ht="15.75" customHeight="1" x14ac:dyDescent="0.25">
      <c r="G791" s="1"/>
    </row>
    <row r="792" spans="7:7" ht="15.75" customHeight="1" x14ac:dyDescent="0.25">
      <c r="G792" s="1"/>
    </row>
    <row r="793" spans="7:7" ht="15.75" customHeight="1" x14ac:dyDescent="0.25">
      <c r="G793" s="1"/>
    </row>
    <row r="794" spans="7:7" ht="15.75" customHeight="1" x14ac:dyDescent="0.25">
      <c r="G794" s="1"/>
    </row>
    <row r="795" spans="7:7" ht="15.75" customHeight="1" x14ac:dyDescent="0.25">
      <c r="G795" s="1"/>
    </row>
    <row r="796" spans="7:7" ht="15.75" customHeight="1" x14ac:dyDescent="0.25">
      <c r="G796" s="1"/>
    </row>
    <row r="797" spans="7:7" ht="15.75" customHeight="1" x14ac:dyDescent="0.25">
      <c r="G797" s="1"/>
    </row>
    <row r="798" spans="7:7" ht="15.75" customHeight="1" x14ac:dyDescent="0.25">
      <c r="G798" s="1"/>
    </row>
    <row r="799" spans="7:7" ht="15.75" customHeight="1" x14ac:dyDescent="0.25">
      <c r="G799" s="1"/>
    </row>
    <row r="800" spans="7:7" ht="15.75" customHeight="1" x14ac:dyDescent="0.25">
      <c r="G800" s="1"/>
    </row>
    <row r="801" spans="7:7" ht="15.75" customHeight="1" x14ac:dyDescent="0.25">
      <c r="G801" s="1"/>
    </row>
    <row r="802" spans="7:7" ht="15.75" customHeight="1" x14ac:dyDescent="0.25">
      <c r="G802" s="1"/>
    </row>
    <row r="803" spans="7:7" ht="15.75" customHeight="1" x14ac:dyDescent="0.25">
      <c r="G803" s="1"/>
    </row>
    <row r="804" spans="7:7" ht="15.75" customHeight="1" x14ac:dyDescent="0.25">
      <c r="G804" s="1"/>
    </row>
    <row r="805" spans="7:7" ht="15.75" customHeight="1" x14ac:dyDescent="0.25">
      <c r="G805" s="1"/>
    </row>
    <row r="806" spans="7:7" ht="15.75" customHeight="1" x14ac:dyDescent="0.25">
      <c r="G806" s="1"/>
    </row>
    <row r="807" spans="7:7" ht="15.75" customHeight="1" x14ac:dyDescent="0.25">
      <c r="G807" s="1"/>
    </row>
    <row r="808" spans="7:7" ht="15.75" customHeight="1" x14ac:dyDescent="0.25">
      <c r="G808" s="1"/>
    </row>
    <row r="809" spans="7:7" ht="15.75" customHeight="1" x14ac:dyDescent="0.25">
      <c r="G809" s="1"/>
    </row>
    <row r="810" spans="7:7" ht="15.75" customHeight="1" x14ac:dyDescent="0.25">
      <c r="G810" s="1"/>
    </row>
    <row r="811" spans="7:7" ht="15.75" customHeight="1" x14ac:dyDescent="0.25">
      <c r="G811" s="1"/>
    </row>
    <row r="812" spans="7:7" ht="15.75" customHeight="1" x14ac:dyDescent="0.25">
      <c r="G812" s="1"/>
    </row>
    <row r="813" spans="7:7" ht="15.75" customHeight="1" x14ac:dyDescent="0.25">
      <c r="G813" s="1"/>
    </row>
    <row r="814" spans="7:7" ht="15.75" customHeight="1" x14ac:dyDescent="0.25">
      <c r="G814" s="1"/>
    </row>
    <row r="815" spans="7:7" ht="15.75" customHeight="1" x14ac:dyDescent="0.25">
      <c r="G815" s="1"/>
    </row>
    <row r="816" spans="7:7" ht="15.75" customHeight="1" x14ac:dyDescent="0.25">
      <c r="G816" s="1"/>
    </row>
    <row r="817" spans="7:7" ht="15.75" customHeight="1" x14ac:dyDescent="0.25">
      <c r="G817" s="1"/>
    </row>
    <row r="818" spans="7:7" ht="15.75" customHeight="1" x14ac:dyDescent="0.25">
      <c r="G818" s="1"/>
    </row>
    <row r="819" spans="7:7" ht="15.75" customHeight="1" x14ac:dyDescent="0.25">
      <c r="G819" s="1"/>
    </row>
    <row r="820" spans="7:7" ht="15.75" customHeight="1" x14ac:dyDescent="0.25">
      <c r="G820" s="1"/>
    </row>
    <row r="821" spans="7:7" ht="15.75" customHeight="1" x14ac:dyDescent="0.25">
      <c r="G821" s="1"/>
    </row>
    <row r="822" spans="7:7" ht="15.75" customHeight="1" x14ac:dyDescent="0.25">
      <c r="G822" s="1"/>
    </row>
    <row r="823" spans="7:7" ht="15.75" customHeight="1" x14ac:dyDescent="0.25">
      <c r="G823" s="1"/>
    </row>
    <row r="824" spans="7:7" ht="15.75" customHeight="1" x14ac:dyDescent="0.25">
      <c r="G824" s="1"/>
    </row>
    <row r="825" spans="7:7" ht="15.75" customHeight="1" x14ac:dyDescent="0.25">
      <c r="G825" s="1"/>
    </row>
    <row r="826" spans="7:7" ht="15.75" customHeight="1" x14ac:dyDescent="0.25">
      <c r="G826" s="1"/>
    </row>
    <row r="827" spans="7:7" ht="15.75" customHeight="1" x14ac:dyDescent="0.25">
      <c r="G827" s="1"/>
    </row>
    <row r="828" spans="7:7" ht="15.75" customHeight="1" x14ac:dyDescent="0.25">
      <c r="G828" s="1"/>
    </row>
    <row r="829" spans="7:7" ht="15.75" customHeight="1" x14ac:dyDescent="0.25">
      <c r="G829" s="1"/>
    </row>
    <row r="830" spans="7:7" ht="15.75" customHeight="1" x14ac:dyDescent="0.25">
      <c r="G830" s="1"/>
    </row>
    <row r="831" spans="7:7" ht="15.75" customHeight="1" x14ac:dyDescent="0.25">
      <c r="G831" s="1"/>
    </row>
    <row r="832" spans="7:7" ht="15.75" customHeight="1" x14ac:dyDescent="0.25">
      <c r="G832" s="1"/>
    </row>
    <row r="833" spans="7:7" ht="15.75" customHeight="1" x14ac:dyDescent="0.25">
      <c r="G833" s="1"/>
    </row>
    <row r="834" spans="7:7" ht="15.75" customHeight="1" x14ac:dyDescent="0.25">
      <c r="G834" s="1"/>
    </row>
    <row r="835" spans="7:7" ht="15.75" customHeight="1" x14ac:dyDescent="0.25">
      <c r="G835" s="1"/>
    </row>
    <row r="836" spans="7:7" ht="15.75" customHeight="1" x14ac:dyDescent="0.25">
      <c r="G836" s="1"/>
    </row>
    <row r="837" spans="7:7" ht="15.75" customHeight="1" x14ac:dyDescent="0.25">
      <c r="G837" s="1"/>
    </row>
    <row r="838" spans="7:7" ht="15.75" customHeight="1" x14ac:dyDescent="0.25">
      <c r="G838" s="1"/>
    </row>
    <row r="839" spans="7:7" ht="15.75" customHeight="1" x14ac:dyDescent="0.25">
      <c r="G839" s="1"/>
    </row>
    <row r="840" spans="7:7" ht="15.75" customHeight="1" x14ac:dyDescent="0.25">
      <c r="G840" s="1"/>
    </row>
    <row r="841" spans="7:7" ht="15.75" customHeight="1" x14ac:dyDescent="0.25">
      <c r="G841" s="1"/>
    </row>
    <row r="842" spans="7:7" ht="15.75" customHeight="1" x14ac:dyDescent="0.25">
      <c r="G842" s="1"/>
    </row>
    <row r="843" spans="7:7" ht="15.75" customHeight="1" x14ac:dyDescent="0.25">
      <c r="G843" s="1"/>
    </row>
    <row r="844" spans="7:7" ht="15.75" customHeight="1" x14ac:dyDescent="0.25">
      <c r="G844" s="1"/>
    </row>
    <row r="845" spans="7:7" ht="15.75" customHeight="1" x14ac:dyDescent="0.25">
      <c r="G845" s="1"/>
    </row>
    <row r="846" spans="7:7" ht="15.75" customHeight="1" x14ac:dyDescent="0.25">
      <c r="G846" s="1"/>
    </row>
    <row r="847" spans="7:7" ht="15.75" customHeight="1" x14ac:dyDescent="0.25">
      <c r="G847" s="1"/>
    </row>
    <row r="848" spans="7:7" ht="15.75" customHeight="1" x14ac:dyDescent="0.25">
      <c r="G848" s="1"/>
    </row>
    <row r="849" spans="7:7" ht="15.75" customHeight="1" x14ac:dyDescent="0.25">
      <c r="G849" s="1"/>
    </row>
    <row r="850" spans="7:7" ht="15.75" customHeight="1" x14ac:dyDescent="0.25">
      <c r="G850" s="1"/>
    </row>
    <row r="851" spans="7:7" ht="15.75" customHeight="1" x14ac:dyDescent="0.25">
      <c r="G851" s="1"/>
    </row>
    <row r="852" spans="7:7" ht="15.75" customHeight="1" x14ac:dyDescent="0.25">
      <c r="G852" s="1"/>
    </row>
    <row r="853" spans="7:7" ht="15.75" customHeight="1" x14ac:dyDescent="0.25">
      <c r="G853" s="1"/>
    </row>
    <row r="854" spans="7:7" ht="15.75" customHeight="1" x14ac:dyDescent="0.25">
      <c r="G854" s="1"/>
    </row>
    <row r="855" spans="7:7" ht="15.75" customHeight="1" x14ac:dyDescent="0.25">
      <c r="G855" s="1"/>
    </row>
    <row r="856" spans="7:7" ht="15.75" customHeight="1" x14ac:dyDescent="0.25">
      <c r="G856" s="1"/>
    </row>
    <row r="857" spans="7:7" ht="15.75" customHeight="1" x14ac:dyDescent="0.25">
      <c r="G857" s="1"/>
    </row>
    <row r="858" spans="7:7" ht="15.75" customHeight="1" x14ac:dyDescent="0.25">
      <c r="G858" s="1"/>
    </row>
    <row r="859" spans="7:7" ht="15.75" customHeight="1" x14ac:dyDescent="0.25">
      <c r="G859" s="1"/>
    </row>
    <row r="860" spans="7:7" ht="15.75" customHeight="1" x14ac:dyDescent="0.25">
      <c r="G860" s="1"/>
    </row>
    <row r="861" spans="7:7" ht="15.75" customHeight="1" x14ac:dyDescent="0.25">
      <c r="G861" s="1"/>
    </row>
    <row r="862" spans="7:7" ht="15.75" customHeight="1" x14ac:dyDescent="0.25">
      <c r="G862" s="1"/>
    </row>
    <row r="863" spans="7:7" ht="15.75" customHeight="1" x14ac:dyDescent="0.25">
      <c r="G863" s="1"/>
    </row>
    <row r="864" spans="7:7" ht="15.75" customHeight="1" x14ac:dyDescent="0.25">
      <c r="G864" s="1"/>
    </row>
    <row r="865" spans="7:7" ht="15.75" customHeight="1" x14ac:dyDescent="0.25">
      <c r="G865" s="1"/>
    </row>
    <row r="866" spans="7:7" ht="15.75" customHeight="1" x14ac:dyDescent="0.25">
      <c r="G866" s="1"/>
    </row>
    <row r="867" spans="7:7" ht="15.75" customHeight="1" x14ac:dyDescent="0.25">
      <c r="G867" s="1"/>
    </row>
    <row r="868" spans="7:7" ht="15.75" customHeight="1" x14ac:dyDescent="0.25">
      <c r="G868" s="1"/>
    </row>
    <row r="869" spans="7:7" ht="15.75" customHeight="1" x14ac:dyDescent="0.25">
      <c r="G869" s="1"/>
    </row>
    <row r="870" spans="7:7" ht="15.75" customHeight="1" x14ac:dyDescent="0.25">
      <c r="G870" s="1"/>
    </row>
    <row r="871" spans="7:7" ht="15.75" customHeight="1" x14ac:dyDescent="0.25">
      <c r="G871" s="1"/>
    </row>
    <row r="872" spans="7:7" ht="15.75" customHeight="1" x14ac:dyDescent="0.25">
      <c r="G872" s="1"/>
    </row>
    <row r="873" spans="7:7" ht="15.75" customHeight="1" x14ac:dyDescent="0.25">
      <c r="G873" s="1"/>
    </row>
    <row r="874" spans="7:7" ht="15.75" customHeight="1" x14ac:dyDescent="0.25">
      <c r="G874" s="1"/>
    </row>
    <row r="875" spans="7:7" ht="15.75" customHeight="1" x14ac:dyDescent="0.25">
      <c r="G875" s="1"/>
    </row>
    <row r="876" spans="7:7" ht="15.75" customHeight="1" x14ac:dyDescent="0.25">
      <c r="G876" s="1"/>
    </row>
    <row r="877" spans="7:7" ht="15.75" customHeight="1" x14ac:dyDescent="0.25">
      <c r="G877" s="1"/>
    </row>
    <row r="878" spans="7:7" ht="15.75" customHeight="1" x14ac:dyDescent="0.25">
      <c r="G878" s="1"/>
    </row>
    <row r="879" spans="7:7" ht="15.75" customHeight="1" x14ac:dyDescent="0.25">
      <c r="G879" s="1"/>
    </row>
    <row r="880" spans="7:7" ht="15.75" customHeight="1" x14ac:dyDescent="0.25">
      <c r="G880" s="1"/>
    </row>
    <row r="881" spans="7:7" ht="15.75" customHeight="1" x14ac:dyDescent="0.25">
      <c r="G881" s="1"/>
    </row>
    <row r="882" spans="7:7" ht="15.75" customHeight="1" x14ac:dyDescent="0.25">
      <c r="G882" s="1"/>
    </row>
    <row r="883" spans="7:7" ht="15.75" customHeight="1" x14ac:dyDescent="0.25">
      <c r="G883" s="1"/>
    </row>
    <row r="884" spans="7:7" ht="15.75" customHeight="1" x14ac:dyDescent="0.25">
      <c r="G884" s="1"/>
    </row>
    <row r="885" spans="7:7" ht="15.75" customHeight="1" x14ac:dyDescent="0.25">
      <c r="G885" s="1"/>
    </row>
    <row r="886" spans="7:7" ht="15.75" customHeight="1" x14ac:dyDescent="0.25">
      <c r="G886" s="1"/>
    </row>
    <row r="887" spans="7:7" ht="15.75" customHeight="1" x14ac:dyDescent="0.25">
      <c r="G887" s="1"/>
    </row>
    <row r="888" spans="7:7" ht="15.75" customHeight="1" x14ac:dyDescent="0.25">
      <c r="G888" s="1"/>
    </row>
    <row r="889" spans="7:7" ht="15.75" customHeight="1" x14ac:dyDescent="0.25">
      <c r="G889" s="1"/>
    </row>
    <row r="890" spans="7:7" ht="15.75" customHeight="1" x14ac:dyDescent="0.25">
      <c r="G890" s="1"/>
    </row>
    <row r="891" spans="7:7" ht="15.75" customHeight="1" x14ac:dyDescent="0.25">
      <c r="G891" s="1"/>
    </row>
    <row r="892" spans="7:7" ht="15.75" customHeight="1" x14ac:dyDescent="0.25">
      <c r="G892" s="1"/>
    </row>
    <row r="893" spans="7:7" ht="15.75" customHeight="1" x14ac:dyDescent="0.25">
      <c r="G893" s="1"/>
    </row>
    <row r="894" spans="7:7" ht="15.75" customHeight="1" x14ac:dyDescent="0.25">
      <c r="G894" s="1"/>
    </row>
    <row r="895" spans="7:7" ht="15.75" customHeight="1" x14ac:dyDescent="0.25">
      <c r="G895" s="1"/>
    </row>
    <row r="896" spans="7:7" ht="15.75" customHeight="1" x14ac:dyDescent="0.25">
      <c r="G896" s="1"/>
    </row>
    <row r="897" spans="7:7" ht="15.75" customHeight="1" x14ac:dyDescent="0.25">
      <c r="G897" s="1"/>
    </row>
    <row r="898" spans="7:7" ht="15.75" customHeight="1" x14ac:dyDescent="0.25">
      <c r="G898" s="1"/>
    </row>
    <row r="899" spans="7:7" ht="15.75" customHeight="1" x14ac:dyDescent="0.25">
      <c r="G899" s="1"/>
    </row>
    <row r="900" spans="7:7" ht="15.75" customHeight="1" x14ac:dyDescent="0.25">
      <c r="G900" s="1"/>
    </row>
    <row r="901" spans="7:7" ht="15.75" customHeight="1" x14ac:dyDescent="0.25">
      <c r="G901" s="1"/>
    </row>
    <row r="902" spans="7:7" ht="15.75" customHeight="1" x14ac:dyDescent="0.25">
      <c r="G902" s="1"/>
    </row>
    <row r="903" spans="7:7" ht="15.75" customHeight="1" x14ac:dyDescent="0.25">
      <c r="G903" s="1"/>
    </row>
    <row r="904" spans="7:7" ht="15.75" customHeight="1" x14ac:dyDescent="0.25">
      <c r="G904" s="1"/>
    </row>
    <row r="905" spans="7:7" ht="15.75" customHeight="1" x14ac:dyDescent="0.25">
      <c r="G905" s="1"/>
    </row>
    <row r="906" spans="7:7" ht="15.75" customHeight="1" x14ac:dyDescent="0.25">
      <c r="G906" s="1"/>
    </row>
    <row r="907" spans="7:7" ht="15.75" customHeight="1" x14ac:dyDescent="0.25">
      <c r="G907" s="1"/>
    </row>
    <row r="908" spans="7:7" ht="15.75" customHeight="1" x14ac:dyDescent="0.25">
      <c r="G908" s="1"/>
    </row>
    <row r="909" spans="7:7" ht="15.75" customHeight="1" x14ac:dyDescent="0.25">
      <c r="G909" s="1"/>
    </row>
    <row r="910" spans="7:7" ht="15.75" customHeight="1" x14ac:dyDescent="0.25">
      <c r="G910" s="1"/>
    </row>
    <row r="911" spans="7:7" ht="15.75" customHeight="1" x14ac:dyDescent="0.25">
      <c r="G911" s="1"/>
    </row>
    <row r="912" spans="7:7" ht="15.75" customHeight="1" x14ac:dyDescent="0.25">
      <c r="G912" s="1"/>
    </row>
    <row r="913" spans="7:7" ht="15.75" customHeight="1" x14ac:dyDescent="0.25">
      <c r="G913" s="1"/>
    </row>
    <row r="914" spans="7:7" ht="15.75" customHeight="1" x14ac:dyDescent="0.25">
      <c r="G914" s="1"/>
    </row>
    <row r="915" spans="7:7" ht="15.75" customHeight="1" x14ac:dyDescent="0.25">
      <c r="G915" s="1"/>
    </row>
    <row r="916" spans="7:7" ht="15.75" customHeight="1" x14ac:dyDescent="0.25">
      <c r="G916" s="1"/>
    </row>
    <row r="917" spans="7:7" ht="15.75" customHeight="1" x14ac:dyDescent="0.25">
      <c r="G917" s="1"/>
    </row>
    <row r="918" spans="7:7" ht="15.75" customHeight="1" x14ac:dyDescent="0.25">
      <c r="G918" s="1"/>
    </row>
    <row r="919" spans="7:7" ht="15.75" customHeight="1" x14ac:dyDescent="0.25">
      <c r="G919" s="1"/>
    </row>
    <row r="920" spans="7:7" ht="15.75" customHeight="1" x14ac:dyDescent="0.25">
      <c r="G920" s="1"/>
    </row>
    <row r="921" spans="7:7" ht="15.75" customHeight="1" x14ac:dyDescent="0.25">
      <c r="G921" s="1"/>
    </row>
    <row r="922" spans="7:7" ht="15.75" customHeight="1" x14ac:dyDescent="0.25">
      <c r="G922" s="1"/>
    </row>
    <row r="923" spans="7:7" ht="15.75" customHeight="1" x14ac:dyDescent="0.25">
      <c r="G923" s="1"/>
    </row>
    <row r="924" spans="7:7" ht="15.75" customHeight="1" x14ac:dyDescent="0.25">
      <c r="G924" s="1"/>
    </row>
    <row r="925" spans="7:7" ht="15.75" customHeight="1" x14ac:dyDescent="0.25">
      <c r="G925" s="1"/>
    </row>
    <row r="926" spans="7:7" ht="15.75" customHeight="1" x14ac:dyDescent="0.25">
      <c r="G926" s="1"/>
    </row>
    <row r="927" spans="7:7" ht="15.75" customHeight="1" x14ac:dyDescent="0.25">
      <c r="G927" s="1"/>
    </row>
    <row r="928" spans="7:7" ht="15.75" customHeight="1" x14ac:dyDescent="0.25">
      <c r="G928" s="1"/>
    </row>
    <row r="929" spans="7:7" ht="15.75" customHeight="1" x14ac:dyDescent="0.25">
      <c r="G929" s="1"/>
    </row>
    <row r="930" spans="7:7" ht="15.75" customHeight="1" x14ac:dyDescent="0.25">
      <c r="G930" s="1"/>
    </row>
    <row r="931" spans="7:7" ht="15.75" customHeight="1" x14ac:dyDescent="0.25">
      <c r="G931" s="1"/>
    </row>
    <row r="932" spans="7:7" ht="15.75" customHeight="1" x14ac:dyDescent="0.25">
      <c r="G932" s="1"/>
    </row>
    <row r="933" spans="7:7" ht="15.75" customHeight="1" x14ac:dyDescent="0.25">
      <c r="G933" s="1"/>
    </row>
    <row r="934" spans="7:7" ht="15.75" customHeight="1" x14ac:dyDescent="0.25">
      <c r="G934" s="1"/>
    </row>
    <row r="935" spans="7:7" ht="15.75" customHeight="1" x14ac:dyDescent="0.25">
      <c r="G935" s="1"/>
    </row>
    <row r="936" spans="7:7" ht="15.75" customHeight="1" x14ac:dyDescent="0.25">
      <c r="G936" s="1"/>
    </row>
    <row r="937" spans="7:7" ht="15.75" customHeight="1" x14ac:dyDescent="0.25">
      <c r="G937" s="1"/>
    </row>
    <row r="938" spans="7:7" ht="15.75" customHeight="1" x14ac:dyDescent="0.25">
      <c r="G938" s="1"/>
    </row>
    <row r="939" spans="7:7" ht="15.75" customHeight="1" x14ac:dyDescent="0.25">
      <c r="G939" s="1"/>
    </row>
    <row r="940" spans="7:7" ht="15.75" customHeight="1" x14ac:dyDescent="0.25">
      <c r="G940" s="1"/>
    </row>
    <row r="941" spans="7:7" ht="15.75" customHeight="1" x14ac:dyDescent="0.25">
      <c r="G941" s="1"/>
    </row>
    <row r="942" spans="7:7" ht="15.75" customHeight="1" x14ac:dyDescent="0.25">
      <c r="G942" s="1"/>
    </row>
    <row r="943" spans="7:7" ht="15.75" customHeight="1" x14ac:dyDescent="0.25">
      <c r="G943" s="1"/>
    </row>
    <row r="944" spans="7:7" ht="15.75" customHeight="1" x14ac:dyDescent="0.25">
      <c r="G944" s="1"/>
    </row>
    <row r="945" spans="7:7" ht="15.75" customHeight="1" x14ac:dyDescent="0.25">
      <c r="G945" s="1"/>
    </row>
    <row r="946" spans="7:7" ht="15.75" customHeight="1" x14ac:dyDescent="0.25">
      <c r="G946" s="1"/>
    </row>
    <row r="947" spans="7:7" ht="15.75" customHeight="1" x14ac:dyDescent="0.25">
      <c r="G947" s="1"/>
    </row>
    <row r="948" spans="7:7" ht="15.75" customHeight="1" x14ac:dyDescent="0.25">
      <c r="G948" s="1"/>
    </row>
    <row r="949" spans="7:7" ht="15.75" customHeight="1" x14ac:dyDescent="0.25">
      <c r="G949" s="1"/>
    </row>
    <row r="950" spans="7:7" ht="15.75" customHeight="1" x14ac:dyDescent="0.25">
      <c r="G950" s="1"/>
    </row>
    <row r="951" spans="7:7" ht="15.75" customHeight="1" x14ac:dyDescent="0.25">
      <c r="G951" s="1"/>
    </row>
    <row r="952" spans="7:7" ht="15.75" customHeight="1" x14ac:dyDescent="0.25">
      <c r="G952" s="1"/>
    </row>
    <row r="953" spans="7:7" ht="15.75" customHeight="1" x14ac:dyDescent="0.25">
      <c r="G953" s="1"/>
    </row>
    <row r="954" spans="7:7" ht="15.75" customHeight="1" x14ac:dyDescent="0.25">
      <c r="G954" s="1"/>
    </row>
    <row r="955" spans="7:7" ht="15.75" customHeight="1" x14ac:dyDescent="0.25">
      <c r="G955" s="1"/>
    </row>
    <row r="956" spans="7:7" ht="15.75" customHeight="1" x14ac:dyDescent="0.25">
      <c r="G956" s="1"/>
    </row>
    <row r="957" spans="7:7" ht="15.75" customHeight="1" x14ac:dyDescent="0.25">
      <c r="G957" s="1"/>
    </row>
    <row r="958" spans="7:7" ht="15.75" customHeight="1" x14ac:dyDescent="0.25">
      <c r="G958" s="1"/>
    </row>
    <row r="959" spans="7:7" ht="15.75" customHeight="1" x14ac:dyDescent="0.25">
      <c r="G959" s="1"/>
    </row>
    <row r="960" spans="7:7" ht="15.75" customHeight="1" x14ac:dyDescent="0.25">
      <c r="G960" s="1"/>
    </row>
    <row r="961" spans="7:7" ht="15.75" customHeight="1" x14ac:dyDescent="0.25">
      <c r="G961" s="1"/>
    </row>
    <row r="962" spans="7:7" ht="15.75" customHeight="1" x14ac:dyDescent="0.25">
      <c r="G962" s="1"/>
    </row>
    <row r="963" spans="7:7" ht="15.75" customHeight="1" x14ac:dyDescent="0.25">
      <c r="G963" s="1"/>
    </row>
    <row r="964" spans="7:7" ht="15.75" customHeight="1" x14ac:dyDescent="0.25">
      <c r="G964" s="1"/>
    </row>
    <row r="965" spans="7:7" ht="15.75" customHeight="1" x14ac:dyDescent="0.25">
      <c r="G965" s="1"/>
    </row>
    <row r="966" spans="7:7" ht="15.75" customHeight="1" x14ac:dyDescent="0.25">
      <c r="G966" s="1"/>
    </row>
    <row r="967" spans="7:7" ht="15.75" customHeight="1" x14ac:dyDescent="0.25">
      <c r="G967" s="1"/>
    </row>
    <row r="968" spans="7:7" ht="15.75" customHeight="1" x14ac:dyDescent="0.25">
      <c r="G968" s="1"/>
    </row>
    <row r="969" spans="7:7" ht="15.75" customHeight="1" x14ac:dyDescent="0.25">
      <c r="G969" s="1"/>
    </row>
    <row r="970" spans="7:7" ht="15.75" customHeight="1" x14ac:dyDescent="0.25">
      <c r="G970" s="1"/>
    </row>
    <row r="971" spans="7:7" ht="15.75" customHeight="1" x14ac:dyDescent="0.25">
      <c r="G971" s="1"/>
    </row>
    <row r="972" spans="7:7" ht="15.75" customHeight="1" x14ac:dyDescent="0.25">
      <c r="G972" s="1"/>
    </row>
    <row r="973" spans="7:7" ht="15.75" customHeight="1" x14ac:dyDescent="0.25">
      <c r="G973" s="1"/>
    </row>
    <row r="974" spans="7:7" ht="15.75" customHeight="1" x14ac:dyDescent="0.25">
      <c r="G974" s="1"/>
    </row>
    <row r="975" spans="7:7" ht="15.75" customHeight="1" x14ac:dyDescent="0.25">
      <c r="G975" s="1"/>
    </row>
    <row r="976" spans="7:7" ht="15.75" customHeight="1" x14ac:dyDescent="0.25">
      <c r="G976" s="1"/>
    </row>
    <row r="977" spans="7:7" ht="15.75" customHeight="1" x14ac:dyDescent="0.25">
      <c r="G977" s="1"/>
    </row>
    <row r="978" spans="7:7" ht="15.75" customHeight="1" x14ac:dyDescent="0.25">
      <c r="G978" s="1"/>
    </row>
    <row r="979" spans="7:7" ht="15.75" customHeight="1" x14ac:dyDescent="0.25">
      <c r="G979" s="1"/>
    </row>
    <row r="980" spans="7:7" ht="15.75" customHeight="1" x14ac:dyDescent="0.25">
      <c r="G980" s="1"/>
    </row>
    <row r="981" spans="7:7" ht="15.75" customHeight="1" x14ac:dyDescent="0.25">
      <c r="G981" s="1"/>
    </row>
    <row r="982" spans="7:7" ht="15.75" customHeight="1" x14ac:dyDescent="0.25">
      <c r="G982" s="1"/>
    </row>
    <row r="983" spans="7:7" ht="15.75" customHeight="1" x14ac:dyDescent="0.25">
      <c r="G983" s="1"/>
    </row>
    <row r="984" spans="7:7" ht="15.75" customHeight="1" x14ac:dyDescent="0.25">
      <c r="G984" s="1"/>
    </row>
    <row r="985" spans="7:7" ht="15.75" customHeight="1" x14ac:dyDescent="0.25">
      <c r="G985" s="1"/>
    </row>
    <row r="986" spans="7:7" ht="15.75" customHeight="1" x14ac:dyDescent="0.25">
      <c r="G986" s="1"/>
    </row>
    <row r="987" spans="7:7" ht="15.75" customHeight="1" x14ac:dyDescent="0.25">
      <c r="G987" s="1"/>
    </row>
    <row r="988" spans="7:7" ht="15.75" customHeight="1" x14ac:dyDescent="0.25">
      <c r="G988" s="1"/>
    </row>
    <row r="989" spans="7:7" ht="15.75" customHeight="1" x14ac:dyDescent="0.25">
      <c r="G989" s="1"/>
    </row>
    <row r="990" spans="7:7" ht="15.75" customHeight="1" x14ac:dyDescent="0.25">
      <c r="G990" s="1"/>
    </row>
    <row r="991" spans="7:7" ht="15.75" customHeight="1" x14ac:dyDescent="0.25">
      <c r="G991" s="1"/>
    </row>
    <row r="992" spans="7:7" ht="15.75" customHeight="1" x14ac:dyDescent="0.25">
      <c r="G992" s="1"/>
    </row>
    <row r="993" spans="7:7" ht="15.75" customHeight="1" x14ac:dyDescent="0.25">
      <c r="G993" s="1"/>
    </row>
    <row r="994" spans="7:7" ht="15.75" customHeight="1" x14ac:dyDescent="0.25">
      <c r="G994" s="1"/>
    </row>
    <row r="995" spans="7:7" ht="15.75" customHeight="1" x14ac:dyDescent="0.25">
      <c r="G995" s="1"/>
    </row>
    <row r="996" spans="7:7" ht="15.75" customHeight="1" x14ac:dyDescent="0.25">
      <c r="G996" s="1"/>
    </row>
    <row r="997" spans="7:7" ht="15.75" customHeight="1" x14ac:dyDescent="0.25">
      <c r="G997" s="1"/>
    </row>
    <row r="998" spans="7:7" ht="15.75" customHeight="1" x14ac:dyDescent="0.25">
      <c r="G998" s="1"/>
    </row>
    <row r="999" spans="7:7" ht="15.75" customHeight="1" x14ac:dyDescent="0.25">
      <c r="G999" s="1"/>
    </row>
    <row r="1000" spans="7:7" ht="15.75" customHeight="1" x14ac:dyDescent="0.25">
      <c r="G1000" s="1"/>
    </row>
  </sheetData>
  <conditionalFormatting sqref="A2:K180">
    <cfRule type="containsBlanks" dxfId="4" priority="1">
      <formula>LEN(TRIM(A2))=0</formula>
    </cfRule>
  </conditionalFormatting>
  <printOptions horizontalCentered="1"/>
  <pageMargins left="0.7" right="0.7" top="0.75" bottom="0.75" header="0" footer="0"/>
  <pageSetup paperSize="9" orientation="landscape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DC3E6"/>
  </sheetPr>
  <dimension ref="A1:AB1000"/>
  <sheetViews>
    <sheetView workbookViewId="0">
      <pane ySplit="1" topLeftCell="A2" activePane="bottomLeft" state="frozen"/>
      <selection pane="bottomLeft" activeCell="Q13" sqref="Q13"/>
    </sheetView>
  </sheetViews>
  <sheetFormatPr baseColWidth="10" defaultColWidth="12.6328125" defaultRowHeight="15" customHeight="1" x14ac:dyDescent="0.25"/>
  <cols>
    <col min="1" max="1" width="5.6328125" customWidth="1"/>
    <col min="2" max="2" width="8" customWidth="1"/>
    <col min="3" max="3" width="17.7265625" customWidth="1"/>
    <col min="4" max="4" width="13" customWidth="1"/>
    <col min="5" max="6" width="5.36328125" customWidth="1"/>
    <col min="7" max="21" width="8.26953125" customWidth="1"/>
    <col min="22" max="28" width="7" customWidth="1"/>
  </cols>
  <sheetData>
    <row r="1" spans="1:28" ht="13.5" customHeight="1" x14ac:dyDescent="0.25">
      <c r="A1" s="48" t="s">
        <v>0</v>
      </c>
      <c r="B1" s="48" t="s">
        <v>1</v>
      </c>
      <c r="C1" s="49" t="s">
        <v>2</v>
      </c>
      <c r="D1" s="49" t="s">
        <v>3</v>
      </c>
      <c r="E1" s="48" t="s">
        <v>4</v>
      </c>
      <c r="F1" s="48" t="s">
        <v>5</v>
      </c>
      <c r="G1" s="50" t="s">
        <v>6</v>
      </c>
      <c r="H1" s="48" t="s">
        <v>7</v>
      </c>
      <c r="I1" s="48" t="s">
        <v>8</v>
      </c>
      <c r="J1" s="48" t="s">
        <v>9</v>
      </c>
      <c r="K1" s="48" t="s">
        <v>10</v>
      </c>
      <c r="L1" s="5"/>
      <c r="M1" s="6"/>
      <c r="N1" s="6"/>
      <c r="O1" s="6"/>
      <c r="P1" s="6"/>
      <c r="Q1" s="6"/>
      <c r="R1" s="6"/>
      <c r="S1" s="6"/>
      <c r="T1" s="6"/>
      <c r="U1" s="6"/>
      <c r="V1" s="7"/>
      <c r="W1" s="7"/>
      <c r="X1" s="7"/>
      <c r="Y1" s="7"/>
      <c r="Z1" s="8"/>
      <c r="AA1" s="9"/>
      <c r="AB1" s="10"/>
    </row>
    <row r="2" spans="1:28" ht="13.5" customHeight="1" x14ac:dyDescent="0.35">
      <c r="A2" s="11">
        <f ca="1">IFERROR(__xludf.DUMMYFUNCTION("importrange(""https://docs.google.com/spreadsheets/d/1b5MDXOVAvyXtPAhaTJQ4VklV1IVuMDIMPSQ0egEui-k/edit?gid=1004591596#gid=1004591596"",""Resultats_SH!A2:O180"")"),1)</f>
        <v>1</v>
      </c>
      <c r="B2" s="12" t="str">
        <f ca="1">IFERROR(__xludf.DUMMYFUNCTION("""COMPUTED_VALUE"""),"222")</f>
        <v>222</v>
      </c>
      <c r="C2" s="13" t="str">
        <f ca="1">IFERROR(__xludf.DUMMYFUNCTION("""COMPUTED_VALUE"""),"REGNIER")</f>
        <v>REGNIER</v>
      </c>
      <c r="D2" s="14" t="str">
        <f ca="1">IFERROR(__xludf.DUMMYFUNCTION("""COMPUTED_VALUE"""),"BENOIT")</f>
        <v>BENOIT</v>
      </c>
      <c r="E2" s="15" t="str">
        <f ca="1">IFERROR(__xludf.DUMMYFUNCTION("""COMPUTED_VALUE"""),"SH4")</f>
        <v>SH4</v>
      </c>
      <c r="F2" s="51">
        <f ca="1">IFERROR(__xludf.DUMMYFUNCTION("""COMPUTED_VALUE"""),1)</f>
        <v>1</v>
      </c>
      <c r="G2" s="16">
        <f ca="1">IFERROR(__xludf.DUMMYFUNCTION("""COMPUTED_VALUE"""),0.0156481486263321)</f>
        <v>1.5648148626332101E-2</v>
      </c>
      <c r="H2" s="17">
        <f ca="1">IFERROR(__xludf.DUMMYFUNCTION("""COMPUTED_VALUE"""),0.0028009260028297)</f>
        <v>2.8009260028297E-3</v>
      </c>
      <c r="I2" s="17">
        <f ca="1">IFERROR(__xludf.DUMMYFUNCTION("""COMPUTED_VALUE"""),0.0065393518640472)</f>
        <v>6.5393518640471998E-3</v>
      </c>
      <c r="J2" s="17">
        <f ca="1">IFERROR(__xludf.DUMMYFUNCTION("""COMPUTED_VALUE"""),0.0058796296252308)</f>
        <v>5.8796296252308002E-3</v>
      </c>
      <c r="K2" s="18">
        <f ca="1">IFERROR(__xludf.DUMMYFUNCTION("""COMPUTED_VALUE"""),0.000428241134224411)</f>
        <v>4.2824113422441099E-4</v>
      </c>
      <c r="L2" s="19"/>
      <c r="M2" s="19"/>
      <c r="N2" s="19"/>
      <c r="O2" s="19"/>
      <c r="P2" s="19"/>
      <c r="Q2" s="19"/>
      <c r="R2" s="19"/>
      <c r="S2" s="19"/>
      <c r="T2" s="19"/>
      <c r="U2" s="19"/>
      <c r="V2" s="20"/>
      <c r="W2" s="20"/>
      <c r="X2" s="20"/>
      <c r="Y2" s="20"/>
      <c r="Z2" s="21"/>
      <c r="AA2" s="22"/>
      <c r="AB2" s="23"/>
    </row>
    <row r="3" spans="1:28" ht="13.5" customHeight="1" x14ac:dyDescent="0.35">
      <c r="A3" s="24">
        <f ca="1">IFERROR(__xludf.DUMMYFUNCTION("""COMPUTED_VALUE"""),2)</f>
        <v>2</v>
      </c>
      <c r="B3" s="25" t="str">
        <f ca="1">IFERROR(__xludf.DUMMYFUNCTION("""COMPUTED_VALUE"""),"205")</f>
        <v>205</v>
      </c>
      <c r="C3" s="26" t="str">
        <f ca="1">IFERROR(__xludf.DUMMYFUNCTION("""COMPUTED_VALUE"""),"ACHITE")</f>
        <v>ACHITE</v>
      </c>
      <c r="D3" s="27" t="str">
        <f ca="1">IFERROR(__xludf.DUMMYFUNCTION("""COMPUTED_VALUE"""),"SÉLIM")</f>
        <v>SÉLIM</v>
      </c>
      <c r="E3" s="15" t="str">
        <f ca="1">IFERROR(__xludf.DUMMYFUNCTION("""COMPUTED_VALUE"""),"SH3")</f>
        <v>SH3</v>
      </c>
      <c r="F3" s="51">
        <f ca="1">IFERROR(__xludf.DUMMYFUNCTION("""COMPUTED_VALUE"""),1)</f>
        <v>1</v>
      </c>
      <c r="G3" s="16">
        <f ca="1">IFERROR(__xludf.DUMMYFUNCTION("""COMPUTED_VALUE"""),0.0176967598325677)</f>
        <v>1.7696759832567702E-2</v>
      </c>
      <c r="H3" s="17">
        <f ca="1">IFERROR(__xludf.DUMMYFUNCTION("""COMPUTED_VALUE"""),0.00342592596247718)</f>
        <v>3.4259259624771798E-3</v>
      </c>
      <c r="I3" s="17">
        <f ca="1">IFERROR(__xludf.DUMMYFUNCTION("""COMPUTED_VALUE"""),0.00668981484908062)</f>
        <v>6.6898148490806197E-3</v>
      </c>
      <c r="J3" s="17">
        <f ca="1">IFERROR(__xludf.DUMMYFUNCTION("""COMPUTED_VALUE"""),0.00716435170927215)</f>
        <v>7.1643517092721499E-3</v>
      </c>
      <c r="K3" s="18">
        <f ca="1">IFERROR(__xludf.DUMMYFUNCTION("""COMPUTED_VALUE"""),0.000416667311737836)</f>
        <v>4.1666731173783603E-4</v>
      </c>
      <c r="L3" s="19"/>
      <c r="M3" s="19"/>
      <c r="N3" s="19"/>
      <c r="O3" s="19"/>
      <c r="P3" s="19"/>
      <c r="Q3" s="19"/>
      <c r="R3" s="19"/>
      <c r="S3" s="19"/>
      <c r="T3" s="19"/>
      <c r="U3" s="19"/>
      <c r="V3" s="20"/>
      <c r="W3" s="20"/>
      <c r="X3" s="20"/>
      <c r="Y3" s="20"/>
      <c r="Z3" s="21"/>
      <c r="AA3" s="22"/>
      <c r="AB3" s="23"/>
    </row>
    <row r="4" spans="1:28" ht="13.5" customHeight="1" x14ac:dyDescent="0.35">
      <c r="A4" s="24">
        <f ca="1">IFERROR(__xludf.DUMMYFUNCTION("""COMPUTED_VALUE"""),3)</f>
        <v>3</v>
      </c>
      <c r="B4" s="25" t="str">
        <f ca="1">IFERROR(__xludf.DUMMYFUNCTION("""COMPUTED_VALUE"""),"174")</f>
        <v>174</v>
      </c>
      <c r="C4" s="26" t="str">
        <f ca="1">IFERROR(__xludf.DUMMYFUNCTION("""COMPUTED_VALUE"""),"RODIER")</f>
        <v>RODIER</v>
      </c>
      <c r="D4" s="27" t="str">
        <f ca="1">IFERROR(__xludf.DUMMYFUNCTION("""COMPUTED_VALUE"""),"PIERRE")</f>
        <v>PIERRE</v>
      </c>
      <c r="E4" s="15" t="str">
        <f ca="1">IFERROR(__xludf.DUMMYFUNCTION("""COMPUTED_VALUE"""),"SH2")</f>
        <v>SH2</v>
      </c>
      <c r="F4" s="51">
        <f ca="1">IFERROR(__xludf.DUMMYFUNCTION("""COMPUTED_VALUE"""),1)</f>
        <v>1</v>
      </c>
      <c r="G4" s="16">
        <f ca="1">IFERROR(__xludf.DUMMYFUNCTION("""COMPUTED_VALUE"""),0.0180324084907818)</f>
        <v>1.80324084907818E-2</v>
      </c>
      <c r="H4" s="17">
        <f ca="1">IFERROR(__xludf.DUMMYFUNCTION("""COMPUTED_VALUE"""),0.00343750002314912)</f>
        <v>3.4375000231491198E-3</v>
      </c>
      <c r="I4" s="17">
        <f ca="1">IFERROR(__xludf.DUMMYFUNCTION("""COMPUTED_VALUE"""),0.0064351852166773)</f>
        <v>6.4351852166772998E-3</v>
      </c>
      <c r="J4" s="17">
        <f ca="1">IFERROR(__xludf.DUMMYFUNCTION("""COMPUTED_VALUE"""),0.00768518527925237)</f>
        <v>7.6851852792523701E-3</v>
      </c>
      <c r="K4" s="18">
        <f ca="1">IFERROR(__xludf.DUMMYFUNCTION("""COMPUTED_VALUE"""),0.000474537971703024)</f>
        <v>4.7453797170302401E-4</v>
      </c>
      <c r="L4" s="19"/>
      <c r="M4" s="19"/>
      <c r="N4" s="19"/>
      <c r="O4" s="19"/>
      <c r="P4" s="19"/>
      <c r="Q4" s="19"/>
      <c r="R4" s="19"/>
      <c r="S4" s="19"/>
      <c r="T4" s="19"/>
      <c r="U4" s="19"/>
      <c r="V4" s="20"/>
      <c r="W4" s="20"/>
      <c r="X4" s="20"/>
      <c r="Y4" s="20"/>
      <c r="Z4" s="21"/>
      <c r="AA4" s="22"/>
      <c r="AB4" s="23"/>
    </row>
    <row r="5" spans="1:28" ht="13.5" customHeight="1" x14ac:dyDescent="0.35">
      <c r="A5" s="24">
        <f ca="1">IFERROR(__xludf.DUMMYFUNCTION("""COMPUTED_VALUE"""),4)</f>
        <v>4</v>
      </c>
      <c r="B5" s="25" t="str">
        <f ca="1">IFERROR(__xludf.DUMMYFUNCTION("""COMPUTED_VALUE"""),"223")</f>
        <v>223</v>
      </c>
      <c r="C5" s="26" t="str">
        <f ca="1">IFERROR(__xludf.DUMMYFUNCTION("""COMPUTED_VALUE"""),"FROMENTEAU")</f>
        <v>FROMENTEAU</v>
      </c>
      <c r="D5" s="27" t="str">
        <f ca="1">IFERROR(__xludf.DUMMYFUNCTION("""COMPUTED_VALUE"""),"MATTHIEU")</f>
        <v>MATTHIEU</v>
      </c>
      <c r="E5" s="15" t="str">
        <f ca="1">IFERROR(__xludf.DUMMYFUNCTION("""COMPUTED_VALUE"""),"SH4")</f>
        <v>SH4</v>
      </c>
      <c r="F5" s="51">
        <f ca="1">IFERROR(__xludf.DUMMYFUNCTION("""COMPUTED_VALUE"""),2)</f>
        <v>2</v>
      </c>
      <c r="G5" s="16">
        <f ca="1">IFERROR(__xludf.DUMMYFUNCTION("""COMPUTED_VALUE"""),0.018043982043219)</f>
        <v>1.8043982043219001E-2</v>
      </c>
      <c r="H5" s="17">
        <f ca="1">IFERROR(__xludf.DUMMYFUNCTION("""COMPUTED_VALUE"""),0.00295138890684612)</f>
        <v>2.95138890684612E-3</v>
      </c>
      <c r="I5" s="17">
        <f ca="1">IFERROR(__xludf.DUMMYFUNCTION("""COMPUTED_VALUE"""),0.00694444449031792)</f>
        <v>6.9444444903179201E-3</v>
      </c>
      <c r="J5" s="17">
        <f ca="1">IFERROR(__xludf.DUMMYFUNCTION("""COMPUTED_VALUE"""),0.00773148181344431)</f>
        <v>7.7314818134443103E-3</v>
      </c>
      <c r="K5" s="18">
        <f ca="1">IFERROR(__xludf.DUMMYFUNCTION("""COMPUTED_VALUE"""),0.000416666832610658)</f>
        <v>4.1666683261065799E-4</v>
      </c>
      <c r="L5" s="19"/>
      <c r="M5" s="19"/>
      <c r="N5" s="19"/>
      <c r="O5" s="19"/>
      <c r="P5" s="19"/>
      <c r="Q5" s="19"/>
      <c r="R5" s="19"/>
      <c r="S5" s="19"/>
      <c r="T5" s="19"/>
      <c r="U5" s="19"/>
      <c r="V5" s="20"/>
      <c r="W5" s="20"/>
      <c r="X5" s="20"/>
      <c r="Y5" s="20"/>
      <c r="Z5" s="21"/>
      <c r="AA5" s="22"/>
      <c r="AB5" s="23"/>
    </row>
    <row r="6" spans="1:28" ht="13.5" customHeight="1" x14ac:dyDescent="0.35">
      <c r="A6" s="24">
        <f ca="1">IFERROR(__xludf.DUMMYFUNCTION("""COMPUTED_VALUE"""),5)</f>
        <v>5</v>
      </c>
      <c r="B6" s="25" t="str">
        <f ca="1">IFERROR(__xludf.DUMMYFUNCTION("""COMPUTED_VALUE"""),"156")</f>
        <v>156</v>
      </c>
      <c r="C6" s="26" t="str">
        <f ca="1">IFERROR(__xludf.DUMMYFUNCTION("""COMPUTED_VALUE"""),"PAGOAGA")</f>
        <v>PAGOAGA</v>
      </c>
      <c r="D6" s="27" t="str">
        <f ca="1">IFERROR(__xludf.DUMMYFUNCTION("""COMPUTED_VALUE"""),"IKER")</f>
        <v>IKER</v>
      </c>
      <c r="E6" s="15" t="str">
        <f ca="1">IFERROR(__xludf.DUMMYFUNCTION("""COMPUTED_VALUE"""),"SH4")</f>
        <v>SH4</v>
      </c>
      <c r="F6" s="51">
        <f ca="1">IFERROR(__xludf.DUMMYFUNCTION("""COMPUTED_VALUE"""),3)</f>
        <v>3</v>
      </c>
      <c r="G6" s="16">
        <f ca="1">IFERROR(__xludf.DUMMYFUNCTION("""COMPUTED_VALUE"""),0.0180671303943924)</f>
        <v>1.8067130394392401E-2</v>
      </c>
      <c r="H6" s="17">
        <f ca="1">IFERROR(__xludf.DUMMYFUNCTION("""COMPUTED_VALUE"""),0.00318287047382164)</f>
        <v>3.1828704738216399E-3</v>
      </c>
      <c r="I6" s="17">
        <f ca="1">IFERROR(__xludf.DUMMYFUNCTION("""COMPUTED_VALUE"""),0.0074768519090012)</f>
        <v>7.4768519090012003E-3</v>
      </c>
      <c r="J6" s="17">
        <f ca="1">IFERROR(__xludf.DUMMYFUNCTION("""COMPUTED_VALUE"""),0.00678240788352199)</f>
        <v>6.7824078835219898E-3</v>
      </c>
      <c r="K6" s="18">
        <f ca="1">IFERROR(__xludf.DUMMYFUNCTION("""COMPUTED_VALUE"""),0.00062500012804758)</f>
        <v>6.2500012804758004E-4</v>
      </c>
      <c r="L6" s="19"/>
      <c r="M6" s="19"/>
      <c r="N6" s="19"/>
      <c r="O6" s="19"/>
      <c r="P6" s="19"/>
      <c r="Q6" s="19"/>
      <c r="R6" s="19"/>
      <c r="S6" s="19"/>
      <c r="T6" s="19"/>
      <c r="U6" s="19"/>
      <c r="V6" s="20"/>
      <c r="W6" s="20"/>
      <c r="X6" s="20"/>
      <c r="Y6" s="20"/>
      <c r="Z6" s="21"/>
      <c r="AA6" s="22"/>
      <c r="AB6" s="23"/>
    </row>
    <row r="7" spans="1:28" ht="13.5" customHeight="1" x14ac:dyDescent="0.35">
      <c r="A7" s="24">
        <f ca="1">IFERROR(__xludf.DUMMYFUNCTION("""COMPUTED_VALUE"""),6)</f>
        <v>6</v>
      </c>
      <c r="B7" s="25" t="str">
        <f ca="1">IFERROR(__xludf.DUMMYFUNCTION("""COMPUTED_VALUE"""),"224")</f>
        <v>224</v>
      </c>
      <c r="C7" s="26" t="str">
        <f ca="1">IFERROR(__xludf.DUMMYFUNCTION("""COMPUTED_VALUE"""),"PELLERIN")</f>
        <v>PELLERIN</v>
      </c>
      <c r="D7" s="27" t="str">
        <f ca="1">IFERROR(__xludf.DUMMYFUNCTION("""COMPUTED_VALUE"""),"PAUL")</f>
        <v>PAUL</v>
      </c>
      <c r="E7" s="15" t="str">
        <f ca="1">IFERROR(__xludf.DUMMYFUNCTION("""COMPUTED_VALUE"""),"SH3")</f>
        <v>SH3</v>
      </c>
      <c r="F7" s="51">
        <f ca="1">IFERROR(__xludf.DUMMYFUNCTION("""COMPUTED_VALUE"""),2)</f>
        <v>2</v>
      </c>
      <c r="G7" s="16">
        <f ca="1">IFERROR(__xludf.DUMMYFUNCTION("""COMPUTED_VALUE"""),0.018136574494696)</f>
        <v>1.8136574494695998E-2</v>
      </c>
      <c r="H7" s="17">
        <f ca="1">IFERROR(__xludf.DUMMYFUNCTION("""COMPUTED_VALUE"""),0.0029398148162254)</f>
        <v>2.9398148162254E-3</v>
      </c>
      <c r="I7" s="17">
        <f ca="1">IFERROR(__xludf.DUMMYFUNCTION("""COMPUTED_VALUE"""),0.00702546301403967)</f>
        <v>7.0254630140396696E-3</v>
      </c>
      <c r="J7" s="17">
        <f ca="1">IFERROR(__xludf.DUMMYFUNCTION("""COMPUTED_VALUE"""),0.00767361064421492)</f>
        <v>7.6736106442149201E-3</v>
      </c>
      <c r="K7" s="18">
        <f ca="1">IFERROR(__xludf.DUMMYFUNCTION("""COMPUTED_VALUE"""),0.000497686020216054)</f>
        <v>4.9768602021605399E-4</v>
      </c>
      <c r="L7" s="19"/>
      <c r="M7" s="19"/>
      <c r="N7" s="19"/>
      <c r="O7" s="19"/>
      <c r="P7" s="19"/>
      <c r="Q7" s="19"/>
      <c r="R7" s="19"/>
      <c r="S7" s="19"/>
      <c r="T7" s="19"/>
      <c r="U7" s="19"/>
      <c r="V7" s="20"/>
      <c r="W7" s="20"/>
      <c r="X7" s="20"/>
      <c r="Y7" s="20"/>
      <c r="Z7" s="21"/>
      <c r="AA7" s="22"/>
      <c r="AB7" s="23"/>
    </row>
    <row r="8" spans="1:28" ht="13.5" customHeight="1" x14ac:dyDescent="0.35">
      <c r="A8" s="24">
        <f ca="1">IFERROR(__xludf.DUMMYFUNCTION("""COMPUTED_VALUE"""),7)</f>
        <v>7</v>
      </c>
      <c r="B8" s="25" t="str">
        <f ca="1">IFERROR(__xludf.DUMMYFUNCTION("""COMPUTED_VALUE"""),"220")</f>
        <v>220</v>
      </c>
      <c r="C8" s="26" t="str">
        <f ca="1">IFERROR(__xludf.DUMMYFUNCTION("""COMPUTED_VALUE"""),"KERGOAT")</f>
        <v>KERGOAT</v>
      </c>
      <c r="D8" s="27" t="str">
        <f ca="1">IFERROR(__xludf.DUMMYFUNCTION("""COMPUTED_VALUE"""),"FRANCOIS")</f>
        <v>FRANCOIS</v>
      </c>
      <c r="E8" s="15" t="str">
        <f ca="1">IFERROR(__xludf.DUMMYFUNCTION("""COMPUTED_VALUE"""),"SH4")</f>
        <v>SH4</v>
      </c>
      <c r="F8" s="51">
        <f ca="1">IFERROR(__xludf.DUMMYFUNCTION("""COMPUTED_VALUE"""),4)</f>
        <v>4</v>
      </c>
      <c r="G8" s="16">
        <f ca="1">IFERROR(__xludf.DUMMYFUNCTION("""COMPUTED_VALUE"""),0.0181597229826362)</f>
        <v>1.8159722982636201E-2</v>
      </c>
      <c r="H8" s="17">
        <f ca="1">IFERROR(__xludf.DUMMYFUNCTION("""COMPUTED_VALUE"""),0.0030439815024599)</f>
        <v>3.0439815024598999E-3</v>
      </c>
      <c r="I8" s="17">
        <f ca="1">IFERROR(__xludf.DUMMYFUNCTION("""COMPUTED_VALUE"""),0.00697916675568808)</f>
        <v>6.97916675568808E-3</v>
      </c>
      <c r="J8" s="17">
        <f ca="1">IFERROR(__xludf.DUMMYFUNCTION("""COMPUTED_VALUE"""),0.0073842590173691)</f>
        <v>7.3842590173690999E-3</v>
      </c>
      <c r="K8" s="18">
        <f ca="1">IFERROR(__xludf.DUMMYFUNCTION("""COMPUTED_VALUE"""),0.000752315707119195)</f>
        <v>7.5231570711919505E-4</v>
      </c>
      <c r="L8" s="19"/>
      <c r="M8" s="19"/>
      <c r="N8" s="19"/>
      <c r="O8" s="19"/>
      <c r="P8" s="19"/>
      <c r="Q8" s="19"/>
      <c r="R8" s="19"/>
      <c r="S8" s="19"/>
      <c r="T8" s="19"/>
      <c r="U8" s="19"/>
      <c r="V8" s="20"/>
      <c r="W8" s="20"/>
      <c r="X8" s="20"/>
      <c r="Y8" s="20"/>
      <c r="Z8" s="21"/>
      <c r="AA8" s="22"/>
      <c r="AB8" s="23"/>
    </row>
    <row r="9" spans="1:28" ht="13.5" customHeight="1" x14ac:dyDescent="0.35">
      <c r="A9" s="24">
        <f ca="1">IFERROR(__xludf.DUMMYFUNCTION("""COMPUTED_VALUE"""),8)</f>
        <v>8</v>
      </c>
      <c r="B9" s="25" t="str">
        <f ca="1">IFERROR(__xludf.DUMMYFUNCTION("""COMPUTED_VALUE"""),"221")</f>
        <v>221</v>
      </c>
      <c r="C9" s="26" t="str">
        <f ca="1">IFERROR(__xludf.DUMMYFUNCTION("""COMPUTED_VALUE"""),"GRAZIANI")</f>
        <v>GRAZIANI</v>
      </c>
      <c r="D9" s="27" t="str">
        <f ca="1">IFERROR(__xludf.DUMMYFUNCTION("""COMPUTED_VALUE"""),"LEO")</f>
        <v>LEO</v>
      </c>
      <c r="E9" s="15" t="str">
        <f ca="1">IFERROR(__xludf.DUMMYFUNCTION("""COMPUTED_VALUE"""),"SH3")</f>
        <v>SH3</v>
      </c>
      <c r="F9" s="51">
        <f ca="1">IFERROR(__xludf.DUMMYFUNCTION("""COMPUTED_VALUE"""),3)</f>
        <v>3</v>
      </c>
      <c r="G9" s="16">
        <f ca="1">IFERROR(__xludf.DUMMYFUNCTION("""COMPUTED_VALUE"""),0.0183101859797515)</f>
        <v>1.8310185979751498E-2</v>
      </c>
      <c r="H9" s="17">
        <f ca="1">IFERROR(__xludf.DUMMYFUNCTION("""COMPUTED_VALUE"""),0.00366898157950319)</f>
        <v>3.6689815795031902E-3</v>
      </c>
      <c r="I9" s="17">
        <f ca="1">IFERROR(__xludf.DUMMYFUNCTION("""COMPUTED_VALUE"""),0.00651620379164203)</f>
        <v>6.5162037916420296E-3</v>
      </c>
      <c r="J9" s="17">
        <f ca="1">IFERROR(__xludf.DUMMYFUNCTION("""COMPUTED_VALUE"""),0.00738425930242137)</f>
        <v>7.3842593024213699E-3</v>
      </c>
      <c r="K9" s="18">
        <f ca="1">IFERROR(__xludf.DUMMYFUNCTION("""COMPUTED_VALUE"""),0.000740741306184945)</f>
        <v>7.4074130618494497E-4</v>
      </c>
      <c r="L9" s="19"/>
      <c r="M9" s="19"/>
      <c r="N9" s="19"/>
      <c r="O9" s="19"/>
      <c r="P9" s="19"/>
      <c r="Q9" s="19"/>
      <c r="R9" s="19"/>
      <c r="S9" s="19"/>
      <c r="T9" s="19"/>
      <c r="U9" s="19"/>
      <c r="V9" s="20"/>
      <c r="W9" s="20"/>
      <c r="X9" s="20"/>
      <c r="Y9" s="20"/>
      <c r="Z9" s="21"/>
      <c r="AA9" s="22"/>
      <c r="AB9" s="23"/>
    </row>
    <row r="10" spans="1:28" ht="13.5" customHeight="1" x14ac:dyDescent="0.35">
      <c r="A10" s="24">
        <f ca="1">IFERROR(__xludf.DUMMYFUNCTION("""COMPUTED_VALUE"""),9)</f>
        <v>9</v>
      </c>
      <c r="B10" s="25" t="str">
        <f ca="1">IFERROR(__xludf.DUMMYFUNCTION("""COMPUTED_VALUE"""),"116")</f>
        <v>116</v>
      </c>
      <c r="C10" s="26" t="str">
        <f ca="1">IFERROR(__xludf.DUMMYFUNCTION("""COMPUTED_VALUE"""),"MORET")</f>
        <v>MORET</v>
      </c>
      <c r="D10" s="27" t="str">
        <f ca="1">IFERROR(__xludf.DUMMYFUNCTION("""COMPUTED_VALUE"""),"QUENTIN")</f>
        <v>QUENTIN</v>
      </c>
      <c r="E10" s="15" t="str">
        <f ca="1">IFERROR(__xludf.DUMMYFUNCTION("""COMPUTED_VALUE"""),"SH3")</f>
        <v>SH3</v>
      </c>
      <c r="F10" s="51">
        <f ca="1">IFERROR(__xludf.DUMMYFUNCTION("""COMPUTED_VALUE"""),4)</f>
        <v>4</v>
      </c>
      <c r="G10" s="16">
        <f ca="1">IFERROR(__xludf.DUMMYFUNCTION("""COMPUTED_VALUE"""),0.0183449084922067)</f>
        <v>1.8344908492206699E-2</v>
      </c>
      <c r="H10" s="17">
        <f ca="1">IFERROR(__xludf.DUMMYFUNCTION("""COMPUTED_VALUE"""),0.00353009269218167)</f>
        <v>3.5300926921816699E-3</v>
      </c>
      <c r="I10" s="17">
        <f ca="1">IFERROR(__xludf.DUMMYFUNCTION("""COMPUTED_VALUE"""),0.00699074078235587)</f>
        <v>6.9907407823558698E-3</v>
      </c>
      <c r="J10" s="17">
        <f ca="1">IFERROR(__xludf.DUMMYFUNCTION("""COMPUTED_VALUE"""),0.0071296303647569)</f>
        <v>7.1296303647568997E-3</v>
      </c>
      <c r="K10" s="18">
        <f ca="1">IFERROR(__xludf.DUMMYFUNCTION("""COMPUTED_VALUE"""),0.00069444465291233)</f>
        <v>6.9444465291233E-4</v>
      </c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20"/>
      <c r="W10" s="20"/>
      <c r="X10" s="20"/>
      <c r="Y10" s="20"/>
      <c r="Z10" s="21"/>
      <c r="AA10" s="22"/>
      <c r="AB10" s="23"/>
    </row>
    <row r="11" spans="1:28" ht="13.5" customHeight="1" x14ac:dyDescent="0.35">
      <c r="A11" s="24">
        <f ca="1">IFERROR(__xludf.DUMMYFUNCTION("""COMPUTED_VALUE"""),10)</f>
        <v>10</v>
      </c>
      <c r="B11" s="25" t="str">
        <f ca="1">IFERROR(__xludf.DUMMYFUNCTION("""COMPUTED_VALUE"""),"201")</f>
        <v>201</v>
      </c>
      <c r="C11" s="26" t="str">
        <f ca="1">IFERROR(__xludf.DUMMYFUNCTION("""COMPUTED_VALUE"""),"MERLEY")</f>
        <v>MERLEY</v>
      </c>
      <c r="D11" s="27" t="str">
        <f ca="1">IFERROR(__xludf.DUMMYFUNCTION("""COMPUTED_VALUE"""),"MAXENCE")</f>
        <v>MAXENCE</v>
      </c>
      <c r="E11" s="15" t="str">
        <f ca="1">IFERROR(__xludf.DUMMYFUNCTION("""COMPUTED_VALUE"""),"SH4")</f>
        <v>SH4</v>
      </c>
      <c r="F11" s="51">
        <f ca="1">IFERROR(__xludf.DUMMYFUNCTION("""COMPUTED_VALUE"""),5)</f>
        <v>5</v>
      </c>
      <c r="G11" s="16">
        <f ca="1">IFERROR(__xludf.DUMMYFUNCTION("""COMPUTED_VALUE"""),0.019027778400684)</f>
        <v>1.9027778400683999E-2</v>
      </c>
      <c r="H11" s="17">
        <f ca="1">IFERROR(__xludf.DUMMYFUNCTION("""COMPUTED_VALUE"""),0.00305555563120468)</f>
        <v>3.0555556312046798E-3</v>
      </c>
      <c r="I11" s="17">
        <f ca="1">IFERROR(__xludf.DUMMYFUNCTION("""COMPUTED_VALUE"""),0.00662037037663619)</f>
        <v>6.6203703766361897E-3</v>
      </c>
      <c r="J11" s="17">
        <f ca="1">IFERROR(__xludf.DUMMYFUNCTION("""COMPUTED_VALUE"""),0.0087152777994496)</f>
        <v>8.7152777994496007E-3</v>
      </c>
      <c r="K11" s="18">
        <f ca="1">IFERROR(__xludf.DUMMYFUNCTION("""COMPUTED_VALUE"""),0.000636574593393587)</f>
        <v>6.3657459339358697E-4</v>
      </c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20"/>
      <c r="W11" s="20"/>
      <c r="X11" s="20"/>
      <c r="Y11" s="20"/>
      <c r="Z11" s="21"/>
      <c r="AA11" s="22"/>
      <c r="AB11" s="23"/>
    </row>
    <row r="12" spans="1:28" ht="13.5" customHeight="1" x14ac:dyDescent="0.35">
      <c r="A12" s="24">
        <f ca="1">IFERROR(__xludf.DUMMYFUNCTION("""COMPUTED_VALUE"""),11)</f>
        <v>11</v>
      </c>
      <c r="B12" s="25" t="str">
        <f ca="1">IFERROR(__xludf.DUMMYFUNCTION("""COMPUTED_VALUE"""),"167")</f>
        <v>167</v>
      </c>
      <c r="C12" s="26" t="str">
        <f ca="1">IFERROR(__xludf.DUMMYFUNCTION("""COMPUTED_VALUE"""),"DELOUX")</f>
        <v>DELOUX</v>
      </c>
      <c r="D12" s="27" t="str">
        <f ca="1">IFERROR(__xludf.DUMMYFUNCTION("""COMPUTED_VALUE"""),"ROBIN")</f>
        <v>ROBIN</v>
      </c>
      <c r="E12" s="15" t="str">
        <f ca="1">IFERROR(__xludf.DUMMYFUNCTION("""COMPUTED_VALUE"""),"SH4")</f>
        <v>SH4</v>
      </c>
      <c r="F12" s="51">
        <f ca="1">IFERROR(__xludf.DUMMYFUNCTION("""COMPUTED_VALUE"""),6)</f>
        <v>6</v>
      </c>
      <c r="G12" s="16">
        <f ca="1">IFERROR(__xludf.DUMMYFUNCTION("""COMPUTED_VALUE"""),0.0190393522484301)</f>
        <v>1.9039352248430098E-2</v>
      </c>
      <c r="H12" s="17">
        <f ca="1">IFERROR(__xludf.DUMMYFUNCTION("""COMPUTED_VALUE"""),0.00376157416315953)</f>
        <v>3.7615741631595299E-3</v>
      </c>
      <c r="I12" s="17">
        <f ca="1">IFERROR(__xludf.DUMMYFUNCTION("""COMPUTED_VALUE"""),0.00730324076624561)</f>
        <v>7.3032407662456103E-3</v>
      </c>
      <c r="J12" s="17">
        <f ca="1">IFERROR(__xludf.DUMMYFUNCTION("""COMPUTED_VALUE"""),0.0071990741441421)</f>
        <v>7.1990741441420999E-3</v>
      </c>
      <c r="K12" s="18">
        <f ca="1">IFERROR(__xludf.DUMMYFUNCTION("""COMPUTED_VALUE"""),0.000775463174882841)</f>
        <v>7.7546317488284095E-4</v>
      </c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20"/>
      <c r="W12" s="20"/>
      <c r="X12" s="20"/>
      <c r="Y12" s="20"/>
      <c r="Z12" s="21"/>
      <c r="AA12" s="22"/>
      <c r="AB12" s="23"/>
    </row>
    <row r="13" spans="1:28" ht="13.5" customHeight="1" x14ac:dyDescent="0.35">
      <c r="A13" s="24">
        <f ca="1">IFERROR(__xludf.DUMMYFUNCTION("""COMPUTED_VALUE"""),12)</f>
        <v>12</v>
      </c>
      <c r="B13" s="25" t="str">
        <f ca="1">IFERROR(__xludf.DUMMYFUNCTION("""COMPUTED_VALUE"""),"182")</f>
        <v>182</v>
      </c>
      <c r="C13" s="26" t="str">
        <f ca="1">IFERROR(__xludf.DUMMYFUNCTION("""COMPUTED_VALUE"""),"ELISA")</f>
        <v>ELISA</v>
      </c>
      <c r="D13" s="27" t="str">
        <f ca="1">IFERROR(__xludf.DUMMYFUNCTION("""COMPUTED_VALUE"""),"ANTOINE")</f>
        <v>ANTOINE</v>
      </c>
      <c r="E13" s="15" t="str">
        <f ca="1">IFERROR(__xludf.DUMMYFUNCTION("""COMPUTED_VALUE"""),"SH4")</f>
        <v>SH4</v>
      </c>
      <c r="F13" s="51">
        <f ca="1">IFERROR(__xludf.DUMMYFUNCTION("""COMPUTED_VALUE"""),7)</f>
        <v>7</v>
      </c>
      <c r="G13" s="16">
        <f ca="1">IFERROR(__xludf.DUMMYFUNCTION("""COMPUTED_VALUE"""),0.0192476855469243)</f>
        <v>1.9247685546924301E-2</v>
      </c>
      <c r="H13" s="17">
        <f ca="1">IFERROR(__xludf.DUMMYFUNCTION("""COMPUTED_VALUE"""),0.00304398149186836)</f>
        <v>3.0439814918683601E-3</v>
      </c>
      <c r="I13" s="17">
        <f ca="1">IFERROR(__xludf.DUMMYFUNCTION("""COMPUTED_VALUE"""),0.00708333340427998)</f>
        <v>7.08333340427998E-3</v>
      </c>
      <c r="J13" s="17">
        <f ca="1">IFERROR(__xludf.DUMMYFUNCTION("""COMPUTED_VALUE"""),0.00813657375436494)</f>
        <v>8.1365737543649397E-3</v>
      </c>
      <c r="K13" s="18">
        <f ca="1">IFERROR(__xludf.DUMMYFUNCTION("""COMPUTED_VALUE"""),0.0009837968964111)</f>
        <v>9.8379689641109997E-4</v>
      </c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20"/>
      <c r="W13" s="20"/>
      <c r="X13" s="20"/>
      <c r="Y13" s="20"/>
      <c r="Z13" s="21"/>
      <c r="AA13" s="22"/>
      <c r="AB13" s="23"/>
    </row>
    <row r="14" spans="1:28" ht="13.5" customHeight="1" x14ac:dyDescent="0.35">
      <c r="A14" s="24">
        <f ca="1">IFERROR(__xludf.DUMMYFUNCTION("""COMPUTED_VALUE"""),13)</f>
        <v>13</v>
      </c>
      <c r="B14" s="25" t="str">
        <f ca="1">IFERROR(__xludf.DUMMYFUNCTION("""COMPUTED_VALUE"""),"197")</f>
        <v>197</v>
      </c>
      <c r="C14" s="26" t="str">
        <f ca="1">IFERROR(__xludf.DUMMYFUNCTION("""COMPUTED_VALUE"""),"ARMAROLI")</f>
        <v>ARMAROLI</v>
      </c>
      <c r="D14" s="27" t="str">
        <f ca="1">IFERROR(__xludf.DUMMYFUNCTION("""COMPUTED_VALUE"""),"ENZO")</f>
        <v>ENZO</v>
      </c>
      <c r="E14" s="15" t="str">
        <f ca="1">IFERROR(__xludf.DUMMYFUNCTION("""COMPUTED_VALUE"""),"SH3")</f>
        <v>SH3</v>
      </c>
      <c r="F14" s="51">
        <f ca="1">IFERROR(__xludf.DUMMYFUNCTION("""COMPUTED_VALUE"""),5)</f>
        <v>5</v>
      </c>
      <c r="G14" s="16">
        <f ca="1">IFERROR(__xludf.DUMMYFUNCTION("""COMPUTED_VALUE"""),0.0192939824490357)</f>
        <v>1.9293982449035699E-2</v>
      </c>
      <c r="H14" s="17">
        <f ca="1">IFERROR(__xludf.DUMMYFUNCTION("""COMPUTED_VALUE"""),0.00334490751465911)</f>
        <v>3.3449075146591099E-3</v>
      </c>
      <c r="I14" s="17">
        <f ca="1">IFERROR(__xludf.DUMMYFUNCTION("""COMPUTED_VALUE"""),0.00725694455789344)</f>
        <v>7.2569445578934402E-3</v>
      </c>
      <c r="J14" s="17">
        <f ca="1">IFERROR(__xludf.DUMMYFUNCTION("""COMPUTED_VALUE"""),0.00758101935871354)</f>
        <v>7.5810193587135402E-3</v>
      </c>
      <c r="K14" s="18">
        <f ca="1">IFERROR(__xludf.DUMMYFUNCTION("""COMPUTED_VALUE"""),0.00111111101776966)</f>
        <v>1.11111101776966E-3</v>
      </c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20"/>
      <c r="W14" s="20"/>
      <c r="X14" s="20"/>
      <c r="Y14" s="20"/>
      <c r="Z14" s="21"/>
      <c r="AA14" s="22"/>
      <c r="AB14" s="23"/>
    </row>
    <row r="15" spans="1:28" ht="13.5" customHeight="1" x14ac:dyDescent="0.35">
      <c r="A15" s="24">
        <f ca="1">IFERROR(__xludf.DUMMYFUNCTION("""COMPUTED_VALUE"""),14)</f>
        <v>14</v>
      </c>
      <c r="B15" s="25" t="str">
        <f ca="1">IFERROR(__xludf.DUMMYFUNCTION("""COMPUTED_VALUE"""),"202")</f>
        <v>202</v>
      </c>
      <c r="C15" s="26" t="str">
        <f ca="1">IFERROR(__xludf.DUMMYFUNCTION("""COMPUTED_VALUE"""),"BOURCIER")</f>
        <v>BOURCIER</v>
      </c>
      <c r="D15" s="27" t="str">
        <f ca="1">IFERROR(__xludf.DUMMYFUNCTION("""COMPUTED_VALUE"""),"FLORIAN")</f>
        <v>FLORIAN</v>
      </c>
      <c r="E15" s="15" t="str">
        <f ca="1">IFERROR(__xludf.DUMMYFUNCTION("""COMPUTED_VALUE"""),"SH4")</f>
        <v>SH4</v>
      </c>
      <c r="F15" s="51">
        <f ca="1">IFERROR(__xludf.DUMMYFUNCTION("""COMPUTED_VALUE"""),8)</f>
        <v>8</v>
      </c>
      <c r="G15" s="16">
        <f ca="1">IFERROR(__xludf.DUMMYFUNCTION("""COMPUTED_VALUE"""),0.0195833334369873)</f>
        <v>1.9583333436987298E-2</v>
      </c>
      <c r="H15" s="17">
        <f ca="1">IFERROR(__xludf.DUMMYFUNCTION("""COMPUTED_VALUE"""),0.00317129637956081)</f>
        <v>3.17129637956081E-3</v>
      </c>
      <c r="I15" s="17">
        <f ca="1">IFERROR(__xludf.DUMMYFUNCTION("""COMPUTED_VALUE"""),0.00703703708448095)</f>
        <v>7.0370370844809503E-3</v>
      </c>
      <c r="J15" s="17">
        <f ca="1">IFERROR(__xludf.DUMMYFUNCTION("""COMPUTED_VALUE"""),0.00863425837645793)</f>
        <v>8.6342583764579296E-3</v>
      </c>
      <c r="K15" s="18">
        <f ca="1">IFERROR(__xludf.DUMMYFUNCTION("""COMPUTED_VALUE"""),0.000740741596487654)</f>
        <v>7.4074159648765403E-4</v>
      </c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20"/>
      <c r="W15" s="20"/>
      <c r="X15" s="20"/>
      <c r="Y15" s="20"/>
      <c r="Z15" s="21"/>
      <c r="AA15" s="22"/>
      <c r="AB15" s="23"/>
    </row>
    <row r="16" spans="1:28" ht="13.5" customHeight="1" x14ac:dyDescent="0.35">
      <c r="A16" s="24">
        <f ca="1">IFERROR(__xludf.DUMMYFUNCTION("""COMPUTED_VALUE"""),15)</f>
        <v>15</v>
      </c>
      <c r="B16" s="25" t="str">
        <f ca="1">IFERROR(__xludf.DUMMYFUNCTION("""COMPUTED_VALUE"""),"139")</f>
        <v>139</v>
      </c>
      <c r="C16" s="26" t="str">
        <f ca="1">IFERROR(__xludf.DUMMYFUNCTION("""COMPUTED_VALUE"""),"HADJI-LAZARO")</f>
        <v>HADJI-LAZARO</v>
      </c>
      <c r="D16" s="27" t="str">
        <f ca="1">IFERROR(__xludf.DUMMYFUNCTION("""COMPUTED_VALUE"""),"PAUL")</f>
        <v>PAUL</v>
      </c>
      <c r="E16" s="15" t="str">
        <f ca="1">IFERROR(__xludf.DUMMYFUNCTION("""COMPUTED_VALUE"""),"SH3")</f>
        <v>SH3</v>
      </c>
      <c r="F16" s="51">
        <f ca="1">IFERROR(__xludf.DUMMYFUNCTION("""COMPUTED_VALUE"""),6)</f>
        <v>6</v>
      </c>
      <c r="G16" s="16">
        <f ca="1">IFERROR(__xludf.DUMMYFUNCTION("""COMPUTED_VALUE"""),0.0200347227825687)</f>
        <v>2.0034722782568699E-2</v>
      </c>
      <c r="H16" s="17">
        <f ca="1">IFERROR(__xludf.DUMMYFUNCTION("""COMPUTED_VALUE"""),0.00358796296777963)</f>
        <v>3.58796296777963E-3</v>
      </c>
      <c r="I16" s="17">
        <f ca="1">IFERROR(__xludf.DUMMYFUNCTION("""COMPUTED_VALUE"""),0.00701388897468923)</f>
        <v>7.0138889746892297E-3</v>
      </c>
      <c r="J16" s="17">
        <f ca="1">IFERROR(__xludf.DUMMYFUNCTION("""COMPUTED_VALUE"""),0.00778935155659116)</f>
        <v>7.7893515565911602E-3</v>
      </c>
      <c r="K16" s="18">
        <f ca="1">IFERROR(__xludf.DUMMYFUNCTION("""COMPUTED_VALUE"""),0.00164351928350873)</f>
        <v>1.6435192835087299E-3</v>
      </c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20"/>
      <c r="W16" s="20"/>
      <c r="X16" s="20"/>
      <c r="Y16" s="20"/>
      <c r="Z16" s="21"/>
      <c r="AA16" s="22"/>
      <c r="AB16" s="23"/>
    </row>
    <row r="17" spans="1:28" ht="13.5" customHeight="1" x14ac:dyDescent="0.35">
      <c r="A17" s="24">
        <f ca="1">IFERROR(__xludf.DUMMYFUNCTION("""COMPUTED_VALUE"""),16)</f>
        <v>16</v>
      </c>
      <c r="B17" s="25" t="str">
        <f ca="1">IFERROR(__xludf.DUMMYFUNCTION("""COMPUTED_VALUE"""),"97")</f>
        <v>97</v>
      </c>
      <c r="C17" s="26" t="str">
        <f ca="1">IFERROR(__xludf.DUMMYFUNCTION("""COMPUTED_VALUE"""),"MARLER")</f>
        <v>MARLER</v>
      </c>
      <c r="D17" s="27" t="str">
        <f ca="1">IFERROR(__xludf.DUMMYFUNCTION("""COMPUTED_VALUE"""),"CODY")</f>
        <v>CODY</v>
      </c>
      <c r="E17" s="15" t="str">
        <f ca="1">IFERROR(__xludf.DUMMYFUNCTION("""COMPUTED_VALUE"""),"SH4")</f>
        <v>SH4</v>
      </c>
      <c r="F17" s="51">
        <f ca="1">IFERROR(__xludf.DUMMYFUNCTION("""COMPUTED_VALUE"""),9)</f>
        <v>9</v>
      </c>
      <c r="G17" s="16">
        <f ca="1">IFERROR(__xludf.DUMMYFUNCTION("""COMPUTED_VALUE"""),0.0201041674556093)</f>
        <v>2.0104167455609299E-2</v>
      </c>
      <c r="H17" s="17">
        <f ca="1">IFERROR(__xludf.DUMMYFUNCTION("""COMPUTED_VALUE"""),0.00344907411557872)</f>
        <v>3.4490741155787201E-3</v>
      </c>
      <c r="I17" s="17">
        <f ca="1">IFERROR(__xludf.DUMMYFUNCTION("""COMPUTED_VALUE"""),0.00708333344793949)</f>
        <v>7.08333344793949E-3</v>
      </c>
      <c r="J17" s="17">
        <f ca="1">IFERROR(__xludf.DUMMYFUNCTION("""COMPUTED_VALUE"""),0.00868055581401085)</f>
        <v>8.6805558140108496E-3</v>
      </c>
      <c r="K17" s="18">
        <f ca="1">IFERROR(__xludf.DUMMYFUNCTION("""COMPUTED_VALUE"""),0.000891204078080296)</f>
        <v>8.9120407808029596E-4</v>
      </c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20"/>
      <c r="W17" s="20"/>
      <c r="X17" s="20"/>
      <c r="Y17" s="20"/>
      <c r="Z17" s="21"/>
      <c r="AA17" s="22"/>
      <c r="AB17" s="23"/>
    </row>
    <row r="18" spans="1:28" ht="13.5" customHeight="1" x14ac:dyDescent="0.35">
      <c r="A18" s="24">
        <f ca="1">IFERROR(__xludf.DUMMYFUNCTION("""COMPUTED_VALUE"""),17)</f>
        <v>17</v>
      </c>
      <c r="B18" s="25" t="str">
        <f ca="1">IFERROR(__xludf.DUMMYFUNCTION("""COMPUTED_VALUE"""),"154")</f>
        <v>154</v>
      </c>
      <c r="C18" s="26" t="str">
        <f ca="1">IFERROR(__xludf.DUMMYFUNCTION("""COMPUTED_VALUE"""),"GONZALEZ DE CABO")</f>
        <v>GONZALEZ DE CABO</v>
      </c>
      <c r="D18" s="27" t="str">
        <f ca="1">IFERROR(__xludf.DUMMYFUNCTION("""COMPUTED_VALUE"""),"DAVID")</f>
        <v>DAVID</v>
      </c>
      <c r="E18" s="15" t="str">
        <f ca="1">IFERROR(__xludf.DUMMYFUNCTION("""COMPUTED_VALUE"""),"SH4")</f>
        <v>SH4</v>
      </c>
      <c r="F18" s="51">
        <f ca="1">IFERROR(__xludf.DUMMYFUNCTION("""COMPUTED_VALUE"""),10)</f>
        <v>10</v>
      </c>
      <c r="G18" s="16">
        <f ca="1">IFERROR(__xludf.DUMMYFUNCTION("""COMPUTED_VALUE"""),0.0202199081939596)</f>
        <v>2.02199081939596E-2</v>
      </c>
      <c r="H18" s="17">
        <f ca="1">IFERROR(__xludf.DUMMYFUNCTION("""COMPUTED_VALUE"""),0.00408564823360484)</f>
        <v>4.0856482336048402E-3</v>
      </c>
      <c r="I18" s="17">
        <f ca="1">IFERROR(__xludf.DUMMYFUNCTION("""COMPUTED_VALUE"""),0.00710648155847223)</f>
        <v>7.1064815584722298E-3</v>
      </c>
      <c r="J18" s="17">
        <f ca="1">IFERROR(__xludf.DUMMYFUNCTION("""COMPUTED_VALUE"""),0.00796296302363093)</f>
        <v>7.9629630236309305E-3</v>
      </c>
      <c r="K18" s="18">
        <f ca="1">IFERROR(__xludf.DUMMYFUNCTION("""COMPUTED_VALUE"""),0.00106481537825165)</f>
        <v>1.06481537825165E-3</v>
      </c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20"/>
      <c r="W18" s="20"/>
      <c r="X18" s="20"/>
      <c r="Y18" s="20"/>
      <c r="Z18" s="21"/>
      <c r="AA18" s="22"/>
      <c r="AB18" s="23"/>
    </row>
    <row r="19" spans="1:28" ht="13.5" customHeight="1" x14ac:dyDescent="0.35">
      <c r="A19" s="24">
        <f ca="1">IFERROR(__xludf.DUMMYFUNCTION("""COMPUTED_VALUE"""),18)</f>
        <v>18</v>
      </c>
      <c r="B19" s="25" t="str">
        <f ca="1">IFERROR(__xludf.DUMMYFUNCTION("""COMPUTED_VALUE"""),"229")</f>
        <v>229</v>
      </c>
      <c r="C19" s="26" t="str">
        <f ca="1">IFERROR(__xludf.DUMMYFUNCTION("""COMPUTED_VALUE"""),"FARINOLE")</f>
        <v>FARINOLE</v>
      </c>
      <c r="D19" s="27" t="str">
        <f ca="1">IFERROR(__xludf.DUMMYFUNCTION("""COMPUTED_VALUE"""),"BENOÎT")</f>
        <v>BENOÎT</v>
      </c>
      <c r="E19" s="15" t="str">
        <f ca="1">IFERROR(__xludf.DUMMYFUNCTION("""COMPUTED_VALUE"""),"SH4")</f>
        <v>SH4</v>
      </c>
      <c r="F19" s="51">
        <f ca="1">IFERROR(__xludf.DUMMYFUNCTION("""COMPUTED_VALUE"""),11)</f>
        <v>11</v>
      </c>
      <c r="G19" s="16">
        <f ca="1">IFERROR(__xludf.DUMMYFUNCTION("""COMPUTED_VALUE"""),0.0206828710560091)</f>
        <v>2.0682871056009099E-2</v>
      </c>
      <c r="H19" s="17">
        <f ca="1">IFERROR(__xludf.DUMMYFUNCTION("""COMPUTED_VALUE"""),0.00271990748197771)</f>
        <v>2.7199074819777101E-3</v>
      </c>
      <c r="I19" s="17">
        <f ca="1">IFERROR(__xludf.DUMMYFUNCTION("""COMPUTED_VALUE"""),0.00813657417417897)</f>
        <v>8.1365741741789704E-3</v>
      </c>
      <c r="J19" s="17">
        <f ca="1">IFERROR(__xludf.DUMMYFUNCTION("""COMPUTED_VALUE"""),0.00902777825553112)</f>
        <v>9.0277782555311208E-3</v>
      </c>
      <c r="K19" s="18">
        <f ca="1">IFERROR(__xludf.DUMMYFUNCTION("""COMPUTED_VALUE"""),0.000798611144321372)</f>
        <v>7.9861114432137198E-4</v>
      </c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20"/>
      <c r="W19" s="20"/>
      <c r="X19" s="20"/>
      <c r="Y19" s="20"/>
      <c r="Z19" s="21"/>
      <c r="AA19" s="22"/>
      <c r="AB19" s="23"/>
    </row>
    <row r="20" spans="1:28" ht="13.5" customHeight="1" x14ac:dyDescent="0.35">
      <c r="A20" s="24">
        <f ca="1">IFERROR(__xludf.DUMMYFUNCTION("""COMPUTED_VALUE"""),19)</f>
        <v>19</v>
      </c>
      <c r="B20" s="25" t="str">
        <f ca="1">IFERROR(__xludf.DUMMYFUNCTION("""COMPUTED_VALUE"""),"73")</f>
        <v>73</v>
      </c>
      <c r="C20" s="26" t="str">
        <f ca="1">IFERROR(__xludf.DUMMYFUNCTION("""COMPUTED_VALUE"""),"DEFFONTAINES")</f>
        <v>DEFFONTAINES</v>
      </c>
      <c r="D20" s="27" t="str">
        <f ca="1">IFERROR(__xludf.DUMMYFUNCTION("""COMPUTED_VALUE"""),"GWENVEL")</f>
        <v>GWENVEL</v>
      </c>
      <c r="E20" s="15" t="str">
        <f ca="1">IFERROR(__xludf.DUMMYFUNCTION("""COMPUTED_VALUE"""),"SH3")</f>
        <v>SH3</v>
      </c>
      <c r="F20" s="51">
        <f ca="1">IFERROR(__xludf.DUMMYFUNCTION("""COMPUTED_VALUE"""),7)</f>
        <v>7</v>
      </c>
      <c r="G20" s="16">
        <f ca="1">IFERROR(__xludf.DUMMYFUNCTION("""COMPUTED_VALUE"""),0.0207754630349952)</f>
        <v>2.0775463034995199E-2</v>
      </c>
      <c r="H20" s="17">
        <f ca="1">IFERROR(__xludf.DUMMYFUNCTION("""COMPUTED_VALUE"""),0.00379629639779557)</f>
        <v>3.7962963977955701E-3</v>
      </c>
      <c r="I20" s="17">
        <f ca="1">IFERROR(__xludf.DUMMYFUNCTION("""COMPUTED_VALUE"""),0.00706018524312585)</f>
        <v>7.0601852431258503E-3</v>
      </c>
      <c r="J20" s="17">
        <f ca="1">IFERROR(__xludf.DUMMYFUNCTION("""COMPUTED_VALUE"""),0.0086226851788846)</f>
        <v>8.6226851788845996E-3</v>
      </c>
      <c r="K20" s="18">
        <f ca="1">IFERROR(__xludf.DUMMYFUNCTION("""COMPUTED_VALUE"""),0.00129629621518917)</f>
        <v>1.29629621518917E-3</v>
      </c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20"/>
      <c r="W20" s="20"/>
      <c r="X20" s="20"/>
      <c r="Y20" s="20"/>
      <c r="Z20" s="21"/>
      <c r="AA20" s="22"/>
      <c r="AB20" s="23"/>
    </row>
    <row r="21" spans="1:28" ht="13.5" customHeight="1" x14ac:dyDescent="0.35">
      <c r="A21" s="24">
        <f ca="1">IFERROR(__xludf.DUMMYFUNCTION("""COMPUTED_VALUE"""),20)</f>
        <v>20</v>
      </c>
      <c r="B21" s="25" t="str">
        <f ca="1">IFERROR(__xludf.DUMMYFUNCTION("""COMPUTED_VALUE"""),"146")</f>
        <v>146</v>
      </c>
      <c r="C21" s="26" t="str">
        <f ca="1">IFERROR(__xludf.DUMMYFUNCTION("""COMPUTED_VALUE"""),"POUTOUT")</f>
        <v>POUTOUT</v>
      </c>
      <c r="D21" s="27" t="str">
        <f ca="1">IFERROR(__xludf.DUMMYFUNCTION("""COMPUTED_VALUE"""),"ROMAIN")</f>
        <v>ROMAIN</v>
      </c>
      <c r="E21" s="15" t="str">
        <f ca="1">IFERROR(__xludf.DUMMYFUNCTION("""COMPUTED_VALUE"""),"SH4")</f>
        <v>SH4</v>
      </c>
      <c r="F21" s="51">
        <f ca="1">IFERROR(__xludf.DUMMYFUNCTION("""COMPUTED_VALUE"""),12)</f>
        <v>12</v>
      </c>
      <c r="G21" s="16">
        <f ca="1">IFERROR(__xludf.DUMMYFUNCTION("""COMPUTED_VALUE"""),0.0208912038684347)</f>
        <v>2.08912038684347E-2</v>
      </c>
      <c r="H21" s="17">
        <f ca="1">IFERROR(__xludf.DUMMYFUNCTION("""COMPUTED_VALUE"""),0.00401620370678365)</f>
        <v>4.0162037067836501E-3</v>
      </c>
      <c r="I21" s="17">
        <f ca="1">IFERROR(__xludf.DUMMYFUNCTION("""COMPUTED_VALUE"""),0.00730324076472597)</f>
        <v>7.30324076472597E-3</v>
      </c>
      <c r="J21" s="17">
        <f ca="1">IFERROR(__xludf.DUMMYFUNCTION("""COMPUTED_VALUE"""),0.00884259218143364)</f>
        <v>8.8425921814336405E-3</v>
      </c>
      <c r="K21" s="18">
        <f ca="1">IFERROR(__xludf.DUMMYFUNCTION("""COMPUTED_VALUE"""),0.000729167215491502)</f>
        <v>7.29167215491502E-4</v>
      </c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20"/>
      <c r="W21" s="20"/>
      <c r="X21" s="20"/>
      <c r="Y21" s="20"/>
      <c r="Z21" s="21"/>
      <c r="AA21" s="22"/>
      <c r="AB21" s="23"/>
    </row>
    <row r="22" spans="1:28" ht="13.5" customHeight="1" x14ac:dyDescent="0.35">
      <c r="A22" s="24">
        <f ca="1">IFERROR(__xludf.DUMMYFUNCTION("""COMPUTED_VALUE"""),21)</f>
        <v>21</v>
      </c>
      <c r="B22" s="25" t="str">
        <f ca="1">IFERROR(__xludf.DUMMYFUNCTION("""COMPUTED_VALUE"""),"75")</f>
        <v>75</v>
      </c>
      <c r="C22" s="26" t="str">
        <f ca="1">IFERROR(__xludf.DUMMYFUNCTION("""COMPUTED_VALUE"""),"EL AZDI")</f>
        <v>EL AZDI</v>
      </c>
      <c r="D22" s="27" t="str">
        <f ca="1">IFERROR(__xludf.DUMMYFUNCTION("""COMPUTED_VALUE"""),"ABDELKRIM")</f>
        <v>ABDELKRIM</v>
      </c>
      <c r="E22" s="15" t="str">
        <f ca="1">IFERROR(__xludf.DUMMYFUNCTION("""COMPUTED_VALUE"""),"SH4")</f>
        <v>SH4</v>
      </c>
      <c r="F22" s="51">
        <f ca="1">IFERROR(__xludf.DUMMYFUNCTION("""COMPUTED_VALUE"""),13)</f>
        <v>13</v>
      </c>
      <c r="G22" s="16">
        <f ca="1">IFERROR(__xludf.DUMMYFUNCTION("""COMPUTED_VALUE"""),0.0210879637257803)</f>
        <v>2.1087963725780302E-2</v>
      </c>
      <c r="H22" s="17">
        <f ca="1">IFERROR(__xludf.DUMMYFUNCTION("""COMPUTED_VALUE"""),0.00445601854586972)</f>
        <v>4.45601854586972E-3</v>
      </c>
      <c r="I22" s="17">
        <f ca="1">IFERROR(__xludf.DUMMYFUNCTION("""COMPUTED_VALUE"""),0.00714120371349308)</f>
        <v>7.1412037134930802E-3</v>
      </c>
      <c r="J22" s="17">
        <f ca="1">IFERROR(__xludf.DUMMYFUNCTION("""COMPUTED_VALUE"""),0.00810185226046154)</f>
        <v>8.1018522604615392E-3</v>
      </c>
      <c r="K22" s="18">
        <f ca="1">IFERROR(__xludf.DUMMYFUNCTION("""COMPUTED_VALUE"""),0.00138888920595604)</f>
        <v>1.3888892059560399E-3</v>
      </c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20"/>
      <c r="W22" s="20"/>
      <c r="X22" s="20"/>
      <c r="Y22" s="20"/>
      <c r="Z22" s="21"/>
      <c r="AA22" s="22"/>
      <c r="AB22" s="23"/>
    </row>
    <row r="23" spans="1:28" ht="13.5" customHeight="1" x14ac:dyDescent="0.35">
      <c r="A23" s="24">
        <f ca="1">IFERROR(__xludf.DUMMYFUNCTION("""COMPUTED_VALUE"""),22)</f>
        <v>22</v>
      </c>
      <c r="B23" s="25" t="str">
        <f ca="1">IFERROR(__xludf.DUMMYFUNCTION("""COMPUTED_VALUE"""),"14")</f>
        <v>14</v>
      </c>
      <c r="C23" s="26" t="str">
        <f ca="1">IFERROR(__xludf.DUMMYFUNCTION("""COMPUTED_VALUE"""),"CHICAUD")</f>
        <v>CHICAUD</v>
      </c>
      <c r="D23" s="27" t="str">
        <f ca="1">IFERROR(__xludf.DUMMYFUNCTION("""COMPUTED_VALUE"""),"MATTHIEU")</f>
        <v>MATTHIEU</v>
      </c>
      <c r="E23" s="15" t="str">
        <f ca="1">IFERROR(__xludf.DUMMYFUNCTION("""COMPUTED_VALUE"""),"SH3")</f>
        <v>SH3</v>
      </c>
      <c r="F23" s="51">
        <f ca="1">IFERROR(__xludf.DUMMYFUNCTION("""COMPUTED_VALUE"""),8)</f>
        <v>8</v>
      </c>
      <c r="G23" s="16">
        <f ca="1">IFERROR(__xludf.DUMMYFUNCTION("""COMPUTED_VALUE"""),0.0212268522108848)</f>
        <v>2.12268522108848E-2</v>
      </c>
      <c r="H23" s="17">
        <f ca="1">IFERROR(__xludf.DUMMYFUNCTION("""COMPUTED_VALUE"""),0.00506944453554067)</f>
        <v>5.0694445355406702E-3</v>
      </c>
      <c r="I23" s="17">
        <f ca="1">IFERROR(__xludf.DUMMYFUNCTION("""COMPUTED_VALUE"""),0.00677083334256344)</f>
        <v>6.7708333425634398E-3</v>
      </c>
      <c r="J23" s="17">
        <f ca="1">IFERROR(__xludf.DUMMYFUNCTION("""COMPUTED_VALUE"""),0.00809027794776645)</f>
        <v>8.0902779477664503E-3</v>
      </c>
      <c r="K23" s="18">
        <f ca="1">IFERROR(__xludf.DUMMYFUNCTION("""COMPUTED_VALUE"""),0.00129629638501423)</f>
        <v>1.2962963850142301E-3</v>
      </c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20"/>
      <c r="W23" s="20"/>
      <c r="X23" s="20"/>
      <c r="Y23" s="20"/>
      <c r="Z23" s="21"/>
      <c r="AA23" s="22"/>
      <c r="AB23" s="23"/>
    </row>
    <row r="24" spans="1:28" ht="13.5" customHeight="1" x14ac:dyDescent="0.35">
      <c r="A24" s="24">
        <f ca="1">IFERROR(__xludf.DUMMYFUNCTION("""COMPUTED_VALUE"""),23)</f>
        <v>23</v>
      </c>
      <c r="B24" s="25" t="str">
        <f ca="1">IFERROR(__xludf.DUMMYFUNCTION("""COMPUTED_VALUE"""),"173")</f>
        <v>173</v>
      </c>
      <c r="C24" s="26" t="str">
        <f ca="1">IFERROR(__xludf.DUMMYFUNCTION("""COMPUTED_VALUE"""),"ROUSSEAU MALABRY")</f>
        <v>ROUSSEAU MALABRY</v>
      </c>
      <c r="D24" s="27" t="str">
        <f ca="1">IFERROR(__xludf.DUMMYFUNCTION("""COMPUTED_VALUE"""),"THOMAS")</f>
        <v>THOMAS</v>
      </c>
      <c r="E24" s="15" t="str">
        <f ca="1">IFERROR(__xludf.DUMMYFUNCTION("""COMPUTED_VALUE"""),"SH4")</f>
        <v>SH4</v>
      </c>
      <c r="F24" s="51">
        <f ca="1">IFERROR(__xludf.DUMMYFUNCTION("""COMPUTED_VALUE"""),14)</f>
        <v>14</v>
      </c>
      <c r="G24" s="16">
        <f ca="1">IFERROR(__xludf.DUMMYFUNCTION("""COMPUTED_VALUE"""),0.0213310193790255)</f>
        <v>2.1331019379025502E-2</v>
      </c>
      <c r="H24" s="17">
        <f ca="1">IFERROR(__xludf.DUMMYFUNCTION("""COMPUTED_VALUE"""),0.00431712963298165)</f>
        <v>4.31712963298165E-3</v>
      </c>
      <c r="I24" s="17">
        <f ca="1">IFERROR(__xludf.DUMMYFUNCTION("""COMPUTED_VALUE"""),0.00813657412948121)</f>
        <v>8.1365741294812093E-3</v>
      </c>
      <c r="J24" s="17">
        <f ca="1">IFERROR(__xludf.DUMMYFUNCTION("""COMPUTED_VALUE"""),0.00824074126612638)</f>
        <v>8.2407412661263807E-3</v>
      </c>
      <c r="K24" s="18">
        <f ca="1">IFERROR(__xludf.DUMMYFUNCTION("""COMPUTED_VALUE"""),0.000636574350436318)</f>
        <v>6.3657435043631798E-4</v>
      </c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20"/>
      <c r="W24" s="20"/>
      <c r="X24" s="20"/>
      <c r="Y24" s="20"/>
      <c r="Z24" s="21"/>
      <c r="AA24" s="22"/>
      <c r="AB24" s="23"/>
    </row>
    <row r="25" spans="1:28" ht="13.5" customHeight="1" x14ac:dyDescent="0.35">
      <c r="A25" s="24">
        <f ca="1">IFERROR(__xludf.DUMMYFUNCTION("""COMPUTED_VALUE"""),24)</f>
        <v>24</v>
      </c>
      <c r="B25" s="25" t="str">
        <f ca="1">IFERROR(__xludf.DUMMYFUNCTION("""COMPUTED_VALUE"""),"157")</f>
        <v>157</v>
      </c>
      <c r="C25" s="26" t="str">
        <f ca="1">IFERROR(__xludf.DUMMYFUNCTION("""COMPUTED_VALUE"""),"AZEMA")</f>
        <v>AZEMA</v>
      </c>
      <c r="D25" s="27" t="str">
        <f ca="1">IFERROR(__xludf.DUMMYFUNCTION("""COMPUTED_VALUE"""),"BAPTISTE")</f>
        <v>BAPTISTE</v>
      </c>
      <c r="E25" s="15" t="str">
        <f ca="1">IFERROR(__xludf.DUMMYFUNCTION("""COMPUTED_VALUE"""),"SH3")</f>
        <v>SH3</v>
      </c>
      <c r="F25" s="51">
        <f ca="1">IFERROR(__xludf.DUMMYFUNCTION("""COMPUTED_VALUE"""),9)</f>
        <v>9</v>
      </c>
      <c r="G25" s="16">
        <f ca="1">IFERROR(__xludf.DUMMYFUNCTION("""COMPUTED_VALUE"""),0.0214930566060375)</f>
        <v>2.1493056606037501E-2</v>
      </c>
      <c r="H25" s="17">
        <f ca="1">IFERROR(__xludf.DUMMYFUNCTION("""COMPUTED_VALUE"""),0.00406250010654615)</f>
        <v>4.0625001065461496E-3</v>
      </c>
      <c r="I25" s="17">
        <f ca="1">IFERROR(__xludf.DUMMYFUNCTION("""COMPUTED_VALUE"""),0.00729166675728389)</f>
        <v>7.2916667572838897E-3</v>
      </c>
      <c r="J25" s="17">
        <f ca="1">IFERROR(__xludf.DUMMYFUNCTION("""COMPUTED_VALUE"""),0.00846064830775135)</f>
        <v>8.4606483077513499E-3</v>
      </c>
      <c r="K25" s="18">
        <f ca="1">IFERROR(__xludf.DUMMYFUNCTION("""COMPUTED_VALUE"""),0.00167824143445617)</f>
        <v>1.6782414344561701E-3</v>
      </c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20"/>
      <c r="W25" s="20"/>
      <c r="X25" s="20"/>
      <c r="Y25" s="20"/>
      <c r="Z25" s="21"/>
      <c r="AA25" s="22"/>
      <c r="AB25" s="23"/>
    </row>
    <row r="26" spans="1:28" ht="13.5" customHeight="1" x14ac:dyDescent="0.35">
      <c r="A26" s="24">
        <f ca="1">IFERROR(__xludf.DUMMYFUNCTION("""COMPUTED_VALUE"""),25)</f>
        <v>25</v>
      </c>
      <c r="B26" s="25" t="str">
        <f ca="1">IFERROR(__xludf.DUMMYFUNCTION("""COMPUTED_VALUE"""),"76")</f>
        <v>76</v>
      </c>
      <c r="C26" s="26" t="str">
        <f ca="1">IFERROR(__xludf.DUMMYFUNCTION("""COMPUTED_VALUE"""),"BÜSCHER")</f>
        <v>BÜSCHER</v>
      </c>
      <c r="D26" s="27" t="str">
        <f ca="1">IFERROR(__xludf.DUMMYFUNCTION("""COMPUTED_VALUE"""),"JAN")</f>
        <v>JAN</v>
      </c>
      <c r="E26" s="15" t="str">
        <f ca="1">IFERROR(__xludf.DUMMYFUNCTION("""COMPUTED_VALUE"""),"SH4")</f>
        <v>SH4</v>
      </c>
      <c r="F26" s="51">
        <f ca="1">IFERROR(__xludf.DUMMYFUNCTION("""COMPUTED_VALUE"""),15)</f>
        <v>15</v>
      </c>
      <c r="G26" s="16">
        <f ca="1">IFERROR(__xludf.DUMMYFUNCTION("""COMPUTED_VALUE"""),0.0215277782450655)</f>
        <v>2.15277782450655E-2</v>
      </c>
      <c r="H26" s="17">
        <f ca="1">IFERROR(__xludf.DUMMYFUNCTION("""COMPUTED_VALUE"""),0.00438657413543844)</f>
        <v>4.3865741354384398E-3</v>
      </c>
      <c r="I26" s="17">
        <f ca="1">IFERROR(__xludf.DUMMYFUNCTION("""COMPUTED_VALUE"""),0.00703703705378049)</f>
        <v>7.0370370537804899E-3</v>
      </c>
      <c r="J26" s="17">
        <f ca="1">IFERROR(__xludf.DUMMYFUNCTION("""COMPUTED_VALUE"""),0.00864583286690498)</f>
        <v>8.6458328669049792E-3</v>
      </c>
      <c r="K26" s="18">
        <f ca="1">IFERROR(__xludf.DUMMYFUNCTION("""COMPUTED_VALUE"""),0.00145833418894165)</f>
        <v>1.45833418894165E-3</v>
      </c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20"/>
      <c r="W26" s="20"/>
      <c r="X26" s="20"/>
      <c r="Y26" s="20"/>
      <c r="Z26" s="21"/>
      <c r="AA26" s="22"/>
      <c r="AB26" s="23"/>
    </row>
    <row r="27" spans="1:28" ht="13.5" customHeight="1" x14ac:dyDescent="0.35">
      <c r="A27" s="24">
        <f ca="1">IFERROR(__xludf.DUMMYFUNCTION("""COMPUTED_VALUE"""),26)</f>
        <v>26</v>
      </c>
      <c r="B27" s="25" t="str">
        <f ca="1">IFERROR(__xludf.DUMMYFUNCTION("""COMPUTED_VALUE"""),"113")</f>
        <v>113</v>
      </c>
      <c r="C27" s="26" t="str">
        <f ca="1">IFERROR(__xludf.DUMMYFUNCTION("""COMPUTED_VALUE"""),"GAUER")</f>
        <v>GAUER</v>
      </c>
      <c r="D27" s="27" t="str">
        <f ca="1">IFERROR(__xludf.DUMMYFUNCTION("""COMPUTED_VALUE"""),"MATHIEU")</f>
        <v>MATHIEU</v>
      </c>
      <c r="E27" s="15" t="str">
        <f ca="1">IFERROR(__xludf.DUMMYFUNCTION("""COMPUTED_VALUE"""),"SH3")</f>
        <v>SH3</v>
      </c>
      <c r="F27" s="51">
        <f ca="1">IFERROR(__xludf.DUMMYFUNCTION("""COMPUTED_VALUE"""),10)</f>
        <v>10</v>
      </c>
      <c r="G27" s="16">
        <f ca="1">IFERROR(__xludf.DUMMYFUNCTION("""COMPUTED_VALUE"""),0.0220601852528502)</f>
        <v>2.2060185252850199E-2</v>
      </c>
      <c r="H27" s="17">
        <f ca="1">IFERROR(__xludf.DUMMYFUNCTION("""COMPUTED_VALUE"""),0.00479166675852764)</f>
        <v>4.79166675852764E-3</v>
      </c>
      <c r="I27" s="17">
        <f ca="1">IFERROR(__xludf.DUMMYFUNCTION("""COMPUTED_VALUE"""),0.00707175931817167)</f>
        <v>7.0717593181716699E-3</v>
      </c>
      <c r="J27" s="17">
        <f ca="1">IFERROR(__xludf.DUMMYFUNCTION("""COMPUTED_VALUE"""),0.00810185157479004)</f>
        <v>8.1018515747900404E-3</v>
      </c>
      <c r="K27" s="18">
        <f ca="1">IFERROR(__xludf.DUMMYFUNCTION("""COMPUTED_VALUE"""),0.00209490760136084)</f>
        <v>2.09490760136084E-3</v>
      </c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20"/>
      <c r="W27" s="20"/>
      <c r="X27" s="20"/>
      <c r="Y27" s="20"/>
      <c r="Z27" s="21"/>
      <c r="AA27" s="22"/>
      <c r="AB27" s="23"/>
    </row>
    <row r="28" spans="1:28" ht="13.5" customHeight="1" x14ac:dyDescent="0.35">
      <c r="A28" s="24">
        <f ca="1">IFERROR(__xludf.DUMMYFUNCTION("""COMPUTED_VALUE"""),27)</f>
        <v>27</v>
      </c>
      <c r="B28" s="25" t="str">
        <f ca="1">IFERROR(__xludf.DUMMYFUNCTION("""COMPUTED_VALUE"""),"172")</f>
        <v>172</v>
      </c>
      <c r="C28" s="26" t="str">
        <f ca="1">IFERROR(__xludf.DUMMYFUNCTION("""COMPUTED_VALUE"""),"PARES")</f>
        <v>PARES</v>
      </c>
      <c r="D28" s="27" t="str">
        <f ca="1">IFERROR(__xludf.DUMMYFUNCTION("""COMPUTED_VALUE"""),"QUENTIN")</f>
        <v>QUENTIN</v>
      </c>
      <c r="E28" s="15" t="str">
        <f ca="1">IFERROR(__xludf.DUMMYFUNCTION("""COMPUTED_VALUE"""),"SH3")</f>
        <v>SH3</v>
      </c>
      <c r="F28" s="51">
        <f ca="1">IFERROR(__xludf.DUMMYFUNCTION("""COMPUTED_VALUE"""),11)</f>
        <v>11</v>
      </c>
      <c r="G28" s="16">
        <f ca="1">IFERROR(__xludf.DUMMYFUNCTION("""COMPUTED_VALUE"""),0.022094907775339)</f>
        <v>2.2094907775338998E-2</v>
      </c>
      <c r="H28" s="17">
        <f ca="1">IFERROR(__xludf.DUMMYFUNCTION("""COMPUTED_VALUE"""),0.00422453711291107)</f>
        <v>4.2245371129110698E-3</v>
      </c>
      <c r="I28" s="17">
        <f ca="1">IFERROR(__xludf.DUMMYFUNCTION("""COMPUTED_VALUE"""),0.00953703714786649)</f>
        <v>9.5370371478664898E-3</v>
      </c>
      <c r="J28" s="17">
        <f ca="1">IFERROR(__xludf.DUMMYFUNCTION("""COMPUTED_VALUE"""),0.0071759256177077)</f>
        <v>7.1759256177076998E-3</v>
      </c>
      <c r="K28" s="18">
        <f ca="1">IFERROR(__xludf.DUMMYFUNCTION("""COMPUTED_VALUE"""),0.00115740789685376)</f>
        <v>1.1574078968537599E-3</v>
      </c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20"/>
      <c r="W28" s="20"/>
      <c r="X28" s="20"/>
      <c r="Y28" s="20"/>
      <c r="Z28" s="21"/>
      <c r="AA28" s="22"/>
      <c r="AB28" s="23"/>
    </row>
    <row r="29" spans="1:28" ht="13.5" customHeight="1" x14ac:dyDescent="0.35">
      <c r="A29" s="24">
        <f ca="1">IFERROR(__xludf.DUMMYFUNCTION("""COMPUTED_VALUE"""),28)</f>
        <v>28</v>
      </c>
      <c r="B29" s="25" t="str">
        <f ca="1">IFERROR(__xludf.DUMMYFUNCTION("""COMPUTED_VALUE"""),"15")</f>
        <v>15</v>
      </c>
      <c r="C29" s="26" t="str">
        <f ca="1">IFERROR(__xludf.DUMMYFUNCTION("""COMPUTED_VALUE"""),"JACOB")</f>
        <v>JACOB</v>
      </c>
      <c r="D29" s="27" t="str">
        <f ca="1">IFERROR(__xludf.DUMMYFUNCTION("""COMPUTED_VALUE"""),"RENAUD")</f>
        <v>RENAUD</v>
      </c>
      <c r="E29" s="15" t="str">
        <f ca="1">IFERROR(__xludf.DUMMYFUNCTION("""COMPUTED_VALUE"""),"SH4")</f>
        <v>SH4</v>
      </c>
      <c r="F29" s="51">
        <f ca="1">IFERROR(__xludf.DUMMYFUNCTION("""COMPUTED_VALUE"""),16)</f>
        <v>16</v>
      </c>
      <c r="G29" s="16">
        <f ca="1">IFERROR(__xludf.DUMMYFUNCTION("""COMPUTED_VALUE"""),0.0221527784017578)</f>
        <v>2.2152778401757799E-2</v>
      </c>
      <c r="H29" s="17">
        <f ca="1">IFERROR(__xludf.DUMMYFUNCTION("""COMPUTED_VALUE"""),0.00465277780318773)</f>
        <v>4.6527778031877302E-3</v>
      </c>
      <c r="I29" s="17">
        <f ca="1">IFERROR(__xludf.DUMMYFUNCTION("""COMPUTED_VALUE"""),0.00751157412515024)</f>
        <v>7.51157412515024E-3</v>
      </c>
      <c r="J29" s="17">
        <f ca="1">IFERROR(__xludf.DUMMYFUNCTION("""COMPUTED_VALUE"""),0.00879629596580551)</f>
        <v>8.7962959658055093E-3</v>
      </c>
      <c r="K29" s="18">
        <f ca="1">IFERROR(__xludf.DUMMYFUNCTION("""COMPUTED_VALUE"""),0.00119213050761433)</f>
        <v>1.1921305076143299E-3</v>
      </c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20"/>
      <c r="W29" s="20"/>
      <c r="X29" s="20"/>
      <c r="Y29" s="20"/>
      <c r="Z29" s="21"/>
      <c r="AA29" s="22"/>
      <c r="AB29" s="23"/>
    </row>
    <row r="30" spans="1:28" ht="13.5" customHeight="1" x14ac:dyDescent="0.35">
      <c r="A30" s="24">
        <f ca="1">IFERROR(__xludf.DUMMYFUNCTION("""COMPUTED_VALUE"""),29)</f>
        <v>29</v>
      </c>
      <c r="B30" s="25" t="str">
        <f ca="1">IFERROR(__xludf.DUMMYFUNCTION("""COMPUTED_VALUE"""),"98")</f>
        <v>98</v>
      </c>
      <c r="C30" s="26" t="str">
        <f ca="1">IFERROR(__xludf.DUMMYFUNCTION("""COMPUTED_VALUE"""),"LARNICOL")</f>
        <v>LARNICOL</v>
      </c>
      <c r="D30" s="27" t="str">
        <f ca="1">IFERROR(__xludf.DUMMYFUNCTION("""COMPUTED_VALUE"""),"OLIVIER")</f>
        <v>OLIVIER</v>
      </c>
      <c r="E30" s="15" t="str">
        <f ca="1">IFERROR(__xludf.DUMMYFUNCTION("""COMPUTED_VALUE"""),"SH4")</f>
        <v>SH4</v>
      </c>
      <c r="F30" s="51">
        <f ca="1">IFERROR(__xludf.DUMMYFUNCTION("""COMPUTED_VALUE"""),17)</f>
        <v>17</v>
      </c>
      <c r="G30" s="16">
        <f ca="1">IFERROR(__xludf.DUMMYFUNCTION("""COMPUTED_VALUE"""),0.0225347231023071)</f>
        <v>2.25347231023071E-2</v>
      </c>
      <c r="H30" s="17">
        <f ca="1">IFERROR(__xludf.DUMMYFUNCTION("""COMPUTED_VALUE"""),0.00365740742477987)</f>
        <v>3.6574074247798698E-3</v>
      </c>
      <c r="I30" s="17">
        <f ca="1">IFERROR(__xludf.DUMMYFUNCTION("""COMPUTED_VALUE"""),0.00715277784713123)</f>
        <v>7.1527778471312297E-3</v>
      </c>
      <c r="J30" s="17">
        <f ca="1">IFERROR(__xludf.DUMMYFUNCTION("""COMPUTED_VALUE"""),0.0101273147239171)</f>
        <v>1.01273147239171E-2</v>
      </c>
      <c r="K30" s="18">
        <f ca="1">IFERROR(__xludf.DUMMYFUNCTION("""COMPUTED_VALUE"""),0.0015972231064788)</f>
        <v>1.5972231064788E-3</v>
      </c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20"/>
      <c r="W30" s="20"/>
      <c r="X30" s="20"/>
      <c r="Y30" s="20"/>
      <c r="Z30" s="21"/>
      <c r="AA30" s="22"/>
      <c r="AB30" s="23"/>
    </row>
    <row r="31" spans="1:28" ht="13.5" customHeight="1" x14ac:dyDescent="0.35">
      <c r="A31" s="24">
        <f ca="1">IFERROR(__xludf.DUMMYFUNCTION("""COMPUTED_VALUE"""),30)</f>
        <v>30</v>
      </c>
      <c r="B31" s="25" t="str">
        <f ca="1">IFERROR(__xludf.DUMMYFUNCTION("""COMPUTED_VALUE"""),"196")</f>
        <v>196</v>
      </c>
      <c r="C31" s="26" t="str">
        <f ca="1">IFERROR(__xludf.DUMMYFUNCTION("""COMPUTED_VALUE"""),"PICHON")</f>
        <v>PICHON</v>
      </c>
      <c r="D31" s="27" t="str">
        <f ca="1">IFERROR(__xludf.DUMMYFUNCTION("""COMPUTED_VALUE"""),"MATTHIEU")</f>
        <v>MATTHIEU</v>
      </c>
      <c r="E31" s="15" t="str">
        <f ca="1">IFERROR(__xludf.DUMMYFUNCTION("""COMPUTED_VALUE"""),"SH4")</f>
        <v>SH4</v>
      </c>
      <c r="F31" s="51">
        <f ca="1">IFERROR(__xludf.DUMMYFUNCTION("""COMPUTED_VALUE"""),18)</f>
        <v>18</v>
      </c>
      <c r="G31" s="16">
        <f ca="1">IFERROR(__xludf.DUMMYFUNCTION("""COMPUTED_VALUE"""),0.0225810187761792)</f>
        <v>2.2581018776179199E-2</v>
      </c>
      <c r="H31" s="17">
        <f ca="1">IFERROR(__xludf.DUMMYFUNCTION("""COMPUTED_VALUE"""),0.00384259267664549)</f>
        <v>3.8425926766454902E-3</v>
      </c>
      <c r="I31" s="17">
        <f ca="1">IFERROR(__xludf.DUMMYFUNCTION("""COMPUTED_VALUE"""),0.00682870374064752)</f>
        <v>6.8287037406475201E-3</v>
      </c>
      <c r="J31" s="17">
        <f ca="1">IFERROR(__xludf.DUMMYFUNCTION("""COMPUTED_VALUE"""),0.0108333329293524)</f>
        <v>1.08333329293524E-2</v>
      </c>
      <c r="K31" s="18">
        <f ca="1">IFERROR(__xludf.DUMMYFUNCTION("""COMPUTED_VALUE"""),0.00107638942953372)</f>
        <v>1.0763894295337201E-3</v>
      </c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20"/>
      <c r="W31" s="20"/>
      <c r="X31" s="20"/>
      <c r="Y31" s="20"/>
      <c r="Z31" s="21"/>
      <c r="AA31" s="22"/>
      <c r="AB31" s="23"/>
    </row>
    <row r="32" spans="1:28" ht="13.5" customHeight="1" x14ac:dyDescent="0.35">
      <c r="A32" s="24">
        <f ca="1">IFERROR(__xludf.DUMMYFUNCTION("""COMPUTED_VALUE"""),31)</f>
        <v>31</v>
      </c>
      <c r="B32" s="25" t="str">
        <f ca="1">IFERROR(__xludf.DUMMYFUNCTION("""COMPUTED_VALUE"""),"140")</f>
        <v>140</v>
      </c>
      <c r="C32" s="26" t="str">
        <f ca="1">IFERROR(__xludf.DUMMYFUNCTION("""COMPUTED_VALUE"""),"LUNION")</f>
        <v>LUNION</v>
      </c>
      <c r="D32" s="27" t="str">
        <f ca="1">IFERROR(__xludf.DUMMYFUNCTION("""COMPUTED_VALUE"""),"ROMAIN")</f>
        <v>ROMAIN</v>
      </c>
      <c r="E32" s="15" t="str">
        <f ca="1">IFERROR(__xludf.DUMMYFUNCTION("""COMPUTED_VALUE"""),"SH3")</f>
        <v>SH3</v>
      </c>
      <c r="F32" s="51">
        <f ca="1">IFERROR(__xludf.DUMMYFUNCTION("""COMPUTED_VALUE"""),12)</f>
        <v>12</v>
      </c>
      <c r="G32" s="16">
        <f ca="1">IFERROR(__xludf.DUMMYFUNCTION("""COMPUTED_VALUE"""),0.0226620380258883)</f>
        <v>2.2662038025888301E-2</v>
      </c>
      <c r="H32" s="17">
        <f ca="1">IFERROR(__xludf.DUMMYFUNCTION("""COMPUTED_VALUE"""),0.0040046297126177)</f>
        <v>4.0046297126177001E-3</v>
      </c>
      <c r="I32" s="17">
        <f ca="1">IFERROR(__xludf.DUMMYFUNCTION("""COMPUTED_VALUE"""),0.00806712966976767)</f>
        <v>8.0671296697676694E-3</v>
      </c>
      <c r="J32" s="17">
        <f ca="1">IFERROR(__xludf.DUMMYFUNCTION("""COMPUTED_VALUE"""),0.00883101935427921)</f>
        <v>8.8310193542792109E-3</v>
      </c>
      <c r="K32" s="18">
        <f ca="1">IFERROR(__xludf.DUMMYFUNCTION("""COMPUTED_VALUE"""),0.00175925928922379)</f>
        <v>1.7592592892237901E-3</v>
      </c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20"/>
      <c r="W32" s="20"/>
      <c r="X32" s="20"/>
      <c r="Y32" s="20"/>
      <c r="Z32" s="21"/>
      <c r="AA32" s="22"/>
      <c r="AB32" s="23"/>
    </row>
    <row r="33" spans="1:28" ht="13.5" customHeight="1" x14ac:dyDescent="0.35">
      <c r="A33" s="24">
        <f ca="1">IFERROR(__xludf.DUMMYFUNCTION("""COMPUTED_VALUE"""),32)</f>
        <v>32</v>
      </c>
      <c r="B33" s="25" t="str">
        <f ca="1">IFERROR(__xludf.DUMMYFUNCTION("""COMPUTED_VALUE"""),"195")</f>
        <v>195</v>
      </c>
      <c r="C33" s="26" t="str">
        <f ca="1">IFERROR(__xludf.DUMMYFUNCTION("""COMPUTED_VALUE"""),"BESSON")</f>
        <v>BESSON</v>
      </c>
      <c r="D33" s="27" t="str">
        <f ca="1">IFERROR(__xludf.DUMMYFUNCTION("""COMPUTED_VALUE"""),"GUILLAUME")</f>
        <v>GUILLAUME</v>
      </c>
      <c r="E33" s="15" t="str">
        <f ca="1">IFERROR(__xludf.DUMMYFUNCTION("""COMPUTED_VALUE"""),"SH4")</f>
        <v>SH4</v>
      </c>
      <c r="F33" s="51">
        <f ca="1">IFERROR(__xludf.DUMMYFUNCTION("""COMPUTED_VALUE"""),19)</f>
        <v>19</v>
      </c>
      <c r="G33" s="16">
        <f ca="1">IFERROR(__xludf.DUMMYFUNCTION("""COMPUTED_VALUE"""),0.0227199077049341)</f>
        <v>2.2719907704934102E-2</v>
      </c>
      <c r="H33" s="17">
        <f ca="1">IFERROR(__xludf.DUMMYFUNCTION("""COMPUTED_VALUE"""),0.00403935194708906)</f>
        <v>4.03935194708906E-3</v>
      </c>
      <c r="I33" s="17">
        <f ca="1">IFERROR(__xludf.DUMMYFUNCTION("""COMPUTED_VALUE"""),0.00766203706451462)</f>
        <v>7.6620370645146202E-3</v>
      </c>
      <c r="J33" s="17">
        <f ca="1">IFERROR(__xludf.DUMMYFUNCTION("""COMPUTED_VALUE"""),0.0094444442871783)</f>
        <v>9.4444442871783E-3</v>
      </c>
      <c r="K33" s="18">
        <f ca="1">IFERROR(__xludf.DUMMYFUNCTION("""COMPUTED_VALUE"""),0.00157407440615217)</f>
        <v>1.57407440615217E-3</v>
      </c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20"/>
      <c r="W33" s="20"/>
      <c r="X33" s="20"/>
      <c r="Y33" s="20"/>
      <c r="Z33" s="21"/>
      <c r="AA33" s="22"/>
      <c r="AB33" s="23"/>
    </row>
    <row r="34" spans="1:28" ht="13.5" customHeight="1" x14ac:dyDescent="0.35">
      <c r="A34" s="24">
        <f ca="1">IFERROR(__xludf.DUMMYFUNCTION("""COMPUTED_VALUE"""),33)</f>
        <v>33</v>
      </c>
      <c r="B34" s="25" t="str">
        <f ca="1">IFERROR(__xludf.DUMMYFUNCTION("""COMPUTED_VALUE"""),"118")</f>
        <v>118</v>
      </c>
      <c r="C34" s="26" t="str">
        <f ca="1">IFERROR(__xludf.DUMMYFUNCTION("""COMPUTED_VALUE"""),"HUBERTY")</f>
        <v>HUBERTY</v>
      </c>
      <c r="D34" s="27" t="str">
        <f ca="1">IFERROR(__xludf.DUMMYFUNCTION("""COMPUTED_VALUE"""),"BENJAMIN")</f>
        <v>BENJAMIN</v>
      </c>
      <c r="E34" s="15" t="str">
        <f ca="1">IFERROR(__xludf.DUMMYFUNCTION("""COMPUTED_VALUE"""),"SH4")</f>
        <v>SH4</v>
      </c>
      <c r="F34" s="51">
        <f ca="1">IFERROR(__xludf.DUMMYFUNCTION("""COMPUTED_VALUE"""),20)</f>
        <v>20</v>
      </c>
      <c r="G34" s="16">
        <f ca="1">IFERROR(__xludf.DUMMYFUNCTION("""COMPUTED_VALUE"""),0.0227314821117146)</f>
        <v>2.27314821117146E-2</v>
      </c>
      <c r="H34" s="17">
        <f ca="1">IFERROR(__xludf.DUMMYFUNCTION("""COMPUTED_VALUE"""),0.00517361115880058)</f>
        <v>5.1736111588005802E-3</v>
      </c>
      <c r="I34" s="17">
        <f ca="1">IFERROR(__xludf.DUMMYFUNCTION("""COMPUTED_VALUE"""),0.00737268519917923)</f>
        <v>7.3726851991792299E-3</v>
      </c>
      <c r="J34" s="17">
        <f ca="1">IFERROR(__xludf.DUMMYFUNCTION("""COMPUTED_VALUE"""),0.0084837969129186)</f>
        <v>8.4837969129186001E-3</v>
      </c>
      <c r="K34" s="18">
        <f ca="1">IFERROR(__xludf.DUMMYFUNCTION("""COMPUTED_VALUE"""),0.00170138884081627)</f>
        <v>1.70138884081627E-3</v>
      </c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20"/>
      <c r="W34" s="20"/>
      <c r="X34" s="20"/>
      <c r="Y34" s="20"/>
      <c r="Z34" s="21"/>
      <c r="AA34" s="22"/>
      <c r="AB34" s="23"/>
    </row>
    <row r="35" spans="1:28" ht="13.5" customHeight="1" x14ac:dyDescent="0.35">
      <c r="A35" s="24">
        <f ca="1">IFERROR(__xludf.DUMMYFUNCTION("""COMPUTED_VALUE"""),34)</f>
        <v>34</v>
      </c>
      <c r="B35" s="25" t="str">
        <f ca="1">IFERROR(__xludf.DUMMYFUNCTION("""COMPUTED_VALUE"""),"159")</f>
        <v>159</v>
      </c>
      <c r="C35" s="26" t="str">
        <f ca="1">IFERROR(__xludf.DUMMYFUNCTION("""COMPUTED_VALUE"""),"FALA")</f>
        <v>FALA</v>
      </c>
      <c r="D35" s="27" t="str">
        <f ca="1">IFERROR(__xludf.DUMMYFUNCTION("""COMPUTED_VALUE"""),"LUDWIG")</f>
        <v>LUDWIG</v>
      </c>
      <c r="E35" s="15" t="str">
        <f ca="1">IFERROR(__xludf.DUMMYFUNCTION("""COMPUTED_VALUE"""),"SH4")</f>
        <v>SH4</v>
      </c>
      <c r="F35" s="51">
        <f ca="1">IFERROR(__xludf.DUMMYFUNCTION("""COMPUTED_VALUE"""),21)</f>
        <v>21</v>
      </c>
      <c r="G35" s="16">
        <f ca="1">IFERROR(__xludf.DUMMYFUNCTION("""COMPUTED_VALUE"""),0.0227777788314746)</f>
        <v>2.27777788314746E-2</v>
      </c>
      <c r="H35" s="17">
        <f ca="1">IFERROR(__xludf.DUMMYFUNCTION("""COMPUTED_VALUE"""),0.00400462968913338)</f>
        <v>4.0046296891333797E-3</v>
      </c>
      <c r="I35" s="17">
        <f ca="1">IFERROR(__xludf.DUMMYFUNCTION("""COMPUTED_VALUE"""),0.00807870377763237)</f>
        <v>8.0787037776323695E-3</v>
      </c>
      <c r="J35" s="17">
        <f ca="1">IFERROR(__xludf.DUMMYFUNCTION("""COMPUTED_VALUE"""),0.00915509252262405)</f>
        <v>9.15509252262405E-3</v>
      </c>
      <c r="K35" s="18">
        <f ca="1">IFERROR(__xludf.DUMMYFUNCTION("""COMPUTED_VALUE"""),0.00153935284208483)</f>
        <v>1.5393528420848299E-3</v>
      </c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20"/>
      <c r="W35" s="20"/>
      <c r="X35" s="20"/>
      <c r="Y35" s="20"/>
      <c r="Z35" s="21"/>
      <c r="AA35" s="22"/>
      <c r="AB35" s="23"/>
    </row>
    <row r="36" spans="1:28" ht="13.5" customHeight="1" x14ac:dyDescent="0.35">
      <c r="A36" s="24">
        <f ca="1">IFERROR(__xludf.DUMMYFUNCTION("""COMPUTED_VALUE"""),35)</f>
        <v>35</v>
      </c>
      <c r="B36" s="25" t="str">
        <f ca="1">IFERROR(__xludf.DUMMYFUNCTION("""COMPUTED_VALUE"""),"17")</f>
        <v>17</v>
      </c>
      <c r="C36" s="26" t="str">
        <f ca="1">IFERROR(__xludf.DUMMYFUNCTION("""COMPUTED_VALUE"""),"HASSAN")</f>
        <v>HASSAN</v>
      </c>
      <c r="D36" s="27" t="str">
        <f ca="1">IFERROR(__xludf.DUMMYFUNCTION("""COMPUTED_VALUE"""),"FABIEN")</f>
        <v>FABIEN</v>
      </c>
      <c r="E36" s="15" t="str">
        <f ca="1">IFERROR(__xludf.DUMMYFUNCTION("""COMPUTED_VALUE"""),"SH4")</f>
        <v>SH4</v>
      </c>
      <c r="F36" s="51">
        <f ca="1">IFERROR(__xludf.DUMMYFUNCTION("""COMPUTED_VALUE"""),22)</f>
        <v>22</v>
      </c>
      <c r="G36" s="16">
        <f ca="1">IFERROR(__xludf.DUMMYFUNCTION("""COMPUTED_VALUE"""),0.0234259264193463)</f>
        <v>2.34259264193463E-2</v>
      </c>
      <c r="H36" s="17">
        <f ca="1">IFERROR(__xludf.DUMMYFUNCTION("""COMPUTED_VALUE"""),0.00563657414727071)</f>
        <v>5.6365741472707096E-3</v>
      </c>
      <c r="I36" s="17">
        <f ca="1">IFERROR(__xludf.DUMMYFUNCTION("""COMPUTED_VALUE"""),0.00765046298153564)</f>
        <v>7.6504629815356403E-3</v>
      </c>
      <c r="J36" s="17">
        <f ca="1">IFERROR(__xludf.DUMMYFUNCTION("""COMPUTED_VALUE"""),0.00849537062396865)</f>
        <v>8.4953706239686497E-3</v>
      </c>
      <c r="K36" s="18">
        <f ca="1">IFERROR(__xludf.DUMMYFUNCTION("""COMPUTED_VALUE"""),0.00164351866657135)</f>
        <v>1.64351866657135E-3</v>
      </c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20"/>
      <c r="W36" s="20"/>
      <c r="X36" s="20"/>
      <c r="Y36" s="20"/>
      <c r="Z36" s="21"/>
      <c r="AA36" s="22"/>
      <c r="AB36" s="23"/>
    </row>
    <row r="37" spans="1:28" ht="13.5" customHeight="1" x14ac:dyDescent="0.35">
      <c r="A37" s="24">
        <f ca="1">IFERROR(__xludf.DUMMYFUNCTION("""COMPUTED_VALUE"""),36)</f>
        <v>36</v>
      </c>
      <c r="B37" s="25" t="str">
        <f ca="1">IFERROR(__xludf.DUMMYFUNCTION("""COMPUTED_VALUE"""),"92")</f>
        <v>92</v>
      </c>
      <c r="C37" s="26" t="str">
        <f ca="1">IFERROR(__xludf.DUMMYFUNCTION("""COMPUTED_VALUE"""),"LOMBARD")</f>
        <v>LOMBARD</v>
      </c>
      <c r="D37" s="27" t="str">
        <f ca="1">IFERROR(__xludf.DUMMYFUNCTION("""COMPUTED_VALUE"""),"DILAN")</f>
        <v>DILAN</v>
      </c>
      <c r="E37" s="15" t="str">
        <f ca="1">IFERROR(__xludf.DUMMYFUNCTION("""COMPUTED_VALUE"""),"SH2")</f>
        <v>SH2</v>
      </c>
      <c r="F37" s="51">
        <f ca="1">IFERROR(__xludf.DUMMYFUNCTION("""COMPUTED_VALUE"""),2)</f>
        <v>2</v>
      </c>
      <c r="G37" s="16">
        <f ca="1">IFERROR(__xludf.DUMMYFUNCTION("""COMPUTED_VALUE"""),0.023645834143621)</f>
        <v>2.3645834143621001E-2</v>
      </c>
      <c r="H37" s="17">
        <f ca="1">IFERROR(__xludf.DUMMYFUNCTION("""COMPUTED_VALUE"""),0.00444444451131367)</f>
        <v>4.4444445113136699E-3</v>
      </c>
      <c r="I37" s="17">
        <f ca="1">IFERROR(__xludf.DUMMYFUNCTION("""COMPUTED_VALUE"""),0.00861111120740993)</f>
        <v>8.6111112074099307E-3</v>
      </c>
      <c r="J37" s="17">
        <f ca="1">IFERROR(__xludf.DUMMYFUNCTION("""COMPUTED_VALUE"""),0.00950231489676304)</f>
        <v>9.5023148967630401E-3</v>
      </c>
      <c r="K37" s="18">
        <f ca="1">IFERROR(__xludf.DUMMYFUNCTION("""COMPUTED_VALUE"""),0.00108796352813439)</f>
        <v>1.0879635281343899E-3</v>
      </c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20"/>
      <c r="W37" s="20"/>
      <c r="X37" s="20"/>
      <c r="Y37" s="20"/>
      <c r="Z37" s="21"/>
      <c r="AA37" s="22"/>
      <c r="AB37" s="23"/>
    </row>
    <row r="38" spans="1:28" ht="13.5" customHeight="1" x14ac:dyDescent="0.35">
      <c r="A38" s="24">
        <f ca="1">IFERROR(__xludf.DUMMYFUNCTION("""COMPUTED_VALUE"""),37)</f>
        <v>37</v>
      </c>
      <c r="B38" s="25" t="str">
        <f ca="1">IFERROR(__xludf.DUMMYFUNCTION("""COMPUTED_VALUE"""),"163")</f>
        <v>163</v>
      </c>
      <c r="C38" s="26" t="str">
        <f ca="1">IFERROR(__xludf.DUMMYFUNCTION("""COMPUTED_VALUE"""),"ANDRADE PEREIRA")</f>
        <v>ANDRADE PEREIRA</v>
      </c>
      <c r="D38" s="27" t="str">
        <f ca="1">IFERROR(__xludf.DUMMYFUNCTION("""COMPUTED_VALUE"""),"RENAN")</f>
        <v>RENAN</v>
      </c>
      <c r="E38" s="15" t="str">
        <f ca="1">IFERROR(__xludf.DUMMYFUNCTION("""COMPUTED_VALUE"""),"SH4")</f>
        <v>SH4</v>
      </c>
      <c r="F38" s="51">
        <f ca="1">IFERROR(__xludf.DUMMYFUNCTION("""COMPUTED_VALUE"""),23)</f>
        <v>23</v>
      </c>
      <c r="G38" s="16">
        <f ca="1">IFERROR(__xludf.DUMMYFUNCTION("""COMPUTED_VALUE"""),0.0237500001884076)</f>
        <v>2.3750000188407599E-2</v>
      </c>
      <c r="H38" s="17">
        <f ca="1">IFERROR(__xludf.DUMMYFUNCTION("""COMPUTED_VALUE"""),0.00482638897794369)</f>
        <v>4.8263889779436896E-3</v>
      </c>
      <c r="I38" s="17">
        <f ca="1">IFERROR(__xludf.DUMMYFUNCTION("""COMPUTED_VALUE"""),0.00780092594198036)</f>
        <v>7.8009259419803603E-3</v>
      </c>
      <c r="J38" s="17">
        <f ca="1">IFERROR(__xludf.DUMMYFUNCTION("""COMPUTED_VALUE"""),0.00965277697973957)</f>
        <v>9.6527769797395708E-3</v>
      </c>
      <c r="K38" s="18">
        <f ca="1">IFERROR(__xludf.DUMMYFUNCTION("""COMPUTED_VALUE"""),0.00146990828874405)</f>
        <v>1.46990828874405E-3</v>
      </c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20"/>
      <c r="W38" s="20"/>
      <c r="X38" s="20"/>
      <c r="Y38" s="20"/>
      <c r="Z38" s="21"/>
      <c r="AA38" s="22"/>
      <c r="AB38" s="23"/>
    </row>
    <row r="39" spans="1:28" ht="13.5" customHeight="1" x14ac:dyDescent="0.35">
      <c r="A39" s="24">
        <f ca="1">IFERROR(__xludf.DUMMYFUNCTION("""COMPUTED_VALUE"""),38)</f>
        <v>38</v>
      </c>
      <c r="B39" s="25" t="str">
        <f ca="1">IFERROR(__xludf.DUMMYFUNCTION("""COMPUTED_VALUE"""),"78")</f>
        <v>78</v>
      </c>
      <c r="C39" s="26" t="str">
        <f ca="1">IFERROR(__xludf.DUMMYFUNCTION("""COMPUTED_VALUE"""),"NEVEU")</f>
        <v>NEVEU</v>
      </c>
      <c r="D39" s="27" t="str">
        <f ca="1">IFERROR(__xludf.DUMMYFUNCTION("""COMPUTED_VALUE"""),"PHILIPPE")</f>
        <v>PHILIPPE</v>
      </c>
      <c r="E39" s="15" t="str">
        <f ca="1">IFERROR(__xludf.DUMMYFUNCTION("""COMPUTED_VALUE"""),"SH4")</f>
        <v>SH4</v>
      </c>
      <c r="F39" s="51">
        <f ca="1">IFERROR(__xludf.DUMMYFUNCTION("""COMPUTED_VALUE"""),24)</f>
        <v>24</v>
      </c>
      <c r="G39" s="16">
        <f ca="1">IFERROR(__xludf.DUMMYFUNCTION("""COMPUTED_VALUE"""),0.0249305556910211)</f>
        <v>2.4930555691021102E-2</v>
      </c>
      <c r="H39" s="17">
        <f ca="1">IFERROR(__xludf.DUMMYFUNCTION("""COMPUTED_VALUE"""),0.00559027787545013)</f>
        <v>5.5902778754501302E-3</v>
      </c>
      <c r="I39" s="17">
        <f ca="1">IFERROR(__xludf.DUMMYFUNCTION("""COMPUTED_VALUE"""),0.00773148154668174)</f>
        <v>7.7314815466817399E-3</v>
      </c>
      <c r="J39" s="17">
        <f ca="1">IFERROR(__xludf.DUMMYFUNCTION("""COMPUTED_VALUE"""),0.00998842523936108)</f>
        <v>9.98842523936108E-3</v>
      </c>
      <c r="K39" s="18">
        <f ca="1">IFERROR(__xludf.DUMMYFUNCTION("""COMPUTED_VALUE"""),0.00162037102952817)</f>
        <v>1.6203710295281701E-3</v>
      </c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20"/>
      <c r="W39" s="20"/>
      <c r="X39" s="20"/>
      <c r="Y39" s="20"/>
      <c r="Z39" s="21"/>
      <c r="AA39" s="22"/>
      <c r="AB39" s="23"/>
    </row>
    <row r="40" spans="1:28" ht="13.5" customHeight="1" x14ac:dyDescent="0.35">
      <c r="A40" s="24">
        <f ca="1">IFERROR(__xludf.DUMMYFUNCTION("""COMPUTED_VALUE"""),39)</f>
        <v>39</v>
      </c>
      <c r="B40" s="25" t="str">
        <f ca="1">IFERROR(__xludf.DUMMYFUNCTION("""COMPUTED_VALUE"""),"145")</f>
        <v>145</v>
      </c>
      <c r="C40" s="26" t="str">
        <f ca="1">IFERROR(__xludf.DUMMYFUNCTION("""COMPUTED_VALUE"""),"BASUEMI")</f>
        <v>BASUEMI</v>
      </c>
      <c r="D40" s="27" t="str">
        <f ca="1">IFERROR(__xludf.DUMMYFUNCTION("""COMPUTED_VALUE"""),"GEOFFREY")</f>
        <v>GEOFFREY</v>
      </c>
      <c r="E40" s="15" t="str">
        <f ca="1">IFERROR(__xludf.DUMMYFUNCTION("""COMPUTED_VALUE"""),"SH4")</f>
        <v>SH4</v>
      </c>
      <c r="F40" s="51">
        <f ca="1">IFERROR(__xludf.DUMMYFUNCTION("""COMPUTED_VALUE"""),25)</f>
        <v>25</v>
      </c>
      <c r="G40" s="16">
        <f ca="1">IFERROR(__xludf.DUMMYFUNCTION("""COMPUTED_VALUE"""),0.0252777789008767)</f>
        <v>2.52777789008767E-2</v>
      </c>
      <c r="H40" s="17">
        <f ca="1">IFERROR(__xludf.DUMMYFUNCTION("""COMPUTED_VALUE"""),0.0050347222447961)</f>
        <v>5.0347222447961002E-3</v>
      </c>
      <c r="I40" s="17">
        <f ca="1">IFERROR(__xludf.DUMMYFUNCTION("""COMPUTED_VALUE"""),0.00756944455067122)</f>
        <v>7.5694445506712203E-3</v>
      </c>
      <c r="J40" s="17">
        <f ca="1">IFERROR(__xludf.DUMMYFUNCTION("""COMPUTED_VALUE"""),0.0115740744147)</f>
        <v>1.15740744147E-2</v>
      </c>
      <c r="K40" s="18">
        <f ca="1">IFERROR(__xludf.DUMMYFUNCTION("""COMPUTED_VALUE"""),0.00109953769070944)</f>
        <v>1.09953769070944E-3</v>
      </c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20"/>
      <c r="W40" s="20"/>
      <c r="X40" s="20"/>
      <c r="Y40" s="20"/>
      <c r="Z40" s="21"/>
      <c r="AA40" s="22"/>
      <c r="AB40" s="23"/>
    </row>
    <row r="41" spans="1:28" ht="13.5" customHeight="1" x14ac:dyDescent="0.35">
      <c r="A41" s="24">
        <f ca="1">IFERROR(__xludf.DUMMYFUNCTION("""COMPUTED_VALUE"""),40)</f>
        <v>40</v>
      </c>
      <c r="B41" s="25" t="str">
        <f ca="1">IFERROR(__xludf.DUMMYFUNCTION("""COMPUTED_VALUE"""),"63")</f>
        <v>63</v>
      </c>
      <c r="C41" s="26" t="str">
        <f ca="1">IFERROR(__xludf.DUMMYFUNCTION("""COMPUTED_VALUE"""),"HAURET")</f>
        <v>HAURET</v>
      </c>
      <c r="D41" s="27" t="str">
        <f ca="1">IFERROR(__xludf.DUMMYFUNCTION("""COMPUTED_VALUE"""),"ETIENNE")</f>
        <v>ETIENNE</v>
      </c>
      <c r="E41" s="15" t="str">
        <f ca="1">IFERROR(__xludf.DUMMYFUNCTION("""COMPUTED_VALUE"""),"SH4")</f>
        <v>SH4</v>
      </c>
      <c r="F41" s="51">
        <f ca="1">IFERROR(__xludf.DUMMYFUNCTION("""COMPUTED_VALUE"""),26)</f>
        <v>26</v>
      </c>
      <c r="G41" s="16">
        <f ca="1">IFERROR(__xludf.DUMMYFUNCTION("""COMPUTED_VALUE"""),0.0261921297585778)</f>
        <v>2.6192129758577799E-2</v>
      </c>
      <c r="H41" s="17">
        <f ca="1">IFERROR(__xludf.DUMMYFUNCTION("""COMPUTED_VALUE"""),0.00415509259829285)</f>
        <v>4.1550925982928501E-3</v>
      </c>
      <c r="I41" s="17">
        <f ca="1">IFERROR(__xludf.DUMMYFUNCTION("""COMPUTED_VALUE"""),0.00920138892875551)</f>
        <v>9.2013889287555096E-3</v>
      </c>
      <c r="J41" s="17">
        <f ca="1">IFERROR(__xludf.DUMMYFUNCTION("""COMPUTED_VALUE"""),0.0111689807545914)</f>
        <v>1.11689807545914E-2</v>
      </c>
      <c r="K41" s="18">
        <f ca="1">IFERROR(__xludf.DUMMYFUNCTION("""COMPUTED_VALUE"""),0.00166666747693808)</f>
        <v>1.6666674769380801E-3</v>
      </c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20"/>
      <c r="W41" s="20"/>
      <c r="X41" s="20"/>
      <c r="Y41" s="20"/>
      <c r="Z41" s="21"/>
      <c r="AA41" s="22"/>
      <c r="AB41" s="23"/>
    </row>
    <row r="42" spans="1:28" ht="13.5" customHeight="1" x14ac:dyDescent="0.35">
      <c r="A42" s="24">
        <f ca="1">IFERROR(__xludf.DUMMYFUNCTION("""COMPUTED_VALUE"""),41)</f>
        <v>41</v>
      </c>
      <c r="B42" s="25" t="str">
        <f ca="1">IFERROR(__xludf.DUMMYFUNCTION("""COMPUTED_VALUE"""),"126")</f>
        <v>126</v>
      </c>
      <c r="C42" s="26" t="str">
        <f ca="1">IFERROR(__xludf.DUMMYFUNCTION("""COMPUTED_VALUE"""),"MONTEIRO CHIAPINOTTO")</f>
        <v>MONTEIRO CHIAPINOTTO</v>
      </c>
      <c r="D42" s="27" t="str">
        <f ca="1">IFERROR(__xludf.DUMMYFUNCTION("""COMPUTED_VALUE"""),"ARTHUR")</f>
        <v>ARTHUR</v>
      </c>
      <c r="E42" s="15" t="str">
        <f ca="1">IFERROR(__xludf.DUMMYFUNCTION("""COMPUTED_VALUE"""),"SH4")</f>
        <v>SH4</v>
      </c>
      <c r="F42" s="51">
        <f ca="1">IFERROR(__xludf.DUMMYFUNCTION("""COMPUTED_VALUE"""),27)</f>
        <v>27</v>
      </c>
      <c r="G42" s="16">
        <f ca="1">IFERROR(__xludf.DUMMYFUNCTION("""COMPUTED_VALUE"""),0.0281018524285982)</f>
        <v>2.8101852428598199E-2</v>
      </c>
      <c r="H42" s="17">
        <f ca="1">IFERROR(__xludf.DUMMYFUNCTION("""COMPUTED_VALUE"""),0.00694444450985031)</f>
        <v>6.9444445098503097E-3</v>
      </c>
      <c r="I42" s="17">
        <f ca="1">IFERROR(__xludf.DUMMYFUNCTION("""COMPUTED_VALUE"""),0.00780092597692036)</f>
        <v>7.8009259769203599E-3</v>
      </c>
      <c r="J42" s="17">
        <f ca="1">IFERROR(__xludf.DUMMYFUNCTION("""COMPUTED_VALUE"""),0.0112384262893931)</f>
        <v>1.1238426289393101E-2</v>
      </c>
      <c r="K42" s="18">
        <f ca="1">IFERROR(__xludf.DUMMYFUNCTION("""COMPUTED_VALUE"""),0.00211805565243438)</f>
        <v>2.1180556524343802E-3</v>
      </c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20"/>
      <c r="W42" s="20"/>
      <c r="X42" s="20"/>
      <c r="Y42" s="20"/>
      <c r="Z42" s="21"/>
      <c r="AA42" s="22"/>
      <c r="AB42" s="23"/>
    </row>
    <row r="43" spans="1:28" ht="13.5" customHeight="1" x14ac:dyDescent="0.35">
      <c r="A43" s="24" t="str">
        <f ca="1">IFERROR(__xludf.DUMMYFUNCTION("""COMPUTED_VALUE"""),"")</f>
        <v/>
      </c>
      <c r="B43" s="25" t="str">
        <f ca="1">IFERROR(__xludf.DUMMYFUNCTION("""COMPUTED_VALUE"""),"")</f>
        <v/>
      </c>
      <c r="C43" s="27" t="str">
        <f ca="1">IFERROR(__xludf.DUMMYFUNCTION("""COMPUTED_VALUE"""),"")</f>
        <v/>
      </c>
      <c r="D43" s="27" t="str">
        <f ca="1">IFERROR(__xludf.DUMMYFUNCTION("""COMPUTED_VALUE"""),"")</f>
        <v/>
      </c>
      <c r="E43" s="15" t="str">
        <f ca="1">IFERROR(__xludf.DUMMYFUNCTION("""COMPUTED_VALUE"""),"")</f>
        <v/>
      </c>
      <c r="F43" s="51" t="str">
        <f ca="1">IFERROR(__xludf.DUMMYFUNCTION("""COMPUTED_VALUE"""),"")</f>
        <v/>
      </c>
      <c r="G43" s="16" t="str">
        <f ca="1">IFERROR(__xludf.DUMMYFUNCTION("""COMPUTED_VALUE"""),"")</f>
        <v/>
      </c>
      <c r="H43" s="17" t="str">
        <f ca="1">IFERROR(__xludf.DUMMYFUNCTION("""COMPUTED_VALUE"""),"")</f>
        <v/>
      </c>
      <c r="I43" s="17" t="str">
        <f ca="1">IFERROR(__xludf.DUMMYFUNCTION("""COMPUTED_VALUE"""),"")</f>
        <v/>
      </c>
      <c r="J43" s="17" t="str">
        <f ca="1">IFERROR(__xludf.DUMMYFUNCTION("""COMPUTED_VALUE"""),"")</f>
        <v/>
      </c>
      <c r="K43" s="18" t="str">
        <f ca="1">IFERROR(__xludf.DUMMYFUNCTION("""COMPUTED_VALUE"""),"")</f>
        <v/>
      </c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20"/>
      <c r="W43" s="20"/>
      <c r="X43" s="20"/>
      <c r="Y43" s="20"/>
      <c r="Z43" s="21"/>
      <c r="AA43" s="22"/>
      <c r="AB43" s="23"/>
    </row>
    <row r="44" spans="1:28" ht="13.5" customHeight="1" x14ac:dyDescent="0.35">
      <c r="A44" s="24" t="str">
        <f ca="1">IFERROR(__xludf.DUMMYFUNCTION("""COMPUTED_VALUE"""),"")</f>
        <v/>
      </c>
      <c r="B44" s="25" t="str">
        <f ca="1">IFERROR(__xludf.DUMMYFUNCTION("""COMPUTED_VALUE"""),"")</f>
        <v/>
      </c>
      <c r="C44" s="27" t="str">
        <f ca="1">IFERROR(__xludf.DUMMYFUNCTION("""COMPUTED_VALUE"""),"")</f>
        <v/>
      </c>
      <c r="D44" s="27" t="str">
        <f ca="1">IFERROR(__xludf.DUMMYFUNCTION("""COMPUTED_VALUE"""),"")</f>
        <v/>
      </c>
      <c r="E44" s="15" t="str">
        <f ca="1">IFERROR(__xludf.DUMMYFUNCTION("""COMPUTED_VALUE"""),"")</f>
        <v/>
      </c>
      <c r="F44" s="51" t="str">
        <f ca="1">IFERROR(__xludf.DUMMYFUNCTION("""COMPUTED_VALUE"""),"")</f>
        <v/>
      </c>
      <c r="G44" s="16" t="str">
        <f ca="1">IFERROR(__xludf.DUMMYFUNCTION("""COMPUTED_VALUE"""),"")</f>
        <v/>
      </c>
      <c r="H44" s="17" t="str">
        <f ca="1">IFERROR(__xludf.DUMMYFUNCTION("""COMPUTED_VALUE"""),"")</f>
        <v/>
      </c>
      <c r="I44" s="17" t="str">
        <f ca="1">IFERROR(__xludf.DUMMYFUNCTION("""COMPUTED_VALUE"""),"")</f>
        <v/>
      </c>
      <c r="J44" s="17" t="str">
        <f ca="1">IFERROR(__xludf.DUMMYFUNCTION("""COMPUTED_VALUE"""),"")</f>
        <v/>
      </c>
      <c r="K44" s="18" t="str">
        <f ca="1">IFERROR(__xludf.DUMMYFUNCTION("""COMPUTED_VALUE"""),"")</f>
        <v/>
      </c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20"/>
      <c r="W44" s="20"/>
      <c r="X44" s="20"/>
      <c r="Y44" s="20"/>
      <c r="Z44" s="21"/>
      <c r="AA44" s="22"/>
      <c r="AB44" s="23"/>
    </row>
    <row r="45" spans="1:28" ht="13.5" customHeight="1" x14ac:dyDescent="0.35">
      <c r="A45" s="24" t="str">
        <f ca="1">IFERROR(__xludf.DUMMYFUNCTION("""COMPUTED_VALUE"""),"")</f>
        <v/>
      </c>
      <c r="B45" s="25" t="str">
        <f ca="1">IFERROR(__xludf.DUMMYFUNCTION("""COMPUTED_VALUE"""),"")</f>
        <v/>
      </c>
      <c r="C45" s="27" t="str">
        <f ca="1">IFERROR(__xludf.DUMMYFUNCTION("""COMPUTED_VALUE"""),"")</f>
        <v/>
      </c>
      <c r="D45" s="27" t="str">
        <f ca="1">IFERROR(__xludf.DUMMYFUNCTION("""COMPUTED_VALUE"""),"")</f>
        <v/>
      </c>
      <c r="E45" s="15" t="str">
        <f ca="1">IFERROR(__xludf.DUMMYFUNCTION("""COMPUTED_VALUE"""),"")</f>
        <v/>
      </c>
      <c r="F45" s="51" t="str">
        <f ca="1">IFERROR(__xludf.DUMMYFUNCTION("""COMPUTED_VALUE"""),"")</f>
        <v/>
      </c>
      <c r="G45" s="16" t="str">
        <f ca="1">IFERROR(__xludf.DUMMYFUNCTION("""COMPUTED_VALUE"""),"")</f>
        <v/>
      </c>
      <c r="H45" s="17" t="str">
        <f ca="1">IFERROR(__xludf.DUMMYFUNCTION("""COMPUTED_VALUE"""),"")</f>
        <v/>
      </c>
      <c r="I45" s="17" t="str">
        <f ca="1">IFERROR(__xludf.DUMMYFUNCTION("""COMPUTED_VALUE"""),"")</f>
        <v/>
      </c>
      <c r="J45" s="17" t="str">
        <f ca="1">IFERROR(__xludf.DUMMYFUNCTION("""COMPUTED_VALUE"""),"")</f>
        <v/>
      </c>
      <c r="K45" s="18" t="str">
        <f ca="1">IFERROR(__xludf.DUMMYFUNCTION("""COMPUTED_VALUE"""),"")</f>
        <v/>
      </c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20"/>
      <c r="W45" s="20"/>
      <c r="X45" s="20"/>
      <c r="Y45" s="20"/>
      <c r="Z45" s="21"/>
      <c r="AA45" s="22"/>
      <c r="AB45" s="23"/>
    </row>
    <row r="46" spans="1:28" ht="13.5" customHeight="1" x14ac:dyDescent="0.35">
      <c r="A46" s="24" t="str">
        <f ca="1">IFERROR(__xludf.DUMMYFUNCTION("""COMPUTED_VALUE"""),"")</f>
        <v/>
      </c>
      <c r="B46" s="25" t="str">
        <f ca="1">IFERROR(__xludf.DUMMYFUNCTION("""COMPUTED_VALUE"""),"")</f>
        <v/>
      </c>
      <c r="C46" s="27" t="str">
        <f ca="1">IFERROR(__xludf.DUMMYFUNCTION("""COMPUTED_VALUE"""),"")</f>
        <v/>
      </c>
      <c r="D46" s="27" t="str">
        <f ca="1">IFERROR(__xludf.DUMMYFUNCTION("""COMPUTED_VALUE"""),"")</f>
        <v/>
      </c>
      <c r="E46" s="15" t="str">
        <f ca="1">IFERROR(__xludf.DUMMYFUNCTION("""COMPUTED_VALUE"""),"")</f>
        <v/>
      </c>
      <c r="F46" s="51" t="str">
        <f ca="1">IFERROR(__xludf.DUMMYFUNCTION("""COMPUTED_VALUE"""),"")</f>
        <v/>
      </c>
      <c r="G46" s="16" t="str">
        <f ca="1">IFERROR(__xludf.DUMMYFUNCTION("""COMPUTED_VALUE"""),"")</f>
        <v/>
      </c>
      <c r="H46" s="17" t="str">
        <f ca="1">IFERROR(__xludf.DUMMYFUNCTION("""COMPUTED_VALUE"""),"")</f>
        <v/>
      </c>
      <c r="I46" s="17" t="str">
        <f ca="1">IFERROR(__xludf.DUMMYFUNCTION("""COMPUTED_VALUE"""),"")</f>
        <v/>
      </c>
      <c r="J46" s="17" t="str">
        <f ca="1">IFERROR(__xludf.DUMMYFUNCTION("""COMPUTED_VALUE"""),"")</f>
        <v/>
      </c>
      <c r="K46" s="18" t="str">
        <f ca="1">IFERROR(__xludf.DUMMYFUNCTION("""COMPUTED_VALUE"""),"")</f>
        <v/>
      </c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20"/>
      <c r="W46" s="20"/>
      <c r="X46" s="20"/>
      <c r="Y46" s="20"/>
      <c r="Z46" s="21"/>
      <c r="AA46" s="22"/>
      <c r="AB46" s="23"/>
    </row>
    <row r="47" spans="1:28" ht="13.5" customHeight="1" x14ac:dyDescent="0.35">
      <c r="A47" s="24" t="str">
        <f ca="1">IFERROR(__xludf.DUMMYFUNCTION("""COMPUTED_VALUE"""),"")</f>
        <v/>
      </c>
      <c r="B47" s="25" t="str">
        <f ca="1">IFERROR(__xludf.DUMMYFUNCTION("""COMPUTED_VALUE"""),"")</f>
        <v/>
      </c>
      <c r="C47" s="27" t="str">
        <f ca="1">IFERROR(__xludf.DUMMYFUNCTION("""COMPUTED_VALUE"""),"")</f>
        <v/>
      </c>
      <c r="D47" s="27" t="str">
        <f ca="1">IFERROR(__xludf.DUMMYFUNCTION("""COMPUTED_VALUE"""),"")</f>
        <v/>
      </c>
      <c r="E47" s="15" t="str">
        <f ca="1">IFERROR(__xludf.DUMMYFUNCTION("""COMPUTED_VALUE"""),"")</f>
        <v/>
      </c>
      <c r="F47" s="51" t="str">
        <f ca="1">IFERROR(__xludf.DUMMYFUNCTION("""COMPUTED_VALUE"""),"")</f>
        <v/>
      </c>
      <c r="G47" s="16" t="str">
        <f ca="1">IFERROR(__xludf.DUMMYFUNCTION("""COMPUTED_VALUE"""),"")</f>
        <v/>
      </c>
      <c r="H47" s="17" t="str">
        <f ca="1">IFERROR(__xludf.DUMMYFUNCTION("""COMPUTED_VALUE"""),"")</f>
        <v/>
      </c>
      <c r="I47" s="17" t="str">
        <f ca="1">IFERROR(__xludf.DUMMYFUNCTION("""COMPUTED_VALUE"""),"")</f>
        <v/>
      </c>
      <c r="J47" s="17" t="str">
        <f ca="1">IFERROR(__xludf.DUMMYFUNCTION("""COMPUTED_VALUE"""),"")</f>
        <v/>
      </c>
      <c r="K47" s="18" t="str">
        <f ca="1">IFERROR(__xludf.DUMMYFUNCTION("""COMPUTED_VALUE"""),"")</f>
        <v/>
      </c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20"/>
      <c r="W47" s="20"/>
      <c r="X47" s="20"/>
      <c r="Y47" s="20"/>
      <c r="Z47" s="21"/>
      <c r="AA47" s="22"/>
      <c r="AB47" s="23"/>
    </row>
    <row r="48" spans="1:28" ht="13.5" customHeight="1" x14ac:dyDescent="0.35">
      <c r="A48" s="24" t="str">
        <f ca="1">IFERROR(__xludf.DUMMYFUNCTION("""COMPUTED_VALUE"""),"")</f>
        <v/>
      </c>
      <c r="B48" s="25" t="str">
        <f ca="1">IFERROR(__xludf.DUMMYFUNCTION("""COMPUTED_VALUE"""),"")</f>
        <v/>
      </c>
      <c r="C48" s="27" t="str">
        <f ca="1">IFERROR(__xludf.DUMMYFUNCTION("""COMPUTED_VALUE"""),"")</f>
        <v/>
      </c>
      <c r="D48" s="27" t="str">
        <f ca="1">IFERROR(__xludf.DUMMYFUNCTION("""COMPUTED_VALUE"""),"")</f>
        <v/>
      </c>
      <c r="E48" s="15" t="str">
        <f ca="1">IFERROR(__xludf.DUMMYFUNCTION("""COMPUTED_VALUE"""),"")</f>
        <v/>
      </c>
      <c r="F48" s="51" t="str">
        <f ca="1">IFERROR(__xludf.DUMMYFUNCTION("""COMPUTED_VALUE"""),"")</f>
        <v/>
      </c>
      <c r="G48" s="16" t="str">
        <f ca="1">IFERROR(__xludf.DUMMYFUNCTION("""COMPUTED_VALUE"""),"")</f>
        <v/>
      </c>
      <c r="H48" s="17" t="str">
        <f ca="1">IFERROR(__xludf.DUMMYFUNCTION("""COMPUTED_VALUE"""),"")</f>
        <v/>
      </c>
      <c r="I48" s="17" t="str">
        <f ca="1">IFERROR(__xludf.DUMMYFUNCTION("""COMPUTED_VALUE"""),"")</f>
        <v/>
      </c>
      <c r="J48" s="17" t="str">
        <f ca="1">IFERROR(__xludf.DUMMYFUNCTION("""COMPUTED_VALUE"""),"")</f>
        <v/>
      </c>
      <c r="K48" s="18" t="str">
        <f ca="1">IFERROR(__xludf.DUMMYFUNCTION("""COMPUTED_VALUE"""),"")</f>
        <v/>
      </c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20"/>
      <c r="W48" s="20"/>
      <c r="X48" s="20"/>
      <c r="Y48" s="20"/>
      <c r="Z48" s="21"/>
      <c r="AA48" s="22"/>
      <c r="AB48" s="23"/>
    </row>
    <row r="49" spans="1:28" ht="13.5" customHeight="1" x14ac:dyDescent="0.35">
      <c r="A49" s="24" t="str">
        <f ca="1">IFERROR(__xludf.DUMMYFUNCTION("""COMPUTED_VALUE"""),"")</f>
        <v/>
      </c>
      <c r="B49" s="25" t="str">
        <f ca="1">IFERROR(__xludf.DUMMYFUNCTION("""COMPUTED_VALUE"""),"")</f>
        <v/>
      </c>
      <c r="C49" s="27" t="str">
        <f ca="1">IFERROR(__xludf.DUMMYFUNCTION("""COMPUTED_VALUE"""),"")</f>
        <v/>
      </c>
      <c r="D49" s="27" t="str">
        <f ca="1">IFERROR(__xludf.DUMMYFUNCTION("""COMPUTED_VALUE"""),"")</f>
        <v/>
      </c>
      <c r="E49" s="15" t="str">
        <f ca="1">IFERROR(__xludf.DUMMYFUNCTION("""COMPUTED_VALUE"""),"")</f>
        <v/>
      </c>
      <c r="F49" s="51" t="str">
        <f ca="1">IFERROR(__xludf.DUMMYFUNCTION("""COMPUTED_VALUE"""),"")</f>
        <v/>
      </c>
      <c r="G49" s="16" t="str">
        <f ca="1">IFERROR(__xludf.DUMMYFUNCTION("""COMPUTED_VALUE"""),"")</f>
        <v/>
      </c>
      <c r="H49" s="17" t="str">
        <f ca="1">IFERROR(__xludf.DUMMYFUNCTION("""COMPUTED_VALUE"""),"")</f>
        <v/>
      </c>
      <c r="I49" s="17" t="str">
        <f ca="1">IFERROR(__xludf.DUMMYFUNCTION("""COMPUTED_VALUE"""),"")</f>
        <v/>
      </c>
      <c r="J49" s="17" t="str">
        <f ca="1">IFERROR(__xludf.DUMMYFUNCTION("""COMPUTED_VALUE"""),"")</f>
        <v/>
      </c>
      <c r="K49" s="18" t="str">
        <f ca="1">IFERROR(__xludf.DUMMYFUNCTION("""COMPUTED_VALUE"""),"")</f>
        <v/>
      </c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20"/>
      <c r="W49" s="20"/>
      <c r="X49" s="20"/>
      <c r="Y49" s="20"/>
      <c r="Z49" s="21"/>
      <c r="AA49" s="22"/>
      <c r="AB49" s="23"/>
    </row>
    <row r="50" spans="1:28" ht="13.5" customHeight="1" x14ac:dyDescent="0.35">
      <c r="A50" s="24" t="str">
        <f ca="1">IFERROR(__xludf.DUMMYFUNCTION("""COMPUTED_VALUE"""),"")</f>
        <v/>
      </c>
      <c r="B50" s="25" t="str">
        <f ca="1">IFERROR(__xludf.DUMMYFUNCTION("""COMPUTED_VALUE"""),"")</f>
        <v/>
      </c>
      <c r="C50" s="27" t="str">
        <f ca="1">IFERROR(__xludf.DUMMYFUNCTION("""COMPUTED_VALUE"""),"")</f>
        <v/>
      </c>
      <c r="D50" s="27" t="str">
        <f ca="1">IFERROR(__xludf.DUMMYFUNCTION("""COMPUTED_VALUE"""),"")</f>
        <v/>
      </c>
      <c r="E50" s="15" t="str">
        <f ca="1">IFERROR(__xludf.DUMMYFUNCTION("""COMPUTED_VALUE"""),"")</f>
        <v/>
      </c>
      <c r="F50" s="51" t="str">
        <f ca="1">IFERROR(__xludf.DUMMYFUNCTION("""COMPUTED_VALUE"""),"")</f>
        <v/>
      </c>
      <c r="G50" s="16" t="str">
        <f ca="1">IFERROR(__xludf.DUMMYFUNCTION("""COMPUTED_VALUE"""),"")</f>
        <v/>
      </c>
      <c r="H50" s="17" t="str">
        <f ca="1">IFERROR(__xludf.DUMMYFUNCTION("""COMPUTED_VALUE"""),"")</f>
        <v/>
      </c>
      <c r="I50" s="17" t="str">
        <f ca="1">IFERROR(__xludf.DUMMYFUNCTION("""COMPUTED_VALUE"""),"")</f>
        <v/>
      </c>
      <c r="J50" s="17" t="str">
        <f ca="1">IFERROR(__xludf.DUMMYFUNCTION("""COMPUTED_VALUE"""),"")</f>
        <v/>
      </c>
      <c r="K50" s="18" t="str">
        <f ca="1">IFERROR(__xludf.DUMMYFUNCTION("""COMPUTED_VALUE"""),"")</f>
        <v/>
      </c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20"/>
      <c r="W50" s="20"/>
      <c r="X50" s="20"/>
      <c r="Y50" s="20"/>
      <c r="Z50" s="21"/>
      <c r="AA50" s="22"/>
      <c r="AB50" s="23"/>
    </row>
    <row r="51" spans="1:28" ht="13.5" customHeight="1" x14ac:dyDescent="0.35">
      <c r="A51" s="24" t="str">
        <f ca="1">IFERROR(__xludf.DUMMYFUNCTION("""COMPUTED_VALUE"""),"")</f>
        <v/>
      </c>
      <c r="B51" s="25" t="str">
        <f ca="1">IFERROR(__xludf.DUMMYFUNCTION("""COMPUTED_VALUE"""),"")</f>
        <v/>
      </c>
      <c r="C51" s="27" t="str">
        <f ca="1">IFERROR(__xludf.DUMMYFUNCTION("""COMPUTED_VALUE"""),"")</f>
        <v/>
      </c>
      <c r="D51" s="27" t="str">
        <f ca="1">IFERROR(__xludf.DUMMYFUNCTION("""COMPUTED_VALUE"""),"")</f>
        <v/>
      </c>
      <c r="E51" s="15" t="str">
        <f ca="1">IFERROR(__xludf.DUMMYFUNCTION("""COMPUTED_VALUE"""),"")</f>
        <v/>
      </c>
      <c r="F51" s="51" t="str">
        <f ca="1">IFERROR(__xludf.DUMMYFUNCTION("""COMPUTED_VALUE"""),"")</f>
        <v/>
      </c>
      <c r="G51" s="16" t="str">
        <f ca="1">IFERROR(__xludf.DUMMYFUNCTION("""COMPUTED_VALUE"""),"")</f>
        <v/>
      </c>
      <c r="H51" s="17" t="str">
        <f ca="1">IFERROR(__xludf.DUMMYFUNCTION("""COMPUTED_VALUE"""),"")</f>
        <v/>
      </c>
      <c r="I51" s="17" t="str">
        <f ca="1">IFERROR(__xludf.DUMMYFUNCTION("""COMPUTED_VALUE"""),"")</f>
        <v/>
      </c>
      <c r="J51" s="17" t="str">
        <f ca="1">IFERROR(__xludf.DUMMYFUNCTION("""COMPUTED_VALUE"""),"")</f>
        <v/>
      </c>
      <c r="K51" s="18" t="str">
        <f ca="1">IFERROR(__xludf.DUMMYFUNCTION("""COMPUTED_VALUE"""),"")</f>
        <v/>
      </c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20"/>
      <c r="W51" s="20"/>
      <c r="X51" s="20"/>
      <c r="Y51" s="20"/>
      <c r="Z51" s="21"/>
      <c r="AA51" s="22"/>
      <c r="AB51" s="23"/>
    </row>
    <row r="52" spans="1:28" ht="13.5" customHeight="1" x14ac:dyDescent="0.35">
      <c r="A52" s="24" t="str">
        <f ca="1">IFERROR(__xludf.DUMMYFUNCTION("""COMPUTED_VALUE"""),"")</f>
        <v/>
      </c>
      <c r="B52" s="25" t="str">
        <f ca="1">IFERROR(__xludf.DUMMYFUNCTION("""COMPUTED_VALUE"""),"")</f>
        <v/>
      </c>
      <c r="C52" s="27" t="str">
        <f ca="1">IFERROR(__xludf.DUMMYFUNCTION("""COMPUTED_VALUE"""),"")</f>
        <v/>
      </c>
      <c r="D52" s="27" t="str">
        <f ca="1">IFERROR(__xludf.DUMMYFUNCTION("""COMPUTED_VALUE"""),"")</f>
        <v/>
      </c>
      <c r="E52" s="15" t="str">
        <f ca="1">IFERROR(__xludf.DUMMYFUNCTION("""COMPUTED_VALUE"""),"")</f>
        <v/>
      </c>
      <c r="F52" s="51" t="str">
        <f ca="1">IFERROR(__xludf.DUMMYFUNCTION("""COMPUTED_VALUE"""),"")</f>
        <v/>
      </c>
      <c r="G52" s="16" t="str">
        <f ca="1">IFERROR(__xludf.DUMMYFUNCTION("""COMPUTED_VALUE"""),"")</f>
        <v/>
      </c>
      <c r="H52" s="17" t="str">
        <f ca="1">IFERROR(__xludf.DUMMYFUNCTION("""COMPUTED_VALUE"""),"")</f>
        <v/>
      </c>
      <c r="I52" s="17" t="str">
        <f ca="1">IFERROR(__xludf.DUMMYFUNCTION("""COMPUTED_VALUE"""),"")</f>
        <v/>
      </c>
      <c r="J52" s="17" t="str">
        <f ca="1">IFERROR(__xludf.DUMMYFUNCTION("""COMPUTED_VALUE"""),"")</f>
        <v/>
      </c>
      <c r="K52" s="18" t="str">
        <f ca="1">IFERROR(__xludf.DUMMYFUNCTION("""COMPUTED_VALUE"""),"")</f>
        <v/>
      </c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20"/>
      <c r="W52" s="20"/>
      <c r="X52" s="20"/>
      <c r="Y52" s="20"/>
      <c r="Z52" s="21"/>
      <c r="AA52" s="22"/>
      <c r="AB52" s="23"/>
    </row>
    <row r="53" spans="1:28" ht="13.5" customHeight="1" x14ac:dyDescent="0.35">
      <c r="A53" s="24" t="str">
        <f ca="1">IFERROR(__xludf.DUMMYFUNCTION("""COMPUTED_VALUE"""),"")</f>
        <v/>
      </c>
      <c r="B53" s="25" t="str">
        <f ca="1">IFERROR(__xludf.DUMMYFUNCTION("""COMPUTED_VALUE"""),"")</f>
        <v/>
      </c>
      <c r="C53" s="27" t="str">
        <f ca="1">IFERROR(__xludf.DUMMYFUNCTION("""COMPUTED_VALUE"""),"")</f>
        <v/>
      </c>
      <c r="D53" s="27" t="str">
        <f ca="1">IFERROR(__xludf.DUMMYFUNCTION("""COMPUTED_VALUE"""),"")</f>
        <v/>
      </c>
      <c r="E53" s="15" t="str">
        <f ca="1">IFERROR(__xludf.DUMMYFUNCTION("""COMPUTED_VALUE"""),"")</f>
        <v/>
      </c>
      <c r="F53" s="51" t="str">
        <f ca="1">IFERROR(__xludf.DUMMYFUNCTION("""COMPUTED_VALUE"""),"")</f>
        <v/>
      </c>
      <c r="G53" s="16" t="str">
        <f ca="1">IFERROR(__xludf.DUMMYFUNCTION("""COMPUTED_VALUE"""),"")</f>
        <v/>
      </c>
      <c r="H53" s="17" t="str">
        <f ca="1">IFERROR(__xludf.DUMMYFUNCTION("""COMPUTED_VALUE"""),"")</f>
        <v/>
      </c>
      <c r="I53" s="17" t="str">
        <f ca="1">IFERROR(__xludf.DUMMYFUNCTION("""COMPUTED_VALUE"""),"")</f>
        <v/>
      </c>
      <c r="J53" s="17" t="str">
        <f ca="1">IFERROR(__xludf.DUMMYFUNCTION("""COMPUTED_VALUE"""),"")</f>
        <v/>
      </c>
      <c r="K53" s="18" t="str">
        <f ca="1">IFERROR(__xludf.DUMMYFUNCTION("""COMPUTED_VALUE"""),"")</f>
        <v/>
      </c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20"/>
      <c r="W53" s="20"/>
      <c r="X53" s="20"/>
      <c r="Y53" s="20"/>
      <c r="Z53" s="21"/>
      <c r="AA53" s="22"/>
      <c r="AB53" s="23"/>
    </row>
    <row r="54" spans="1:28" ht="13.5" customHeight="1" x14ac:dyDescent="0.35">
      <c r="A54" s="24" t="str">
        <f ca="1">IFERROR(__xludf.DUMMYFUNCTION("""COMPUTED_VALUE"""),"")</f>
        <v/>
      </c>
      <c r="B54" s="25" t="str">
        <f ca="1">IFERROR(__xludf.DUMMYFUNCTION("""COMPUTED_VALUE"""),"")</f>
        <v/>
      </c>
      <c r="C54" s="27" t="str">
        <f ca="1">IFERROR(__xludf.DUMMYFUNCTION("""COMPUTED_VALUE"""),"")</f>
        <v/>
      </c>
      <c r="D54" s="27" t="str">
        <f ca="1">IFERROR(__xludf.DUMMYFUNCTION("""COMPUTED_VALUE"""),"")</f>
        <v/>
      </c>
      <c r="E54" s="15" t="str">
        <f ca="1">IFERROR(__xludf.DUMMYFUNCTION("""COMPUTED_VALUE"""),"")</f>
        <v/>
      </c>
      <c r="F54" s="51" t="str">
        <f ca="1">IFERROR(__xludf.DUMMYFUNCTION("""COMPUTED_VALUE"""),"")</f>
        <v/>
      </c>
      <c r="G54" s="16" t="str">
        <f ca="1">IFERROR(__xludf.DUMMYFUNCTION("""COMPUTED_VALUE"""),"")</f>
        <v/>
      </c>
      <c r="H54" s="17" t="str">
        <f ca="1">IFERROR(__xludf.DUMMYFUNCTION("""COMPUTED_VALUE"""),"")</f>
        <v/>
      </c>
      <c r="I54" s="17" t="str">
        <f ca="1">IFERROR(__xludf.DUMMYFUNCTION("""COMPUTED_VALUE"""),"")</f>
        <v/>
      </c>
      <c r="J54" s="17" t="str">
        <f ca="1">IFERROR(__xludf.DUMMYFUNCTION("""COMPUTED_VALUE"""),"")</f>
        <v/>
      </c>
      <c r="K54" s="18" t="str">
        <f ca="1">IFERROR(__xludf.DUMMYFUNCTION("""COMPUTED_VALUE"""),"")</f>
        <v/>
      </c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20"/>
      <c r="W54" s="20"/>
      <c r="X54" s="20"/>
      <c r="Y54" s="20"/>
      <c r="Z54" s="21"/>
      <c r="AA54" s="22"/>
      <c r="AB54" s="23"/>
    </row>
    <row r="55" spans="1:28" ht="13.5" customHeight="1" x14ac:dyDescent="0.35">
      <c r="A55" s="24" t="str">
        <f ca="1">IFERROR(__xludf.DUMMYFUNCTION("""COMPUTED_VALUE"""),"")</f>
        <v/>
      </c>
      <c r="B55" s="25" t="str">
        <f ca="1">IFERROR(__xludf.DUMMYFUNCTION("""COMPUTED_VALUE"""),"")</f>
        <v/>
      </c>
      <c r="C55" s="27" t="str">
        <f ca="1">IFERROR(__xludf.DUMMYFUNCTION("""COMPUTED_VALUE"""),"")</f>
        <v/>
      </c>
      <c r="D55" s="27" t="str">
        <f ca="1">IFERROR(__xludf.DUMMYFUNCTION("""COMPUTED_VALUE"""),"")</f>
        <v/>
      </c>
      <c r="E55" s="15" t="str">
        <f ca="1">IFERROR(__xludf.DUMMYFUNCTION("""COMPUTED_VALUE"""),"")</f>
        <v/>
      </c>
      <c r="F55" s="51" t="str">
        <f ca="1">IFERROR(__xludf.DUMMYFUNCTION("""COMPUTED_VALUE"""),"")</f>
        <v/>
      </c>
      <c r="G55" s="16" t="str">
        <f ca="1">IFERROR(__xludf.DUMMYFUNCTION("""COMPUTED_VALUE"""),"")</f>
        <v/>
      </c>
      <c r="H55" s="17" t="str">
        <f ca="1">IFERROR(__xludf.DUMMYFUNCTION("""COMPUTED_VALUE"""),"")</f>
        <v/>
      </c>
      <c r="I55" s="17" t="str">
        <f ca="1">IFERROR(__xludf.DUMMYFUNCTION("""COMPUTED_VALUE"""),"")</f>
        <v/>
      </c>
      <c r="J55" s="17" t="str">
        <f ca="1">IFERROR(__xludf.DUMMYFUNCTION("""COMPUTED_VALUE"""),"")</f>
        <v/>
      </c>
      <c r="K55" s="18" t="str">
        <f ca="1">IFERROR(__xludf.DUMMYFUNCTION("""COMPUTED_VALUE"""),"")</f>
        <v/>
      </c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20"/>
      <c r="W55" s="20"/>
      <c r="X55" s="20"/>
      <c r="Y55" s="20"/>
      <c r="Z55" s="21"/>
      <c r="AA55" s="22"/>
      <c r="AB55" s="23"/>
    </row>
    <row r="56" spans="1:28" ht="13.5" customHeight="1" x14ac:dyDescent="0.35">
      <c r="A56" s="24" t="str">
        <f ca="1">IFERROR(__xludf.DUMMYFUNCTION("""COMPUTED_VALUE"""),"")</f>
        <v/>
      </c>
      <c r="B56" s="28" t="str">
        <f ca="1">IFERROR(__xludf.DUMMYFUNCTION("""COMPUTED_VALUE"""),"")</f>
        <v/>
      </c>
      <c r="C56" s="27" t="str">
        <f ca="1">IFERROR(__xludf.DUMMYFUNCTION("""COMPUTED_VALUE"""),"")</f>
        <v/>
      </c>
      <c r="D56" s="27" t="str">
        <f ca="1">IFERROR(__xludf.DUMMYFUNCTION("""COMPUTED_VALUE"""),"")</f>
        <v/>
      </c>
      <c r="E56" s="15" t="str">
        <f ca="1">IFERROR(__xludf.DUMMYFUNCTION("""COMPUTED_VALUE"""),"")</f>
        <v/>
      </c>
      <c r="F56" s="51" t="str">
        <f ca="1">IFERROR(__xludf.DUMMYFUNCTION("""COMPUTED_VALUE"""),"")</f>
        <v/>
      </c>
      <c r="G56" s="16" t="str">
        <f ca="1">IFERROR(__xludf.DUMMYFUNCTION("""COMPUTED_VALUE"""),"")</f>
        <v/>
      </c>
      <c r="H56" s="17" t="str">
        <f ca="1">IFERROR(__xludf.DUMMYFUNCTION("""COMPUTED_VALUE"""),"")</f>
        <v/>
      </c>
      <c r="I56" s="17" t="str">
        <f ca="1">IFERROR(__xludf.DUMMYFUNCTION("""COMPUTED_VALUE"""),"")</f>
        <v/>
      </c>
      <c r="J56" s="17" t="str">
        <f ca="1">IFERROR(__xludf.DUMMYFUNCTION("""COMPUTED_VALUE"""),"")</f>
        <v/>
      </c>
      <c r="K56" s="18" t="str">
        <f ca="1">IFERROR(__xludf.DUMMYFUNCTION("""COMPUTED_VALUE"""),"")</f>
        <v/>
      </c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20"/>
      <c r="W56" s="20"/>
      <c r="X56" s="20"/>
      <c r="Y56" s="20"/>
      <c r="Z56" s="21"/>
      <c r="AA56" s="22"/>
      <c r="AB56" s="23"/>
    </row>
    <row r="57" spans="1:28" ht="13.5" customHeight="1" x14ac:dyDescent="0.35">
      <c r="A57" s="24" t="str">
        <f ca="1">IFERROR(__xludf.DUMMYFUNCTION("""COMPUTED_VALUE"""),"")</f>
        <v/>
      </c>
      <c r="B57" s="28" t="str">
        <f ca="1">IFERROR(__xludf.DUMMYFUNCTION("""COMPUTED_VALUE"""),"")</f>
        <v/>
      </c>
      <c r="C57" s="27" t="str">
        <f ca="1">IFERROR(__xludf.DUMMYFUNCTION("""COMPUTED_VALUE"""),"")</f>
        <v/>
      </c>
      <c r="D57" s="27" t="str">
        <f ca="1">IFERROR(__xludf.DUMMYFUNCTION("""COMPUTED_VALUE"""),"")</f>
        <v/>
      </c>
      <c r="E57" s="15" t="str">
        <f ca="1">IFERROR(__xludf.DUMMYFUNCTION("""COMPUTED_VALUE"""),"")</f>
        <v/>
      </c>
      <c r="F57" s="51" t="str">
        <f ca="1">IFERROR(__xludf.DUMMYFUNCTION("""COMPUTED_VALUE"""),"")</f>
        <v/>
      </c>
      <c r="G57" s="16" t="str">
        <f ca="1">IFERROR(__xludf.DUMMYFUNCTION("""COMPUTED_VALUE"""),"")</f>
        <v/>
      </c>
      <c r="H57" s="17" t="str">
        <f ca="1">IFERROR(__xludf.DUMMYFUNCTION("""COMPUTED_VALUE"""),"")</f>
        <v/>
      </c>
      <c r="I57" s="17" t="str">
        <f ca="1">IFERROR(__xludf.DUMMYFUNCTION("""COMPUTED_VALUE"""),"")</f>
        <v/>
      </c>
      <c r="J57" s="17" t="str">
        <f ca="1">IFERROR(__xludf.DUMMYFUNCTION("""COMPUTED_VALUE"""),"")</f>
        <v/>
      </c>
      <c r="K57" s="18" t="str">
        <f ca="1">IFERROR(__xludf.DUMMYFUNCTION("""COMPUTED_VALUE"""),"")</f>
        <v/>
      </c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20"/>
      <c r="W57" s="20"/>
      <c r="X57" s="20"/>
      <c r="Y57" s="20"/>
      <c r="Z57" s="21"/>
      <c r="AA57" s="22"/>
      <c r="AB57" s="23"/>
    </row>
    <row r="58" spans="1:28" ht="13.5" customHeight="1" x14ac:dyDescent="0.35">
      <c r="A58" s="24" t="str">
        <f ca="1">IFERROR(__xludf.DUMMYFUNCTION("""COMPUTED_VALUE"""),"")</f>
        <v/>
      </c>
      <c r="B58" s="28" t="str">
        <f ca="1">IFERROR(__xludf.DUMMYFUNCTION("""COMPUTED_VALUE"""),"")</f>
        <v/>
      </c>
      <c r="C58" s="27" t="str">
        <f ca="1">IFERROR(__xludf.DUMMYFUNCTION("""COMPUTED_VALUE"""),"")</f>
        <v/>
      </c>
      <c r="D58" s="27" t="str">
        <f ca="1">IFERROR(__xludf.DUMMYFUNCTION("""COMPUTED_VALUE"""),"")</f>
        <v/>
      </c>
      <c r="E58" s="15" t="str">
        <f ca="1">IFERROR(__xludf.DUMMYFUNCTION("""COMPUTED_VALUE"""),"")</f>
        <v/>
      </c>
      <c r="F58" s="51" t="str">
        <f ca="1">IFERROR(__xludf.DUMMYFUNCTION("""COMPUTED_VALUE"""),"")</f>
        <v/>
      </c>
      <c r="G58" s="16" t="str">
        <f ca="1">IFERROR(__xludf.DUMMYFUNCTION("""COMPUTED_VALUE"""),"")</f>
        <v/>
      </c>
      <c r="H58" s="17" t="str">
        <f ca="1">IFERROR(__xludf.DUMMYFUNCTION("""COMPUTED_VALUE"""),"")</f>
        <v/>
      </c>
      <c r="I58" s="17" t="str">
        <f ca="1">IFERROR(__xludf.DUMMYFUNCTION("""COMPUTED_VALUE"""),"")</f>
        <v/>
      </c>
      <c r="J58" s="17" t="str">
        <f ca="1">IFERROR(__xludf.DUMMYFUNCTION("""COMPUTED_VALUE"""),"")</f>
        <v/>
      </c>
      <c r="K58" s="18" t="str">
        <f ca="1">IFERROR(__xludf.DUMMYFUNCTION("""COMPUTED_VALUE"""),"")</f>
        <v/>
      </c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20"/>
      <c r="W58" s="20"/>
      <c r="X58" s="20"/>
      <c r="Y58" s="20"/>
      <c r="Z58" s="21"/>
      <c r="AA58" s="22"/>
      <c r="AB58" s="23"/>
    </row>
    <row r="59" spans="1:28" ht="13.5" customHeight="1" x14ac:dyDescent="0.35">
      <c r="A59" s="24" t="str">
        <f ca="1">IFERROR(__xludf.DUMMYFUNCTION("""COMPUTED_VALUE"""),"")</f>
        <v/>
      </c>
      <c r="B59" s="28" t="str">
        <f ca="1">IFERROR(__xludf.DUMMYFUNCTION("""COMPUTED_VALUE"""),"")</f>
        <v/>
      </c>
      <c r="C59" s="27" t="str">
        <f ca="1">IFERROR(__xludf.DUMMYFUNCTION("""COMPUTED_VALUE"""),"")</f>
        <v/>
      </c>
      <c r="D59" s="27" t="str">
        <f ca="1">IFERROR(__xludf.DUMMYFUNCTION("""COMPUTED_VALUE"""),"")</f>
        <v/>
      </c>
      <c r="E59" s="15" t="str">
        <f ca="1">IFERROR(__xludf.DUMMYFUNCTION("""COMPUTED_VALUE"""),"")</f>
        <v/>
      </c>
      <c r="F59" s="51" t="str">
        <f ca="1">IFERROR(__xludf.DUMMYFUNCTION("""COMPUTED_VALUE"""),"")</f>
        <v/>
      </c>
      <c r="G59" s="16" t="str">
        <f ca="1">IFERROR(__xludf.DUMMYFUNCTION("""COMPUTED_VALUE"""),"")</f>
        <v/>
      </c>
      <c r="H59" s="17" t="str">
        <f ca="1">IFERROR(__xludf.DUMMYFUNCTION("""COMPUTED_VALUE"""),"")</f>
        <v/>
      </c>
      <c r="I59" s="17" t="str">
        <f ca="1">IFERROR(__xludf.DUMMYFUNCTION("""COMPUTED_VALUE"""),"")</f>
        <v/>
      </c>
      <c r="J59" s="17" t="str">
        <f ca="1">IFERROR(__xludf.DUMMYFUNCTION("""COMPUTED_VALUE"""),"")</f>
        <v/>
      </c>
      <c r="K59" s="18" t="str">
        <f ca="1">IFERROR(__xludf.DUMMYFUNCTION("""COMPUTED_VALUE"""),"")</f>
        <v/>
      </c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20"/>
      <c r="W59" s="20"/>
      <c r="X59" s="20"/>
      <c r="Y59" s="20"/>
      <c r="Z59" s="21"/>
      <c r="AA59" s="22"/>
      <c r="AB59" s="23"/>
    </row>
    <row r="60" spans="1:28" ht="13.5" customHeight="1" x14ac:dyDescent="0.35">
      <c r="A60" s="24" t="str">
        <f ca="1">IFERROR(__xludf.DUMMYFUNCTION("""COMPUTED_VALUE"""),"")</f>
        <v/>
      </c>
      <c r="B60" s="28" t="str">
        <f ca="1">IFERROR(__xludf.DUMMYFUNCTION("""COMPUTED_VALUE"""),"")</f>
        <v/>
      </c>
      <c r="C60" s="27" t="str">
        <f ca="1">IFERROR(__xludf.DUMMYFUNCTION("""COMPUTED_VALUE"""),"")</f>
        <v/>
      </c>
      <c r="D60" s="27" t="str">
        <f ca="1">IFERROR(__xludf.DUMMYFUNCTION("""COMPUTED_VALUE"""),"")</f>
        <v/>
      </c>
      <c r="E60" s="15" t="str">
        <f ca="1">IFERROR(__xludf.DUMMYFUNCTION("""COMPUTED_VALUE"""),"")</f>
        <v/>
      </c>
      <c r="F60" s="51" t="str">
        <f ca="1">IFERROR(__xludf.DUMMYFUNCTION("""COMPUTED_VALUE"""),"")</f>
        <v/>
      </c>
      <c r="G60" s="16" t="str">
        <f ca="1">IFERROR(__xludf.DUMMYFUNCTION("""COMPUTED_VALUE"""),"")</f>
        <v/>
      </c>
      <c r="H60" s="17" t="str">
        <f ca="1">IFERROR(__xludf.DUMMYFUNCTION("""COMPUTED_VALUE"""),"")</f>
        <v/>
      </c>
      <c r="I60" s="17" t="str">
        <f ca="1">IFERROR(__xludf.DUMMYFUNCTION("""COMPUTED_VALUE"""),"")</f>
        <v/>
      </c>
      <c r="J60" s="17" t="str">
        <f ca="1">IFERROR(__xludf.DUMMYFUNCTION("""COMPUTED_VALUE"""),"")</f>
        <v/>
      </c>
      <c r="K60" s="18" t="str">
        <f ca="1">IFERROR(__xludf.DUMMYFUNCTION("""COMPUTED_VALUE"""),"")</f>
        <v/>
      </c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20"/>
      <c r="W60" s="20"/>
      <c r="X60" s="20"/>
      <c r="Y60" s="20"/>
      <c r="Z60" s="21"/>
      <c r="AA60" s="22"/>
      <c r="AB60" s="23"/>
    </row>
    <row r="61" spans="1:28" ht="13.5" customHeight="1" x14ac:dyDescent="0.35">
      <c r="A61" s="24" t="str">
        <f ca="1">IFERROR(__xludf.DUMMYFUNCTION("""COMPUTED_VALUE"""),"")</f>
        <v/>
      </c>
      <c r="B61" s="28" t="str">
        <f ca="1">IFERROR(__xludf.DUMMYFUNCTION("""COMPUTED_VALUE"""),"")</f>
        <v/>
      </c>
      <c r="C61" s="27" t="str">
        <f ca="1">IFERROR(__xludf.DUMMYFUNCTION("""COMPUTED_VALUE"""),"")</f>
        <v/>
      </c>
      <c r="D61" s="27" t="str">
        <f ca="1">IFERROR(__xludf.DUMMYFUNCTION("""COMPUTED_VALUE"""),"")</f>
        <v/>
      </c>
      <c r="E61" s="15" t="str">
        <f ca="1">IFERROR(__xludf.DUMMYFUNCTION("""COMPUTED_VALUE"""),"")</f>
        <v/>
      </c>
      <c r="F61" s="51" t="str">
        <f ca="1">IFERROR(__xludf.DUMMYFUNCTION("""COMPUTED_VALUE"""),"")</f>
        <v/>
      </c>
      <c r="G61" s="16" t="str">
        <f ca="1">IFERROR(__xludf.DUMMYFUNCTION("""COMPUTED_VALUE"""),"")</f>
        <v/>
      </c>
      <c r="H61" s="17" t="str">
        <f ca="1">IFERROR(__xludf.DUMMYFUNCTION("""COMPUTED_VALUE"""),"")</f>
        <v/>
      </c>
      <c r="I61" s="17" t="str">
        <f ca="1">IFERROR(__xludf.DUMMYFUNCTION("""COMPUTED_VALUE"""),"")</f>
        <v/>
      </c>
      <c r="J61" s="17" t="str">
        <f ca="1">IFERROR(__xludf.DUMMYFUNCTION("""COMPUTED_VALUE"""),"")</f>
        <v/>
      </c>
      <c r="K61" s="18" t="str">
        <f ca="1">IFERROR(__xludf.DUMMYFUNCTION("""COMPUTED_VALUE"""),"")</f>
        <v/>
      </c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20"/>
      <c r="W61" s="20"/>
      <c r="X61" s="20"/>
      <c r="Y61" s="20"/>
      <c r="Z61" s="21"/>
      <c r="AA61" s="22"/>
      <c r="AB61" s="23"/>
    </row>
    <row r="62" spans="1:28" ht="13.5" customHeight="1" x14ac:dyDescent="0.35">
      <c r="A62" s="24" t="str">
        <f ca="1">IFERROR(__xludf.DUMMYFUNCTION("""COMPUTED_VALUE"""),"")</f>
        <v/>
      </c>
      <c r="B62" s="28" t="str">
        <f ca="1">IFERROR(__xludf.DUMMYFUNCTION("""COMPUTED_VALUE"""),"")</f>
        <v/>
      </c>
      <c r="C62" s="27" t="str">
        <f ca="1">IFERROR(__xludf.DUMMYFUNCTION("""COMPUTED_VALUE"""),"")</f>
        <v/>
      </c>
      <c r="D62" s="27" t="str">
        <f ca="1">IFERROR(__xludf.DUMMYFUNCTION("""COMPUTED_VALUE"""),"")</f>
        <v/>
      </c>
      <c r="E62" s="15" t="str">
        <f ca="1">IFERROR(__xludf.DUMMYFUNCTION("""COMPUTED_VALUE"""),"")</f>
        <v/>
      </c>
      <c r="F62" s="51" t="str">
        <f ca="1">IFERROR(__xludf.DUMMYFUNCTION("""COMPUTED_VALUE"""),"")</f>
        <v/>
      </c>
      <c r="G62" s="16" t="str">
        <f ca="1">IFERROR(__xludf.DUMMYFUNCTION("""COMPUTED_VALUE"""),"")</f>
        <v/>
      </c>
      <c r="H62" s="17" t="str">
        <f ca="1">IFERROR(__xludf.DUMMYFUNCTION("""COMPUTED_VALUE"""),"")</f>
        <v/>
      </c>
      <c r="I62" s="17" t="str">
        <f ca="1">IFERROR(__xludf.DUMMYFUNCTION("""COMPUTED_VALUE"""),"")</f>
        <v/>
      </c>
      <c r="J62" s="17" t="str">
        <f ca="1">IFERROR(__xludf.DUMMYFUNCTION("""COMPUTED_VALUE"""),"")</f>
        <v/>
      </c>
      <c r="K62" s="18" t="str">
        <f ca="1">IFERROR(__xludf.DUMMYFUNCTION("""COMPUTED_VALUE"""),"")</f>
        <v/>
      </c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20"/>
      <c r="W62" s="20"/>
      <c r="X62" s="20"/>
      <c r="Y62" s="20"/>
      <c r="Z62" s="21"/>
      <c r="AA62" s="22"/>
      <c r="AB62" s="23"/>
    </row>
    <row r="63" spans="1:28" ht="13.5" customHeight="1" x14ac:dyDescent="0.35">
      <c r="A63" s="24" t="str">
        <f ca="1">IFERROR(__xludf.DUMMYFUNCTION("""COMPUTED_VALUE"""),"")</f>
        <v/>
      </c>
      <c r="B63" s="28" t="str">
        <f ca="1">IFERROR(__xludf.DUMMYFUNCTION("""COMPUTED_VALUE"""),"")</f>
        <v/>
      </c>
      <c r="C63" s="27" t="str">
        <f ca="1">IFERROR(__xludf.DUMMYFUNCTION("""COMPUTED_VALUE"""),"")</f>
        <v/>
      </c>
      <c r="D63" s="27" t="str">
        <f ca="1">IFERROR(__xludf.DUMMYFUNCTION("""COMPUTED_VALUE"""),"")</f>
        <v/>
      </c>
      <c r="E63" s="15" t="str">
        <f ca="1">IFERROR(__xludf.DUMMYFUNCTION("""COMPUTED_VALUE"""),"")</f>
        <v/>
      </c>
      <c r="F63" s="51" t="str">
        <f ca="1">IFERROR(__xludf.DUMMYFUNCTION("""COMPUTED_VALUE"""),"")</f>
        <v/>
      </c>
      <c r="G63" s="16" t="str">
        <f ca="1">IFERROR(__xludf.DUMMYFUNCTION("""COMPUTED_VALUE"""),"")</f>
        <v/>
      </c>
      <c r="H63" s="17" t="str">
        <f ca="1">IFERROR(__xludf.DUMMYFUNCTION("""COMPUTED_VALUE"""),"")</f>
        <v/>
      </c>
      <c r="I63" s="17" t="str">
        <f ca="1">IFERROR(__xludf.DUMMYFUNCTION("""COMPUTED_VALUE"""),"")</f>
        <v/>
      </c>
      <c r="J63" s="17" t="str">
        <f ca="1">IFERROR(__xludf.DUMMYFUNCTION("""COMPUTED_VALUE"""),"")</f>
        <v/>
      </c>
      <c r="K63" s="18" t="str">
        <f ca="1">IFERROR(__xludf.DUMMYFUNCTION("""COMPUTED_VALUE"""),"")</f>
        <v/>
      </c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20"/>
      <c r="W63" s="20"/>
      <c r="X63" s="20"/>
      <c r="Y63" s="20"/>
      <c r="Z63" s="21"/>
      <c r="AA63" s="22"/>
      <c r="AB63" s="23"/>
    </row>
    <row r="64" spans="1:28" ht="13.5" customHeight="1" x14ac:dyDescent="0.35">
      <c r="A64" s="24" t="str">
        <f ca="1">IFERROR(__xludf.DUMMYFUNCTION("""COMPUTED_VALUE"""),"")</f>
        <v/>
      </c>
      <c r="B64" s="28" t="str">
        <f ca="1">IFERROR(__xludf.DUMMYFUNCTION("""COMPUTED_VALUE"""),"")</f>
        <v/>
      </c>
      <c r="C64" s="27" t="str">
        <f ca="1">IFERROR(__xludf.DUMMYFUNCTION("""COMPUTED_VALUE"""),"")</f>
        <v/>
      </c>
      <c r="D64" s="27" t="str">
        <f ca="1">IFERROR(__xludf.DUMMYFUNCTION("""COMPUTED_VALUE"""),"")</f>
        <v/>
      </c>
      <c r="E64" s="15" t="str">
        <f ca="1">IFERROR(__xludf.DUMMYFUNCTION("""COMPUTED_VALUE"""),"")</f>
        <v/>
      </c>
      <c r="F64" s="51" t="str">
        <f ca="1">IFERROR(__xludf.DUMMYFUNCTION("""COMPUTED_VALUE"""),"")</f>
        <v/>
      </c>
      <c r="G64" s="16" t="str">
        <f ca="1">IFERROR(__xludf.DUMMYFUNCTION("""COMPUTED_VALUE"""),"")</f>
        <v/>
      </c>
      <c r="H64" s="17" t="str">
        <f ca="1">IFERROR(__xludf.DUMMYFUNCTION("""COMPUTED_VALUE"""),"")</f>
        <v/>
      </c>
      <c r="I64" s="17" t="str">
        <f ca="1">IFERROR(__xludf.DUMMYFUNCTION("""COMPUTED_VALUE"""),"")</f>
        <v/>
      </c>
      <c r="J64" s="17" t="str">
        <f ca="1">IFERROR(__xludf.DUMMYFUNCTION("""COMPUTED_VALUE"""),"")</f>
        <v/>
      </c>
      <c r="K64" s="18" t="str">
        <f ca="1">IFERROR(__xludf.DUMMYFUNCTION("""COMPUTED_VALUE"""),"")</f>
        <v/>
      </c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20"/>
      <c r="W64" s="20"/>
      <c r="X64" s="20"/>
      <c r="Y64" s="20"/>
      <c r="Z64" s="21"/>
      <c r="AA64" s="22"/>
      <c r="AB64" s="23"/>
    </row>
    <row r="65" spans="1:28" ht="13.5" customHeight="1" x14ac:dyDescent="0.35">
      <c r="A65" s="24" t="str">
        <f ca="1">IFERROR(__xludf.DUMMYFUNCTION("""COMPUTED_VALUE"""),"")</f>
        <v/>
      </c>
      <c r="B65" s="28" t="str">
        <f ca="1">IFERROR(__xludf.DUMMYFUNCTION("""COMPUTED_VALUE"""),"")</f>
        <v/>
      </c>
      <c r="C65" s="27" t="str">
        <f ca="1">IFERROR(__xludf.DUMMYFUNCTION("""COMPUTED_VALUE"""),"")</f>
        <v/>
      </c>
      <c r="D65" s="27" t="str">
        <f ca="1">IFERROR(__xludf.DUMMYFUNCTION("""COMPUTED_VALUE"""),"")</f>
        <v/>
      </c>
      <c r="E65" s="15" t="str">
        <f ca="1">IFERROR(__xludf.DUMMYFUNCTION("""COMPUTED_VALUE"""),"")</f>
        <v/>
      </c>
      <c r="F65" s="51" t="str">
        <f ca="1">IFERROR(__xludf.DUMMYFUNCTION("""COMPUTED_VALUE"""),"")</f>
        <v/>
      </c>
      <c r="G65" s="16" t="str">
        <f ca="1">IFERROR(__xludf.DUMMYFUNCTION("""COMPUTED_VALUE"""),"")</f>
        <v/>
      </c>
      <c r="H65" s="17" t="str">
        <f ca="1">IFERROR(__xludf.DUMMYFUNCTION("""COMPUTED_VALUE"""),"")</f>
        <v/>
      </c>
      <c r="I65" s="17" t="str">
        <f ca="1">IFERROR(__xludf.DUMMYFUNCTION("""COMPUTED_VALUE"""),"")</f>
        <v/>
      </c>
      <c r="J65" s="17" t="str">
        <f ca="1">IFERROR(__xludf.DUMMYFUNCTION("""COMPUTED_VALUE"""),"")</f>
        <v/>
      </c>
      <c r="K65" s="18" t="str">
        <f ca="1">IFERROR(__xludf.DUMMYFUNCTION("""COMPUTED_VALUE"""),"")</f>
        <v/>
      </c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20"/>
      <c r="W65" s="20"/>
      <c r="X65" s="20"/>
      <c r="Y65" s="20"/>
      <c r="Z65" s="21"/>
      <c r="AA65" s="22"/>
      <c r="AB65" s="23"/>
    </row>
    <row r="66" spans="1:28" ht="13.5" customHeight="1" x14ac:dyDescent="0.35">
      <c r="A66" s="24" t="str">
        <f ca="1">IFERROR(__xludf.DUMMYFUNCTION("""COMPUTED_VALUE"""),"")</f>
        <v/>
      </c>
      <c r="B66" s="28" t="str">
        <f ca="1">IFERROR(__xludf.DUMMYFUNCTION("""COMPUTED_VALUE"""),"")</f>
        <v/>
      </c>
      <c r="C66" s="27" t="str">
        <f ca="1">IFERROR(__xludf.DUMMYFUNCTION("""COMPUTED_VALUE"""),"")</f>
        <v/>
      </c>
      <c r="D66" s="27" t="str">
        <f ca="1">IFERROR(__xludf.DUMMYFUNCTION("""COMPUTED_VALUE"""),"")</f>
        <v/>
      </c>
      <c r="E66" s="15" t="str">
        <f ca="1">IFERROR(__xludf.DUMMYFUNCTION("""COMPUTED_VALUE"""),"")</f>
        <v/>
      </c>
      <c r="F66" s="51" t="str">
        <f ca="1">IFERROR(__xludf.DUMMYFUNCTION("""COMPUTED_VALUE"""),"")</f>
        <v/>
      </c>
      <c r="G66" s="16" t="str">
        <f ca="1">IFERROR(__xludf.DUMMYFUNCTION("""COMPUTED_VALUE"""),"")</f>
        <v/>
      </c>
      <c r="H66" s="17" t="str">
        <f ca="1">IFERROR(__xludf.DUMMYFUNCTION("""COMPUTED_VALUE"""),"")</f>
        <v/>
      </c>
      <c r="I66" s="17" t="str">
        <f ca="1">IFERROR(__xludf.DUMMYFUNCTION("""COMPUTED_VALUE"""),"")</f>
        <v/>
      </c>
      <c r="J66" s="17" t="str">
        <f ca="1">IFERROR(__xludf.DUMMYFUNCTION("""COMPUTED_VALUE"""),"")</f>
        <v/>
      </c>
      <c r="K66" s="18" t="str">
        <f ca="1">IFERROR(__xludf.DUMMYFUNCTION("""COMPUTED_VALUE"""),"")</f>
        <v/>
      </c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20"/>
      <c r="W66" s="20"/>
      <c r="X66" s="20"/>
      <c r="Y66" s="20"/>
      <c r="Z66" s="21"/>
      <c r="AA66" s="22"/>
      <c r="AB66" s="23"/>
    </row>
    <row r="67" spans="1:28" ht="13.5" customHeight="1" x14ac:dyDescent="0.35">
      <c r="A67" s="24" t="str">
        <f ca="1">IFERROR(__xludf.DUMMYFUNCTION("""COMPUTED_VALUE"""),"")</f>
        <v/>
      </c>
      <c r="B67" s="28" t="str">
        <f ca="1">IFERROR(__xludf.DUMMYFUNCTION("""COMPUTED_VALUE"""),"")</f>
        <v/>
      </c>
      <c r="C67" s="27" t="str">
        <f ca="1">IFERROR(__xludf.DUMMYFUNCTION("""COMPUTED_VALUE"""),"")</f>
        <v/>
      </c>
      <c r="D67" s="27" t="str">
        <f ca="1">IFERROR(__xludf.DUMMYFUNCTION("""COMPUTED_VALUE"""),"")</f>
        <v/>
      </c>
      <c r="E67" s="15" t="str">
        <f ca="1">IFERROR(__xludf.DUMMYFUNCTION("""COMPUTED_VALUE"""),"")</f>
        <v/>
      </c>
      <c r="F67" s="51" t="str">
        <f ca="1">IFERROR(__xludf.DUMMYFUNCTION("""COMPUTED_VALUE"""),"")</f>
        <v/>
      </c>
      <c r="G67" s="16" t="str">
        <f ca="1">IFERROR(__xludf.DUMMYFUNCTION("""COMPUTED_VALUE"""),"")</f>
        <v/>
      </c>
      <c r="H67" s="17" t="str">
        <f ca="1">IFERROR(__xludf.DUMMYFUNCTION("""COMPUTED_VALUE"""),"")</f>
        <v/>
      </c>
      <c r="I67" s="17" t="str">
        <f ca="1">IFERROR(__xludf.DUMMYFUNCTION("""COMPUTED_VALUE"""),"")</f>
        <v/>
      </c>
      <c r="J67" s="17" t="str">
        <f ca="1">IFERROR(__xludf.DUMMYFUNCTION("""COMPUTED_VALUE"""),"")</f>
        <v/>
      </c>
      <c r="K67" s="18" t="str">
        <f ca="1">IFERROR(__xludf.DUMMYFUNCTION("""COMPUTED_VALUE"""),"")</f>
        <v/>
      </c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20"/>
      <c r="W67" s="20"/>
      <c r="X67" s="20"/>
      <c r="Y67" s="20"/>
      <c r="Z67" s="21"/>
      <c r="AA67" s="22"/>
      <c r="AB67" s="23"/>
    </row>
    <row r="68" spans="1:28" ht="13.5" customHeight="1" x14ac:dyDescent="0.35">
      <c r="A68" s="24" t="str">
        <f ca="1">IFERROR(__xludf.DUMMYFUNCTION("""COMPUTED_VALUE"""),"")</f>
        <v/>
      </c>
      <c r="B68" s="28" t="str">
        <f ca="1">IFERROR(__xludf.DUMMYFUNCTION("""COMPUTED_VALUE"""),"")</f>
        <v/>
      </c>
      <c r="C68" s="27" t="str">
        <f ca="1">IFERROR(__xludf.DUMMYFUNCTION("""COMPUTED_VALUE"""),"")</f>
        <v/>
      </c>
      <c r="D68" s="27" t="str">
        <f ca="1">IFERROR(__xludf.DUMMYFUNCTION("""COMPUTED_VALUE"""),"")</f>
        <v/>
      </c>
      <c r="E68" s="15" t="str">
        <f ca="1">IFERROR(__xludf.DUMMYFUNCTION("""COMPUTED_VALUE"""),"")</f>
        <v/>
      </c>
      <c r="F68" s="51" t="str">
        <f ca="1">IFERROR(__xludf.DUMMYFUNCTION("""COMPUTED_VALUE"""),"")</f>
        <v/>
      </c>
      <c r="G68" s="16" t="str">
        <f ca="1">IFERROR(__xludf.DUMMYFUNCTION("""COMPUTED_VALUE"""),"")</f>
        <v/>
      </c>
      <c r="H68" s="17" t="str">
        <f ca="1">IFERROR(__xludf.DUMMYFUNCTION("""COMPUTED_VALUE"""),"")</f>
        <v/>
      </c>
      <c r="I68" s="17" t="str">
        <f ca="1">IFERROR(__xludf.DUMMYFUNCTION("""COMPUTED_VALUE"""),"")</f>
        <v/>
      </c>
      <c r="J68" s="17" t="str">
        <f ca="1">IFERROR(__xludf.DUMMYFUNCTION("""COMPUTED_VALUE"""),"")</f>
        <v/>
      </c>
      <c r="K68" s="18" t="str">
        <f ca="1">IFERROR(__xludf.DUMMYFUNCTION("""COMPUTED_VALUE"""),"")</f>
        <v/>
      </c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20"/>
      <c r="W68" s="20"/>
      <c r="X68" s="20"/>
      <c r="Y68" s="20"/>
      <c r="Z68" s="21"/>
      <c r="AA68" s="22"/>
      <c r="AB68" s="23"/>
    </row>
    <row r="69" spans="1:28" ht="13.5" customHeight="1" x14ac:dyDescent="0.35">
      <c r="A69" s="24" t="str">
        <f ca="1">IFERROR(__xludf.DUMMYFUNCTION("""COMPUTED_VALUE"""),"")</f>
        <v/>
      </c>
      <c r="B69" s="28" t="str">
        <f ca="1">IFERROR(__xludf.DUMMYFUNCTION("""COMPUTED_VALUE"""),"")</f>
        <v/>
      </c>
      <c r="C69" s="27" t="str">
        <f ca="1">IFERROR(__xludf.DUMMYFUNCTION("""COMPUTED_VALUE"""),"")</f>
        <v/>
      </c>
      <c r="D69" s="27" t="str">
        <f ca="1">IFERROR(__xludf.DUMMYFUNCTION("""COMPUTED_VALUE"""),"")</f>
        <v/>
      </c>
      <c r="E69" s="15" t="str">
        <f ca="1">IFERROR(__xludf.DUMMYFUNCTION("""COMPUTED_VALUE"""),"")</f>
        <v/>
      </c>
      <c r="F69" s="51" t="str">
        <f ca="1">IFERROR(__xludf.DUMMYFUNCTION("""COMPUTED_VALUE"""),"")</f>
        <v/>
      </c>
      <c r="G69" s="16" t="str">
        <f ca="1">IFERROR(__xludf.DUMMYFUNCTION("""COMPUTED_VALUE"""),"")</f>
        <v/>
      </c>
      <c r="H69" s="17" t="str">
        <f ca="1">IFERROR(__xludf.DUMMYFUNCTION("""COMPUTED_VALUE"""),"")</f>
        <v/>
      </c>
      <c r="I69" s="17" t="str">
        <f ca="1">IFERROR(__xludf.DUMMYFUNCTION("""COMPUTED_VALUE"""),"")</f>
        <v/>
      </c>
      <c r="J69" s="17" t="str">
        <f ca="1">IFERROR(__xludf.DUMMYFUNCTION("""COMPUTED_VALUE"""),"")</f>
        <v/>
      </c>
      <c r="K69" s="18" t="str">
        <f ca="1">IFERROR(__xludf.DUMMYFUNCTION("""COMPUTED_VALUE"""),"")</f>
        <v/>
      </c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20"/>
      <c r="W69" s="20"/>
      <c r="X69" s="20"/>
      <c r="Y69" s="20"/>
      <c r="Z69" s="21"/>
      <c r="AA69" s="22"/>
      <c r="AB69" s="23"/>
    </row>
    <row r="70" spans="1:28" ht="13.5" customHeight="1" x14ac:dyDescent="0.35">
      <c r="A70" s="24" t="str">
        <f ca="1">IFERROR(__xludf.DUMMYFUNCTION("""COMPUTED_VALUE"""),"")</f>
        <v/>
      </c>
      <c r="B70" s="28" t="str">
        <f ca="1">IFERROR(__xludf.DUMMYFUNCTION("""COMPUTED_VALUE"""),"")</f>
        <v/>
      </c>
      <c r="C70" s="27" t="str">
        <f ca="1">IFERROR(__xludf.DUMMYFUNCTION("""COMPUTED_VALUE"""),"")</f>
        <v/>
      </c>
      <c r="D70" s="27" t="str">
        <f ca="1">IFERROR(__xludf.DUMMYFUNCTION("""COMPUTED_VALUE"""),"")</f>
        <v/>
      </c>
      <c r="E70" s="15" t="str">
        <f ca="1">IFERROR(__xludf.DUMMYFUNCTION("""COMPUTED_VALUE"""),"")</f>
        <v/>
      </c>
      <c r="F70" s="51" t="str">
        <f ca="1">IFERROR(__xludf.DUMMYFUNCTION("""COMPUTED_VALUE"""),"")</f>
        <v/>
      </c>
      <c r="G70" s="16" t="str">
        <f ca="1">IFERROR(__xludf.DUMMYFUNCTION("""COMPUTED_VALUE"""),"")</f>
        <v/>
      </c>
      <c r="H70" s="17" t="str">
        <f ca="1">IFERROR(__xludf.DUMMYFUNCTION("""COMPUTED_VALUE"""),"")</f>
        <v/>
      </c>
      <c r="I70" s="17" t="str">
        <f ca="1">IFERROR(__xludf.DUMMYFUNCTION("""COMPUTED_VALUE"""),"")</f>
        <v/>
      </c>
      <c r="J70" s="17" t="str">
        <f ca="1">IFERROR(__xludf.DUMMYFUNCTION("""COMPUTED_VALUE"""),"")</f>
        <v/>
      </c>
      <c r="K70" s="18" t="str">
        <f ca="1">IFERROR(__xludf.DUMMYFUNCTION("""COMPUTED_VALUE"""),"")</f>
        <v/>
      </c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20"/>
      <c r="W70" s="20"/>
      <c r="X70" s="20"/>
      <c r="Y70" s="20"/>
      <c r="Z70" s="21"/>
      <c r="AA70" s="22"/>
      <c r="AB70" s="23"/>
    </row>
    <row r="71" spans="1:28" ht="13.5" customHeight="1" x14ac:dyDescent="0.35">
      <c r="A71" s="24" t="str">
        <f ca="1">IFERROR(__xludf.DUMMYFUNCTION("""COMPUTED_VALUE"""),"")</f>
        <v/>
      </c>
      <c r="B71" s="28" t="str">
        <f ca="1">IFERROR(__xludf.DUMMYFUNCTION("""COMPUTED_VALUE"""),"")</f>
        <v/>
      </c>
      <c r="C71" s="27" t="str">
        <f ca="1">IFERROR(__xludf.DUMMYFUNCTION("""COMPUTED_VALUE"""),"")</f>
        <v/>
      </c>
      <c r="D71" s="27" t="str">
        <f ca="1">IFERROR(__xludf.DUMMYFUNCTION("""COMPUTED_VALUE"""),"")</f>
        <v/>
      </c>
      <c r="E71" s="15" t="str">
        <f ca="1">IFERROR(__xludf.DUMMYFUNCTION("""COMPUTED_VALUE"""),"")</f>
        <v/>
      </c>
      <c r="F71" s="51" t="str">
        <f ca="1">IFERROR(__xludf.DUMMYFUNCTION("""COMPUTED_VALUE"""),"")</f>
        <v/>
      </c>
      <c r="G71" s="16" t="str">
        <f ca="1">IFERROR(__xludf.DUMMYFUNCTION("""COMPUTED_VALUE"""),"")</f>
        <v/>
      </c>
      <c r="H71" s="17" t="str">
        <f ca="1">IFERROR(__xludf.DUMMYFUNCTION("""COMPUTED_VALUE"""),"")</f>
        <v/>
      </c>
      <c r="I71" s="17" t="str">
        <f ca="1">IFERROR(__xludf.DUMMYFUNCTION("""COMPUTED_VALUE"""),"")</f>
        <v/>
      </c>
      <c r="J71" s="17" t="str">
        <f ca="1">IFERROR(__xludf.DUMMYFUNCTION("""COMPUTED_VALUE"""),"")</f>
        <v/>
      </c>
      <c r="K71" s="18" t="str">
        <f ca="1">IFERROR(__xludf.DUMMYFUNCTION("""COMPUTED_VALUE"""),"")</f>
        <v/>
      </c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20"/>
      <c r="W71" s="20"/>
      <c r="X71" s="20"/>
      <c r="Y71" s="20"/>
      <c r="Z71" s="21"/>
      <c r="AA71" s="22"/>
      <c r="AB71" s="23"/>
    </row>
    <row r="72" spans="1:28" ht="13.5" customHeight="1" x14ac:dyDescent="0.35">
      <c r="A72" s="24" t="str">
        <f ca="1">IFERROR(__xludf.DUMMYFUNCTION("""COMPUTED_VALUE"""),"")</f>
        <v/>
      </c>
      <c r="B72" s="28" t="str">
        <f ca="1">IFERROR(__xludf.DUMMYFUNCTION("""COMPUTED_VALUE"""),"")</f>
        <v/>
      </c>
      <c r="C72" s="27" t="str">
        <f ca="1">IFERROR(__xludf.DUMMYFUNCTION("""COMPUTED_VALUE"""),"")</f>
        <v/>
      </c>
      <c r="D72" s="27" t="str">
        <f ca="1">IFERROR(__xludf.DUMMYFUNCTION("""COMPUTED_VALUE"""),"")</f>
        <v/>
      </c>
      <c r="E72" s="15" t="str">
        <f ca="1">IFERROR(__xludf.DUMMYFUNCTION("""COMPUTED_VALUE"""),"")</f>
        <v/>
      </c>
      <c r="F72" s="51" t="str">
        <f ca="1">IFERROR(__xludf.DUMMYFUNCTION("""COMPUTED_VALUE"""),"")</f>
        <v/>
      </c>
      <c r="G72" s="16" t="str">
        <f ca="1">IFERROR(__xludf.DUMMYFUNCTION("""COMPUTED_VALUE"""),"")</f>
        <v/>
      </c>
      <c r="H72" s="17" t="str">
        <f ca="1">IFERROR(__xludf.DUMMYFUNCTION("""COMPUTED_VALUE"""),"")</f>
        <v/>
      </c>
      <c r="I72" s="17" t="str">
        <f ca="1">IFERROR(__xludf.DUMMYFUNCTION("""COMPUTED_VALUE"""),"")</f>
        <v/>
      </c>
      <c r="J72" s="17" t="str">
        <f ca="1">IFERROR(__xludf.DUMMYFUNCTION("""COMPUTED_VALUE"""),"")</f>
        <v/>
      </c>
      <c r="K72" s="18" t="str">
        <f ca="1">IFERROR(__xludf.DUMMYFUNCTION("""COMPUTED_VALUE"""),"")</f>
        <v/>
      </c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20"/>
      <c r="W72" s="20"/>
      <c r="X72" s="20"/>
      <c r="Y72" s="20"/>
      <c r="Z72" s="21"/>
      <c r="AA72" s="22"/>
      <c r="AB72" s="23"/>
    </row>
    <row r="73" spans="1:28" ht="13.5" customHeight="1" x14ac:dyDescent="0.35">
      <c r="A73" s="24" t="str">
        <f ca="1">IFERROR(__xludf.DUMMYFUNCTION("""COMPUTED_VALUE"""),"")</f>
        <v/>
      </c>
      <c r="B73" s="28" t="str">
        <f ca="1">IFERROR(__xludf.DUMMYFUNCTION("""COMPUTED_VALUE"""),"")</f>
        <v/>
      </c>
      <c r="C73" s="27" t="str">
        <f ca="1">IFERROR(__xludf.DUMMYFUNCTION("""COMPUTED_VALUE"""),"")</f>
        <v/>
      </c>
      <c r="D73" s="27" t="str">
        <f ca="1">IFERROR(__xludf.DUMMYFUNCTION("""COMPUTED_VALUE"""),"")</f>
        <v/>
      </c>
      <c r="E73" s="15" t="str">
        <f ca="1">IFERROR(__xludf.DUMMYFUNCTION("""COMPUTED_VALUE"""),"")</f>
        <v/>
      </c>
      <c r="F73" s="51" t="str">
        <f ca="1">IFERROR(__xludf.DUMMYFUNCTION("""COMPUTED_VALUE"""),"")</f>
        <v/>
      </c>
      <c r="G73" s="16" t="str">
        <f ca="1">IFERROR(__xludf.DUMMYFUNCTION("""COMPUTED_VALUE"""),"")</f>
        <v/>
      </c>
      <c r="H73" s="17" t="str">
        <f ca="1">IFERROR(__xludf.DUMMYFUNCTION("""COMPUTED_VALUE"""),"")</f>
        <v/>
      </c>
      <c r="I73" s="17" t="str">
        <f ca="1">IFERROR(__xludf.DUMMYFUNCTION("""COMPUTED_VALUE"""),"")</f>
        <v/>
      </c>
      <c r="J73" s="17" t="str">
        <f ca="1">IFERROR(__xludf.DUMMYFUNCTION("""COMPUTED_VALUE"""),"")</f>
        <v/>
      </c>
      <c r="K73" s="18" t="str">
        <f ca="1">IFERROR(__xludf.DUMMYFUNCTION("""COMPUTED_VALUE"""),"")</f>
        <v/>
      </c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20"/>
      <c r="W73" s="20"/>
      <c r="X73" s="20"/>
      <c r="Y73" s="20"/>
      <c r="Z73" s="21"/>
      <c r="AA73" s="22"/>
      <c r="AB73" s="23"/>
    </row>
    <row r="74" spans="1:28" ht="13.5" customHeight="1" x14ac:dyDescent="0.35">
      <c r="A74" s="24" t="str">
        <f ca="1">IFERROR(__xludf.DUMMYFUNCTION("""COMPUTED_VALUE"""),"")</f>
        <v/>
      </c>
      <c r="B74" s="28" t="str">
        <f ca="1">IFERROR(__xludf.DUMMYFUNCTION("""COMPUTED_VALUE"""),"")</f>
        <v/>
      </c>
      <c r="C74" s="27" t="str">
        <f ca="1">IFERROR(__xludf.DUMMYFUNCTION("""COMPUTED_VALUE"""),"")</f>
        <v/>
      </c>
      <c r="D74" s="27" t="str">
        <f ca="1">IFERROR(__xludf.DUMMYFUNCTION("""COMPUTED_VALUE"""),"")</f>
        <v/>
      </c>
      <c r="E74" s="15" t="str">
        <f ca="1">IFERROR(__xludf.DUMMYFUNCTION("""COMPUTED_VALUE"""),"")</f>
        <v/>
      </c>
      <c r="F74" s="51" t="str">
        <f ca="1">IFERROR(__xludf.DUMMYFUNCTION("""COMPUTED_VALUE"""),"")</f>
        <v/>
      </c>
      <c r="G74" s="16" t="str">
        <f ca="1">IFERROR(__xludf.DUMMYFUNCTION("""COMPUTED_VALUE"""),"")</f>
        <v/>
      </c>
      <c r="H74" s="17" t="str">
        <f ca="1">IFERROR(__xludf.DUMMYFUNCTION("""COMPUTED_VALUE"""),"")</f>
        <v/>
      </c>
      <c r="I74" s="17" t="str">
        <f ca="1">IFERROR(__xludf.DUMMYFUNCTION("""COMPUTED_VALUE"""),"")</f>
        <v/>
      </c>
      <c r="J74" s="17" t="str">
        <f ca="1">IFERROR(__xludf.DUMMYFUNCTION("""COMPUTED_VALUE"""),"")</f>
        <v/>
      </c>
      <c r="K74" s="18" t="str">
        <f ca="1">IFERROR(__xludf.DUMMYFUNCTION("""COMPUTED_VALUE"""),"")</f>
        <v/>
      </c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20"/>
      <c r="W74" s="20"/>
      <c r="X74" s="20"/>
      <c r="Y74" s="20"/>
      <c r="Z74" s="21"/>
      <c r="AA74" s="22"/>
      <c r="AB74" s="23"/>
    </row>
    <row r="75" spans="1:28" ht="13.5" customHeight="1" x14ac:dyDescent="0.35">
      <c r="A75" s="24" t="str">
        <f ca="1">IFERROR(__xludf.DUMMYFUNCTION("""COMPUTED_VALUE"""),"")</f>
        <v/>
      </c>
      <c r="B75" s="28" t="str">
        <f ca="1">IFERROR(__xludf.DUMMYFUNCTION("""COMPUTED_VALUE"""),"")</f>
        <v/>
      </c>
      <c r="C75" s="27" t="str">
        <f ca="1">IFERROR(__xludf.DUMMYFUNCTION("""COMPUTED_VALUE"""),"")</f>
        <v/>
      </c>
      <c r="D75" s="27" t="str">
        <f ca="1">IFERROR(__xludf.DUMMYFUNCTION("""COMPUTED_VALUE"""),"")</f>
        <v/>
      </c>
      <c r="E75" s="15" t="str">
        <f ca="1">IFERROR(__xludf.DUMMYFUNCTION("""COMPUTED_VALUE"""),"")</f>
        <v/>
      </c>
      <c r="F75" s="51" t="str">
        <f ca="1">IFERROR(__xludf.DUMMYFUNCTION("""COMPUTED_VALUE"""),"")</f>
        <v/>
      </c>
      <c r="G75" s="16" t="str">
        <f ca="1">IFERROR(__xludf.DUMMYFUNCTION("""COMPUTED_VALUE"""),"")</f>
        <v/>
      </c>
      <c r="H75" s="17" t="str">
        <f ca="1">IFERROR(__xludf.DUMMYFUNCTION("""COMPUTED_VALUE"""),"")</f>
        <v/>
      </c>
      <c r="I75" s="17" t="str">
        <f ca="1">IFERROR(__xludf.DUMMYFUNCTION("""COMPUTED_VALUE"""),"")</f>
        <v/>
      </c>
      <c r="J75" s="17" t="str">
        <f ca="1">IFERROR(__xludf.DUMMYFUNCTION("""COMPUTED_VALUE"""),"")</f>
        <v/>
      </c>
      <c r="K75" s="18" t="str">
        <f ca="1">IFERROR(__xludf.DUMMYFUNCTION("""COMPUTED_VALUE"""),"")</f>
        <v/>
      </c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20"/>
      <c r="W75" s="20"/>
      <c r="X75" s="20"/>
      <c r="Y75" s="20"/>
      <c r="Z75" s="21"/>
      <c r="AA75" s="22"/>
      <c r="AB75" s="23"/>
    </row>
    <row r="76" spans="1:28" ht="13.5" customHeight="1" x14ac:dyDescent="0.35">
      <c r="A76" s="24" t="str">
        <f ca="1">IFERROR(__xludf.DUMMYFUNCTION("""COMPUTED_VALUE"""),"")</f>
        <v/>
      </c>
      <c r="B76" s="28" t="str">
        <f ca="1">IFERROR(__xludf.DUMMYFUNCTION("""COMPUTED_VALUE"""),"")</f>
        <v/>
      </c>
      <c r="C76" s="27" t="str">
        <f ca="1">IFERROR(__xludf.DUMMYFUNCTION("""COMPUTED_VALUE"""),"")</f>
        <v/>
      </c>
      <c r="D76" s="27" t="str">
        <f ca="1">IFERROR(__xludf.DUMMYFUNCTION("""COMPUTED_VALUE"""),"")</f>
        <v/>
      </c>
      <c r="E76" s="15" t="str">
        <f ca="1">IFERROR(__xludf.DUMMYFUNCTION("""COMPUTED_VALUE"""),"")</f>
        <v/>
      </c>
      <c r="F76" s="51" t="str">
        <f ca="1">IFERROR(__xludf.DUMMYFUNCTION("""COMPUTED_VALUE"""),"")</f>
        <v/>
      </c>
      <c r="G76" s="16" t="str">
        <f ca="1">IFERROR(__xludf.DUMMYFUNCTION("""COMPUTED_VALUE"""),"")</f>
        <v/>
      </c>
      <c r="H76" s="17" t="str">
        <f ca="1">IFERROR(__xludf.DUMMYFUNCTION("""COMPUTED_VALUE"""),"")</f>
        <v/>
      </c>
      <c r="I76" s="17" t="str">
        <f ca="1">IFERROR(__xludf.DUMMYFUNCTION("""COMPUTED_VALUE"""),"")</f>
        <v/>
      </c>
      <c r="J76" s="17" t="str">
        <f ca="1">IFERROR(__xludf.DUMMYFUNCTION("""COMPUTED_VALUE"""),"")</f>
        <v/>
      </c>
      <c r="K76" s="18" t="str">
        <f ca="1">IFERROR(__xludf.DUMMYFUNCTION("""COMPUTED_VALUE"""),"")</f>
        <v/>
      </c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20"/>
      <c r="W76" s="20"/>
      <c r="X76" s="20"/>
      <c r="Y76" s="20"/>
      <c r="Z76" s="21"/>
      <c r="AA76" s="22"/>
      <c r="AB76" s="23"/>
    </row>
    <row r="77" spans="1:28" ht="13.5" customHeight="1" x14ac:dyDescent="0.35">
      <c r="A77" s="24" t="str">
        <f ca="1">IFERROR(__xludf.DUMMYFUNCTION("""COMPUTED_VALUE"""),"")</f>
        <v/>
      </c>
      <c r="B77" s="28" t="str">
        <f ca="1">IFERROR(__xludf.DUMMYFUNCTION("""COMPUTED_VALUE"""),"")</f>
        <v/>
      </c>
      <c r="C77" s="27" t="str">
        <f ca="1">IFERROR(__xludf.DUMMYFUNCTION("""COMPUTED_VALUE"""),"")</f>
        <v/>
      </c>
      <c r="D77" s="27" t="str">
        <f ca="1">IFERROR(__xludf.DUMMYFUNCTION("""COMPUTED_VALUE"""),"")</f>
        <v/>
      </c>
      <c r="E77" s="15" t="str">
        <f ca="1">IFERROR(__xludf.DUMMYFUNCTION("""COMPUTED_VALUE"""),"")</f>
        <v/>
      </c>
      <c r="F77" s="51" t="str">
        <f ca="1">IFERROR(__xludf.DUMMYFUNCTION("""COMPUTED_VALUE"""),"")</f>
        <v/>
      </c>
      <c r="G77" s="16" t="str">
        <f ca="1">IFERROR(__xludf.DUMMYFUNCTION("""COMPUTED_VALUE"""),"")</f>
        <v/>
      </c>
      <c r="H77" s="17" t="str">
        <f ca="1">IFERROR(__xludf.DUMMYFUNCTION("""COMPUTED_VALUE"""),"")</f>
        <v/>
      </c>
      <c r="I77" s="17" t="str">
        <f ca="1">IFERROR(__xludf.DUMMYFUNCTION("""COMPUTED_VALUE"""),"")</f>
        <v/>
      </c>
      <c r="J77" s="17" t="str">
        <f ca="1">IFERROR(__xludf.DUMMYFUNCTION("""COMPUTED_VALUE"""),"")</f>
        <v/>
      </c>
      <c r="K77" s="18" t="str">
        <f ca="1">IFERROR(__xludf.DUMMYFUNCTION("""COMPUTED_VALUE"""),"")</f>
        <v/>
      </c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20"/>
      <c r="W77" s="20"/>
      <c r="X77" s="20"/>
      <c r="Y77" s="20"/>
      <c r="Z77" s="21"/>
      <c r="AA77" s="22"/>
      <c r="AB77" s="23"/>
    </row>
    <row r="78" spans="1:28" ht="13.5" customHeight="1" x14ac:dyDescent="0.35">
      <c r="A78" s="24" t="str">
        <f ca="1">IFERROR(__xludf.DUMMYFUNCTION("""COMPUTED_VALUE"""),"")</f>
        <v/>
      </c>
      <c r="B78" s="28" t="str">
        <f ca="1">IFERROR(__xludf.DUMMYFUNCTION("""COMPUTED_VALUE"""),"")</f>
        <v/>
      </c>
      <c r="C78" s="27" t="str">
        <f ca="1">IFERROR(__xludf.DUMMYFUNCTION("""COMPUTED_VALUE"""),"")</f>
        <v/>
      </c>
      <c r="D78" s="27" t="str">
        <f ca="1">IFERROR(__xludf.DUMMYFUNCTION("""COMPUTED_VALUE"""),"")</f>
        <v/>
      </c>
      <c r="E78" s="15" t="str">
        <f ca="1">IFERROR(__xludf.DUMMYFUNCTION("""COMPUTED_VALUE"""),"")</f>
        <v/>
      </c>
      <c r="F78" s="51" t="str">
        <f ca="1">IFERROR(__xludf.DUMMYFUNCTION("""COMPUTED_VALUE"""),"")</f>
        <v/>
      </c>
      <c r="G78" s="16" t="str">
        <f ca="1">IFERROR(__xludf.DUMMYFUNCTION("""COMPUTED_VALUE"""),"")</f>
        <v/>
      </c>
      <c r="H78" s="17" t="str">
        <f ca="1">IFERROR(__xludf.DUMMYFUNCTION("""COMPUTED_VALUE"""),"")</f>
        <v/>
      </c>
      <c r="I78" s="17" t="str">
        <f ca="1">IFERROR(__xludf.DUMMYFUNCTION("""COMPUTED_VALUE"""),"")</f>
        <v/>
      </c>
      <c r="J78" s="17" t="str">
        <f ca="1">IFERROR(__xludf.DUMMYFUNCTION("""COMPUTED_VALUE"""),"")</f>
        <v/>
      </c>
      <c r="K78" s="18" t="str">
        <f ca="1">IFERROR(__xludf.DUMMYFUNCTION("""COMPUTED_VALUE"""),"")</f>
        <v/>
      </c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20"/>
      <c r="W78" s="20"/>
      <c r="X78" s="20"/>
      <c r="Y78" s="20"/>
      <c r="Z78" s="21"/>
      <c r="AA78" s="22"/>
      <c r="AB78" s="23"/>
    </row>
    <row r="79" spans="1:28" ht="13.5" customHeight="1" x14ac:dyDescent="0.35">
      <c r="A79" s="24" t="str">
        <f ca="1">IFERROR(__xludf.DUMMYFUNCTION("""COMPUTED_VALUE"""),"")</f>
        <v/>
      </c>
      <c r="B79" s="28" t="str">
        <f ca="1">IFERROR(__xludf.DUMMYFUNCTION("""COMPUTED_VALUE"""),"")</f>
        <v/>
      </c>
      <c r="C79" s="27" t="str">
        <f ca="1">IFERROR(__xludf.DUMMYFUNCTION("""COMPUTED_VALUE"""),"")</f>
        <v/>
      </c>
      <c r="D79" s="27" t="str">
        <f ca="1">IFERROR(__xludf.DUMMYFUNCTION("""COMPUTED_VALUE"""),"")</f>
        <v/>
      </c>
      <c r="E79" s="15" t="str">
        <f ca="1">IFERROR(__xludf.DUMMYFUNCTION("""COMPUTED_VALUE"""),"")</f>
        <v/>
      </c>
      <c r="F79" s="51" t="str">
        <f ca="1">IFERROR(__xludf.DUMMYFUNCTION("""COMPUTED_VALUE"""),"")</f>
        <v/>
      </c>
      <c r="G79" s="16" t="str">
        <f ca="1">IFERROR(__xludf.DUMMYFUNCTION("""COMPUTED_VALUE"""),"")</f>
        <v/>
      </c>
      <c r="H79" s="17" t="str">
        <f ca="1">IFERROR(__xludf.DUMMYFUNCTION("""COMPUTED_VALUE"""),"")</f>
        <v/>
      </c>
      <c r="I79" s="17" t="str">
        <f ca="1">IFERROR(__xludf.DUMMYFUNCTION("""COMPUTED_VALUE"""),"")</f>
        <v/>
      </c>
      <c r="J79" s="17" t="str">
        <f ca="1">IFERROR(__xludf.DUMMYFUNCTION("""COMPUTED_VALUE"""),"")</f>
        <v/>
      </c>
      <c r="K79" s="18" t="str">
        <f ca="1">IFERROR(__xludf.DUMMYFUNCTION("""COMPUTED_VALUE"""),"")</f>
        <v/>
      </c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20"/>
      <c r="W79" s="20"/>
      <c r="X79" s="20"/>
      <c r="Y79" s="20"/>
      <c r="Z79" s="21"/>
      <c r="AA79" s="22"/>
      <c r="AB79" s="23"/>
    </row>
    <row r="80" spans="1:28" ht="13.5" customHeight="1" x14ac:dyDescent="0.35">
      <c r="A80" s="24" t="str">
        <f ca="1">IFERROR(__xludf.DUMMYFUNCTION("""COMPUTED_VALUE"""),"")</f>
        <v/>
      </c>
      <c r="B80" s="28" t="str">
        <f ca="1">IFERROR(__xludf.DUMMYFUNCTION("""COMPUTED_VALUE"""),"")</f>
        <v/>
      </c>
      <c r="C80" s="27" t="str">
        <f ca="1">IFERROR(__xludf.DUMMYFUNCTION("""COMPUTED_VALUE"""),"")</f>
        <v/>
      </c>
      <c r="D80" s="27" t="str">
        <f ca="1">IFERROR(__xludf.DUMMYFUNCTION("""COMPUTED_VALUE"""),"")</f>
        <v/>
      </c>
      <c r="E80" s="15" t="str">
        <f ca="1">IFERROR(__xludf.DUMMYFUNCTION("""COMPUTED_VALUE"""),"")</f>
        <v/>
      </c>
      <c r="F80" s="51" t="str">
        <f ca="1">IFERROR(__xludf.DUMMYFUNCTION("""COMPUTED_VALUE"""),"")</f>
        <v/>
      </c>
      <c r="G80" s="16" t="str">
        <f ca="1">IFERROR(__xludf.DUMMYFUNCTION("""COMPUTED_VALUE"""),"")</f>
        <v/>
      </c>
      <c r="H80" s="17" t="str">
        <f ca="1">IFERROR(__xludf.DUMMYFUNCTION("""COMPUTED_VALUE"""),"")</f>
        <v/>
      </c>
      <c r="I80" s="17" t="str">
        <f ca="1">IFERROR(__xludf.DUMMYFUNCTION("""COMPUTED_VALUE"""),"")</f>
        <v/>
      </c>
      <c r="J80" s="17" t="str">
        <f ca="1">IFERROR(__xludf.DUMMYFUNCTION("""COMPUTED_VALUE"""),"")</f>
        <v/>
      </c>
      <c r="K80" s="18" t="str">
        <f ca="1">IFERROR(__xludf.DUMMYFUNCTION("""COMPUTED_VALUE"""),"")</f>
        <v/>
      </c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20"/>
      <c r="W80" s="20"/>
      <c r="X80" s="20"/>
      <c r="Y80" s="20"/>
      <c r="Z80" s="21"/>
      <c r="AA80" s="22"/>
      <c r="AB80" s="23"/>
    </row>
    <row r="81" spans="1:28" ht="13.5" customHeight="1" x14ac:dyDescent="0.35">
      <c r="A81" s="24" t="str">
        <f ca="1">IFERROR(__xludf.DUMMYFUNCTION("""COMPUTED_VALUE"""),"")</f>
        <v/>
      </c>
      <c r="B81" s="28" t="str">
        <f ca="1">IFERROR(__xludf.DUMMYFUNCTION("""COMPUTED_VALUE"""),"")</f>
        <v/>
      </c>
      <c r="C81" s="27" t="str">
        <f ca="1">IFERROR(__xludf.DUMMYFUNCTION("""COMPUTED_VALUE"""),"")</f>
        <v/>
      </c>
      <c r="D81" s="27" t="str">
        <f ca="1">IFERROR(__xludf.DUMMYFUNCTION("""COMPUTED_VALUE"""),"")</f>
        <v/>
      </c>
      <c r="E81" s="15" t="str">
        <f ca="1">IFERROR(__xludf.DUMMYFUNCTION("""COMPUTED_VALUE"""),"")</f>
        <v/>
      </c>
      <c r="F81" s="51" t="str">
        <f ca="1">IFERROR(__xludf.DUMMYFUNCTION("""COMPUTED_VALUE"""),"")</f>
        <v/>
      </c>
      <c r="G81" s="16" t="str">
        <f ca="1">IFERROR(__xludf.DUMMYFUNCTION("""COMPUTED_VALUE"""),"")</f>
        <v/>
      </c>
      <c r="H81" s="17" t="str">
        <f ca="1">IFERROR(__xludf.DUMMYFUNCTION("""COMPUTED_VALUE"""),"")</f>
        <v/>
      </c>
      <c r="I81" s="17" t="str">
        <f ca="1">IFERROR(__xludf.DUMMYFUNCTION("""COMPUTED_VALUE"""),"")</f>
        <v/>
      </c>
      <c r="J81" s="17" t="str">
        <f ca="1">IFERROR(__xludf.DUMMYFUNCTION("""COMPUTED_VALUE"""),"")</f>
        <v/>
      </c>
      <c r="K81" s="18" t="str">
        <f ca="1">IFERROR(__xludf.DUMMYFUNCTION("""COMPUTED_VALUE"""),"")</f>
        <v/>
      </c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20"/>
      <c r="W81" s="20"/>
      <c r="X81" s="20"/>
      <c r="Y81" s="20"/>
      <c r="Z81" s="21"/>
      <c r="AA81" s="22"/>
      <c r="AB81" s="23"/>
    </row>
    <row r="82" spans="1:28" ht="13.5" customHeight="1" x14ac:dyDescent="0.35">
      <c r="A82" s="24" t="str">
        <f ca="1">IFERROR(__xludf.DUMMYFUNCTION("""COMPUTED_VALUE"""),"")</f>
        <v/>
      </c>
      <c r="B82" s="28" t="str">
        <f ca="1">IFERROR(__xludf.DUMMYFUNCTION("""COMPUTED_VALUE"""),"")</f>
        <v/>
      </c>
      <c r="C82" s="27" t="str">
        <f ca="1">IFERROR(__xludf.DUMMYFUNCTION("""COMPUTED_VALUE"""),"")</f>
        <v/>
      </c>
      <c r="D82" s="27" t="str">
        <f ca="1">IFERROR(__xludf.DUMMYFUNCTION("""COMPUTED_VALUE"""),"")</f>
        <v/>
      </c>
      <c r="E82" s="15" t="str">
        <f ca="1">IFERROR(__xludf.DUMMYFUNCTION("""COMPUTED_VALUE"""),"")</f>
        <v/>
      </c>
      <c r="F82" s="51" t="str">
        <f ca="1">IFERROR(__xludf.DUMMYFUNCTION("""COMPUTED_VALUE"""),"")</f>
        <v/>
      </c>
      <c r="G82" s="16" t="str">
        <f ca="1">IFERROR(__xludf.DUMMYFUNCTION("""COMPUTED_VALUE"""),"")</f>
        <v/>
      </c>
      <c r="H82" s="17" t="str">
        <f ca="1">IFERROR(__xludf.DUMMYFUNCTION("""COMPUTED_VALUE"""),"")</f>
        <v/>
      </c>
      <c r="I82" s="17" t="str">
        <f ca="1">IFERROR(__xludf.DUMMYFUNCTION("""COMPUTED_VALUE"""),"")</f>
        <v/>
      </c>
      <c r="J82" s="17" t="str">
        <f ca="1">IFERROR(__xludf.DUMMYFUNCTION("""COMPUTED_VALUE"""),"")</f>
        <v/>
      </c>
      <c r="K82" s="18" t="str">
        <f ca="1">IFERROR(__xludf.DUMMYFUNCTION("""COMPUTED_VALUE"""),"")</f>
        <v/>
      </c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20"/>
      <c r="W82" s="20"/>
      <c r="X82" s="20"/>
      <c r="Y82" s="20"/>
      <c r="Z82" s="21"/>
      <c r="AA82" s="22"/>
      <c r="AB82" s="23"/>
    </row>
    <row r="83" spans="1:28" ht="13.5" customHeight="1" x14ac:dyDescent="0.35">
      <c r="A83" s="24" t="str">
        <f ca="1">IFERROR(__xludf.DUMMYFUNCTION("""COMPUTED_VALUE"""),"")</f>
        <v/>
      </c>
      <c r="B83" s="28" t="str">
        <f ca="1">IFERROR(__xludf.DUMMYFUNCTION("""COMPUTED_VALUE"""),"")</f>
        <v/>
      </c>
      <c r="C83" s="27" t="str">
        <f ca="1">IFERROR(__xludf.DUMMYFUNCTION("""COMPUTED_VALUE"""),"")</f>
        <v/>
      </c>
      <c r="D83" s="27" t="str">
        <f ca="1">IFERROR(__xludf.DUMMYFUNCTION("""COMPUTED_VALUE"""),"")</f>
        <v/>
      </c>
      <c r="E83" s="15" t="str">
        <f ca="1">IFERROR(__xludf.DUMMYFUNCTION("""COMPUTED_VALUE"""),"")</f>
        <v/>
      </c>
      <c r="F83" s="51" t="str">
        <f ca="1">IFERROR(__xludf.DUMMYFUNCTION("""COMPUTED_VALUE"""),"")</f>
        <v/>
      </c>
      <c r="G83" s="16" t="str">
        <f ca="1">IFERROR(__xludf.DUMMYFUNCTION("""COMPUTED_VALUE"""),"")</f>
        <v/>
      </c>
      <c r="H83" s="17" t="str">
        <f ca="1">IFERROR(__xludf.DUMMYFUNCTION("""COMPUTED_VALUE"""),"")</f>
        <v/>
      </c>
      <c r="I83" s="17" t="str">
        <f ca="1">IFERROR(__xludf.DUMMYFUNCTION("""COMPUTED_VALUE"""),"")</f>
        <v/>
      </c>
      <c r="J83" s="17" t="str">
        <f ca="1">IFERROR(__xludf.DUMMYFUNCTION("""COMPUTED_VALUE"""),"")</f>
        <v/>
      </c>
      <c r="K83" s="18" t="str">
        <f ca="1">IFERROR(__xludf.DUMMYFUNCTION("""COMPUTED_VALUE"""),"")</f>
        <v/>
      </c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20"/>
      <c r="W83" s="20"/>
      <c r="X83" s="20"/>
      <c r="Y83" s="20"/>
      <c r="Z83" s="21"/>
      <c r="AA83" s="22"/>
      <c r="AB83" s="23"/>
    </row>
    <row r="84" spans="1:28" ht="13.5" customHeight="1" x14ac:dyDescent="0.35">
      <c r="A84" s="24" t="str">
        <f ca="1">IFERROR(__xludf.DUMMYFUNCTION("""COMPUTED_VALUE"""),"")</f>
        <v/>
      </c>
      <c r="B84" s="28" t="str">
        <f ca="1">IFERROR(__xludf.DUMMYFUNCTION("""COMPUTED_VALUE"""),"")</f>
        <v/>
      </c>
      <c r="C84" s="27" t="str">
        <f ca="1">IFERROR(__xludf.DUMMYFUNCTION("""COMPUTED_VALUE"""),"")</f>
        <v/>
      </c>
      <c r="D84" s="27" t="str">
        <f ca="1">IFERROR(__xludf.DUMMYFUNCTION("""COMPUTED_VALUE"""),"")</f>
        <v/>
      </c>
      <c r="E84" s="15" t="str">
        <f ca="1">IFERROR(__xludf.DUMMYFUNCTION("""COMPUTED_VALUE"""),"")</f>
        <v/>
      </c>
      <c r="F84" s="51" t="str">
        <f ca="1">IFERROR(__xludf.DUMMYFUNCTION("""COMPUTED_VALUE"""),"")</f>
        <v/>
      </c>
      <c r="G84" s="16" t="str">
        <f ca="1">IFERROR(__xludf.DUMMYFUNCTION("""COMPUTED_VALUE"""),"")</f>
        <v/>
      </c>
      <c r="H84" s="17" t="str">
        <f ca="1">IFERROR(__xludf.DUMMYFUNCTION("""COMPUTED_VALUE"""),"")</f>
        <v/>
      </c>
      <c r="I84" s="17" t="str">
        <f ca="1">IFERROR(__xludf.DUMMYFUNCTION("""COMPUTED_VALUE"""),"")</f>
        <v/>
      </c>
      <c r="J84" s="17" t="str">
        <f ca="1">IFERROR(__xludf.DUMMYFUNCTION("""COMPUTED_VALUE"""),"")</f>
        <v/>
      </c>
      <c r="K84" s="18" t="str">
        <f ca="1">IFERROR(__xludf.DUMMYFUNCTION("""COMPUTED_VALUE"""),"")</f>
        <v/>
      </c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20"/>
      <c r="W84" s="20"/>
      <c r="X84" s="20"/>
      <c r="Y84" s="20"/>
      <c r="Z84" s="21"/>
      <c r="AA84" s="22"/>
      <c r="AB84" s="23"/>
    </row>
    <row r="85" spans="1:28" ht="13.5" customHeight="1" x14ac:dyDescent="0.35">
      <c r="A85" s="24" t="str">
        <f ca="1">IFERROR(__xludf.DUMMYFUNCTION("""COMPUTED_VALUE"""),"")</f>
        <v/>
      </c>
      <c r="B85" s="28" t="str">
        <f ca="1">IFERROR(__xludf.DUMMYFUNCTION("""COMPUTED_VALUE"""),"")</f>
        <v/>
      </c>
      <c r="C85" s="27" t="str">
        <f ca="1">IFERROR(__xludf.DUMMYFUNCTION("""COMPUTED_VALUE"""),"")</f>
        <v/>
      </c>
      <c r="D85" s="27" t="str">
        <f ca="1">IFERROR(__xludf.DUMMYFUNCTION("""COMPUTED_VALUE"""),"")</f>
        <v/>
      </c>
      <c r="E85" s="15" t="str">
        <f ca="1">IFERROR(__xludf.DUMMYFUNCTION("""COMPUTED_VALUE"""),"")</f>
        <v/>
      </c>
      <c r="F85" s="51" t="str">
        <f ca="1">IFERROR(__xludf.DUMMYFUNCTION("""COMPUTED_VALUE"""),"")</f>
        <v/>
      </c>
      <c r="G85" s="16" t="str">
        <f ca="1">IFERROR(__xludf.DUMMYFUNCTION("""COMPUTED_VALUE"""),"")</f>
        <v/>
      </c>
      <c r="H85" s="17" t="str">
        <f ca="1">IFERROR(__xludf.DUMMYFUNCTION("""COMPUTED_VALUE"""),"")</f>
        <v/>
      </c>
      <c r="I85" s="17" t="str">
        <f ca="1">IFERROR(__xludf.DUMMYFUNCTION("""COMPUTED_VALUE"""),"")</f>
        <v/>
      </c>
      <c r="J85" s="17" t="str">
        <f ca="1">IFERROR(__xludf.DUMMYFUNCTION("""COMPUTED_VALUE"""),"")</f>
        <v/>
      </c>
      <c r="K85" s="18" t="str">
        <f ca="1">IFERROR(__xludf.DUMMYFUNCTION("""COMPUTED_VALUE"""),"")</f>
        <v/>
      </c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20"/>
      <c r="W85" s="20"/>
      <c r="X85" s="20"/>
      <c r="Y85" s="20"/>
      <c r="Z85" s="21"/>
      <c r="AA85" s="22"/>
      <c r="AB85" s="23"/>
    </row>
    <row r="86" spans="1:28" ht="13.5" customHeight="1" x14ac:dyDescent="0.35">
      <c r="A86" s="24" t="str">
        <f ca="1">IFERROR(__xludf.DUMMYFUNCTION("""COMPUTED_VALUE"""),"")</f>
        <v/>
      </c>
      <c r="B86" s="28" t="str">
        <f ca="1">IFERROR(__xludf.DUMMYFUNCTION("""COMPUTED_VALUE"""),"")</f>
        <v/>
      </c>
      <c r="C86" s="27" t="str">
        <f ca="1">IFERROR(__xludf.DUMMYFUNCTION("""COMPUTED_VALUE"""),"")</f>
        <v/>
      </c>
      <c r="D86" s="27" t="str">
        <f ca="1">IFERROR(__xludf.DUMMYFUNCTION("""COMPUTED_VALUE"""),"")</f>
        <v/>
      </c>
      <c r="E86" s="15" t="str">
        <f ca="1">IFERROR(__xludf.DUMMYFUNCTION("""COMPUTED_VALUE"""),"")</f>
        <v/>
      </c>
      <c r="F86" s="51" t="str">
        <f ca="1">IFERROR(__xludf.DUMMYFUNCTION("""COMPUTED_VALUE"""),"")</f>
        <v/>
      </c>
      <c r="G86" s="16" t="str">
        <f ca="1">IFERROR(__xludf.DUMMYFUNCTION("""COMPUTED_VALUE"""),"")</f>
        <v/>
      </c>
      <c r="H86" s="17" t="str">
        <f ca="1">IFERROR(__xludf.DUMMYFUNCTION("""COMPUTED_VALUE"""),"")</f>
        <v/>
      </c>
      <c r="I86" s="17" t="str">
        <f ca="1">IFERROR(__xludf.DUMMYFUNCTION("""COMPUTED_VALUE"""),"")</f>
        <v/>
      </c>
      <c r="J86" s="17" t="str">
        <f ca="1">IFERROR(__xludf.DUMMYFUNCTION("""COMPUTED_VALUE"""),"")</f>
        <v/>
      </c>
      <c r="K86" s="18" t="str">
        <f ca="1">IFERROR(__xludf.DUMMYFUNCTION("""COMPUTED_VALUE"""),"")</f>
        <v/>
      </c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20"/>
      <c r="W86" s="20"/>
      <c r="X86" s="20"/>
      <c r="Y86" s="20"/>
      <c r="Z86" s="21"/>
      <c r="AA86" s="22"/>
      <c r="AB86" s="23"/>
    </row>
    <row r="87" spans="1:28" ht="13.5" customHeight="1" x14ac:dyDescent="0.35">
      <c r="A87" s="24" t="str">
        <f ca="1">IFERROR(__xludf.DUMMYFUNCTION("""COMPUTED_VALUE"""),"")</f>
        <v/>
      </c>
      <c r="B87" s="28" t="str">
        <f ca="1">IFERROR(__xludf.DUMMYFUNCTION("""COMPUTED_VALUE"""),"")</f>
        <v/>
      </c>
      <c r="C87" s="27" t="str">
        <f ca="1">IFERROR(__xludf.DUMMYFUNCTION("""COMPUTED_VALUE"""),"")</f>
        <v/>
      </c>
      <c r="D87" s="27" t="str">
        <f ca="1">IFERROR(__xludf.DUMMYFUNCTION("""COMPUTED_VALUE"""),"")</f>
        <v/>
      </c>
      <c r="E87" s="15" t="str">
        <f ca="1">IFERROR(__xludf.DUMMYFUNCTION("""COMPUTED_VALUE"""),"")</f>
        <v/>
      </c>
      <c r="F87" s="51" t="str">
        <f ca="1">IFERROR(__xludf.DUMMYFUNCTION("""COMPUTED_VALUE"""),"")</f>
        <v/>
      </c>
      <c r="G87" s="16" t="str">
        <f ca="1">IFERROR(__xludf.DUMMYFUNCTION("""COMPUTED_VALUE"""),"")</f>
        <v/>
      </c>
      <c r="H87" s="17" t="str">
        <f ca="1">IFERROR(__xludf.DUMMYFUNCTION("""COMPUTED_VALUE"""),"")</f>
        <v/>
      </c>
      <c r="I87" s="17" t="str">
        <f ca="1">IFERROR(__xludf.DUMMYFUNCTION("""COMPUTED_VALUE"""),"")</f>
        <v/>
      </c>
      <c r="J87" s="17" t="str">
        <f ca="1">IFERROR(__xludf.DUMMYFUNCTION("""COMPUTED_VALUE"""),"")</f>
        <v/>
      </c>
      <c r="K87" s="18" t="str">
        <f ca="1">IFERROR(__xludf.DUMMYFUNCTION("""COMPUTED_VALUE"""),"")</f>
        <v/>
      </c>
      <c r="L87" s="19"/>
      <c r="M87" s="19"/>
      <c r="N87" s="19"/>
      <c r="O87" s="19"/>
      <c r="P87" s="19"/>
      <c r="Q87" s="19"/>
      <c r="R87" s="19"/>
      <c r="S87" s="19"/>
      <c r="T87" s="19"/>
      <c r="U87" s="19"/>
      <c r="V87" s="20"/>
      <c r="W87" s="20"/>
      <c r="X87" s="20"/>
      <c r="Y87" s="20"/>
      <c r="Z87" s="21"/>
      <c r="AA87" s="22"/>
      <c r="AB87" s="23"/>
    </row>
    <row r="88" spans="1:28" ht="13.5" customHeight="1" x14ac:dyDescent="0.35">
      <c r="A88" s="24" t="str">
        <f ca="1">IFERROR(__xludf.DUMMYFUNCTION("""COMPUTED_VALUE"""),"")</f>
        <v/>
      </c>
      <c r="B88" s="28" t="str">
        <f ca="1">IFERROR(__xludf.DUMMYFUNCTION("""COMPUTED_VALUE"""),"")</f>
        <v/>
      </c>
      <c r="C88" s="27" t="str">
        <f ca="1">IFERROR(__xludf.DUMMYFUNCTION("""COMPUTED_VALUE"""),"")</f>
        <v/>
      </c>
      <c r="D88" s="27" t="str">
        <f ca="1">IFERROR(__xludf.DUMMYFUNCTION("""COMPUTED_VALUE"""),"")</f>
        <v/>
      </c>
      <c r="E88" s="15" t="str">
        <f ca="1">IFERROR(__xludf.DUMMYFUNCTION("""COMPUTED_VALUE"""),"")</f>
        <v/>
      </c>
      <c r="F88" s="51" t="str">
        <f ca="1">IFERROR(__xludf.DUMMYFUNCTION("""COMPUTED_VALUE"""),"")</f>
        <v/>
      </c>
      <c r="G88" s="16" t="str">
        <f ca="1">IFERROR(__xludf.DUMMYFUNCTION("""COMPUTED_VALUE"""),"")</f>
        <v/>
      </c>
      <c r="H88" s="17" t="str">
        <f ca="1">IFERROR(__xludf.DUMMYFUNCTION("""COMPUTED_VALUE"""),"")</f>
        <v/>
      </c>
      <c r="I88" s="17" t="str">
        <f ca="1">IFERROR(__xludf.DUMMYFUNCTION("""COMPUTED_VALUE"""),"")</f>
        <v/>
      </c>
      <c r="J88" s="17" t="str">
        <f ca="1">IFERROR(__xludf.DUMMYFUNCTION("""COMPUTED_VALUE"""),"")</f>
        <v/>
      </c>
      <c r="K88" s="18" t="str">
        <f ca="1">IFERROR(__xludf.DUMMYFUNCTION("""COMPUTED_VALUE"""),"")</f>
        <v/>
      </c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20"/>
      <c r="W88" s="20"/>
      <c r="X88" s="20"/>
      <c r="Y88" s="20"/>
      <c r="Z88" s="21"/>
      <c r="AA88" s="22"/>
      <c r="AB88" s="23"/>
    </row>
    <row r="89" spans="1:28" ht="13.5" customHeight="1" x14ac:dyDescent="0.35">
      <c r="A89" s="24" t="str">
        <f ca="1">IFERROR(__xludf.DUMMYFUNCTION("""COMPUTED_VALUE"""),"")</f>
        <v/>
      </c>
      <c r="B89" s="28" t="str">
        <f ca="1">IFERROR(__xludf.DUMMYFUNCTION("""COMPUTED_VALUE"""),"")</f>
        <v/>
      </c>
      <c r="C89" s="27" t="str">
        <f ca="1">IFERROR(__xludf.DUMMYFUNCTION("""COMPUTED_VALUE"""),"")</f>
        <v/>
      </c>
      <c r="D89" s="27" t="str">
        <f ca="1">IFERROR(__xludf.DUMMYFUNCTION("""COMPUTED_VALUE"""),"")</f>
        <v/>
      </c>
      <c r="E89" s="15" t="str">
        <f ca="1">IFERROR(__xludf.DUMMYFUNCTION("""COMPUTED_VALUE"""),"")</f>
        <v/>
      </c>
      <c r="F89" s="51" t="str">
        <f ca="1">IFERROR(__xludf.DUMMYFUNCTION("""COMPUTED_VALUE"""),"")</f>
        <v/>
      </c>
      <c r="G89" s="16" t="str">
        <f ca="1">IFERROR(__xludf.DUMMYFUNCTION("""COMPUTED_VALUE"""),"")</f>
        <v/>
      </c>
      <c r="H89" s="17" t="str">
        <f ca="1">IFERROR(__xludf.DUMMYFUNCTION("""COMPUTED_VALUE"""),"")</f>
        <v/>
      </c>
      <c r="I89" s="17" t="str">
        <f ca="1">IFERROR(__xludf.DUMMYFUNCTION("""COMPUTED_VALUE"""),"")</f>
        <v/>
      </c>
      <c r="J89" s="17" t="str">
        <f ca="1">IFERROR(__xludf.DUMMYFUNCTION("""COMPUTED_VALUE"""),"")</f>
        <v/>
      </c>
      <c r="K89" s="18" t="str">
        <f ca="1">IFERROR(__xludf.DUMMYFUNCTION("""COMPUTED_VALUE"""),"")</f>
        <v/>
      </c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20"/>
      <c r="W89" s="20"/>
      <c r="X89" s="20"/>
      <c r="Y89" s="20"/>
      <c r="Z89" s="21"/>
      <c r="AA89" s="22"/>
      <c r="AB89" s="23"/>
    </row>
    <row r="90" spans="1:28" ht="13.5" customHeight="1" x14ac:dyDescent="0.35">
      <c r="A90" s="24" t="str">
        <f ca="1">IFERROR(__xludf.DUMMYFUNCTION("""COMPUTED_VALUE"""),"")</f>
        <v/>
      </c>
      <c r="B90" s="28" t="str">
        <f ca="1">IFERROR(__xludf.DUMMYFUNCTION("""COMPUTED_VALUE"""),"")</f>
        <v/>
      </c>
      <c r="C90" s="27" t="str">
        <f ca="1">IFERROR(__xludf.DUMMYFUNCTION("""COMPUTED_VALUE"""),"")</f>
        <v/>
      </c>
      <c r="D90" s="27" t="str">
        <f ca="1">IFERROR(__xludf.DUMMYFUNCTION("""COMPUTED_VALUE"""),"")</f>
        <v/>
      </c>
      <c r="E90" s="15" t="str">
        <f ca="1">IFERROR(__xludf.DUMMYFUNCTION("""COMPUTED_VALUE"""),"")</f>
        <v/>
      </c>
      <c r="F90" s="51" t="str">
        <f ca="1">IFERROR(__xludf.DUMMYFUNCTION("""COMPUTED_VALUE"""),"")</f>
        <v/>
      </c>
      <c r="G90" s="16" t="str">
        <f ca="1">IFERROR(__xludf.DUMMYFUNCTION("""COMPUTED_VALUE"""),"")</f>
        <v/>
      </c>
      <c r="H90" s="17" t="str">
        <f ca="1">IFERROR(__xludf.DUMMYFUNCTION("""COMPUTED_VALUE"""),"")</f>
        <v/>
      </c>
      <c r="I90" s="17" t="str">
        <f ca="1">IFERROR(__xludf.DUMMYFUNCTION("""COMPUTED_VALUE"""),"")</f>
        <v/>
      </c>
      <c r="J90" s="17" t="str">
        <f ca="1">IFERROR(__xludf.DUMMYFUNCTION("""COMPUTED_VALUE"""),"")</f>
        <v/>
      </c>
      <c r="K90" s="18" t="str">
        <f ca="1">IFERROR(__xludf.DUMMYFUNCTION("""COMPUTED_VALUE"""),"")</f>
        <v/>
      </c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20"/>
      <c r="W90" s="20"/>
      <c r="X90" s="20"/>
      <c r="Y90" s="20"/>
      <c r="Z90" s="21"/>
      <c r="AA90" s="22"/>
      <c r="AB90" s="23"/>
    </row>
    <row r="91" spans="1:28" ht="13.5" customHeight="1" x14ac:dyDescent="0.35">
      <c r="A91" s="24" t="str">
        <f ca="1">IFERROR(__xludf.DUMMYFUNCTION("""COMPUTED_VALUE"""),"")</f>
        <v/>
      </c>
      <c r="B91" s="28" t="str">
        <f ca="1">IFERROR(__xludf.DUMMYFUNCTION("""COMPUTED_VALUE"""),"")</f>
        <v/>
      </c>
      <c r="C91" s="27" t="str">
        <f ca="1">IFERROR(__xludf.DUMMYFUNCTION("""COMPUTED_VALUE"""),"")</f>
        <v/>
      </c>
      <c r="D91" s="27" t="str">
        <f ca="1">IFERROR(__xludf.DUMMYFUNCTION("""COMPUTED_VALUE"""),"")</f>
        <v/>
      </c>
      <c r="E91" s="15" t="str">
        <f ca="1">IFERROR(__xludf.DUMMYFUNCTION("""COMPUTED_VALUE"""),"")</f>
        <v/>
      </c>
      <c r="F91" s="51" t="str">
        <f ca="1">IFERROR(__xludf.DUMMYFUNCTION("""COMPUTED_VALUE"""),"")</f>
        <v/>
      </c>
      <c r="G91" s="16" t="str">
        <f ca="1">IFERROR(__xludf.DUMMYFUNCTION("""COMPUTED_VALUE"""),"")</f>
        <v/>
      </c>
      <c r="H91" s="17" t="str">
        <f ca="1">IFERROR(__xludf.DUMMYFUNCTION("""COMPUTED_VALUE"""),"")</f>
        <v/>
      </c>
      <c r="I91" s="17" t="str">
        <f ca="1">IFERROR(__xludf.DUMMYFUNCTION("""COMPUTED_VALUE"""),"")</f>
        <v/>
      </c>
      <c r="J91" s="17" t="str">
        <f ca="1">IFERROR(__xludf.DUMMYFUNCTION("""COMPUTED_VALUE"""),"")</f>
        <v/>
      </c>
      <c r="K91" s="18" t="str">
        <f ca="1">IFERROR(__xludf.DUMMYFUNCTION("""COMPUTED_VALUE"""),"")</f>
        <v/>
      </c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20"/>
      <c r="W91" s="20"/>
      <c r="X91" s="20"/>
      <c r="Y91" s="20"/>
      <c r="Z91" s="21"/>
      <c r="AA91" s="22"/>
      <c r="AB91" s="23"/>
    </row>
    <row r="92" spans="1:28" ht="13.5" customHeight="1" x14ac:dyDescent="0.35">
      <c r="A92" s="24" t="str">
        <f ca="1">IFERROR(__xludf.DUMMYFUNCTION("""COMPUTED_VALUE"""),"")</f>
        <v/>
      </c>
      <c r="B92" s="28" t="str">
        <f ca="1">IFERROR(__xludf.DUMMYFUNCTION("""COMPUTED_VALUE"""),"")</f>
        <v/>
      </c>
      <c r="C92" s="27" t="str">
        <f ca="1">IFERROR(__xludf.DUMMYFUNCTION("""COMPUTED_VALUE"""),"")</f>
        <v/>
      </c>
      <c r="D92" s="27" t="str">
        <f ca="1">IFERROR(__xludf.DUMMYFUNCTION("""COMPUTED_VALUE"""),"")</f>
        <v/>
      </c>
      <c r="E92" s="15" t="str">
        <f ca="1">IFERROR(__xludf.DUMMYFUNCTION("""COMPUTED_VALUE"""),"")</f>
        <v/>
      </c>
      <c r="F92" s="51" t="str">
        <f ca="1">IFERROR(__xludf.DUMMYFUNCTION("""COMPUTED_VALUE"""),"")</f>
        <v/>
      </c>
      <c r="G92" s="16" t="str">
        <f ca="1">IFERROR(__xludf.DUMMYFUNCTION("""COMPUTED_VALUE"""),"")</f>
        <v/>
      </c>
      <c r="H92" s="17" t="str">
        <f ca="1">IFERROR(__xludf.DUMMYFUNCTION("""COMPUTED_VALUE"""),"")</f>
        <v/>
      </c>
      <c r="I92" s="17" t="str">
        <f ca="1">IFERROR(__xludf.DUMMYFUNCTION("""COMPUTED_VALUE"""),"")</f>
        <v/>
      </c>
      <c r="J92" s="17" t="str">
        <f ca="1">IFERROR(__xludf.DUMMYFUNCTION("""COMPUTED_VALUE"""),"")</f>
        <v/>
      </c>
      <c r="K92" s="18" t="str">
        <f ca="1">IFERROR(__xludf.DUMMYFUNCTION("""COMPUTED_VALUE"""),"")</f>
        <v/>
      </c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20"/>
      <c r="W92" s="20"/>
      <c r="X92" s="20"/>
      <c r="Y92" s="20"/>
      <c r="Z92" s="21"/>
      <c r="AA92" s="22"/>
      <c r="AB92" s="23"/>
    </row>
    <row r="93" spans="1:28" ht="13.5" customHeight="1" x14ac:dyDescent="0.35">
      <c r="A93" s="24" t="str">
        <f ca="1">IFERROR(__xludf.DUMMYFUNCTION("""COMPUTED_VALUE"""),"")</f>
        <v/>
      </c>
      <c r="B93" s="28" t="str">
        <f ca="1">IFERROR(__xludf.DUMMYFUNCTION("""COMPUTED_VALUE"""),"")</f>
        <v/>
      </c>
      <c r="C93" s="27" t="str">
        <f ca="1">IFERROR(__xludf.DUMMYFUNCTION("""COMPUTED_VALUE"""),"")</f>
        <v/>
      </c>
      <c r="D93" s="27" t="str">
        <f ca="1">IFERROR(__xludf.DUMMYFUNCTION("""COMPUTED_VALUE"""),"")</f>
        <v/>
      </c>
      <c r="E93" s="15" t="str">
        <f ca="1">IFERROR(__xludf.DUMMYFUNCTION("""COMPUTED_VALUE"""),"")</f>
        <v/>
      </c>
      <c r="F93" s="51" t="str">
        <f ca="1">IFERROR(__xludf.DUMMYFUNCTION("""COMPUTED_VALUE"""),"")</f>
        <v/>
      </c>
      <c r="G93" s="16" t="str">
        <f ca="1">IFERROR(__xludf.DUMMYFUNCTION("""COMPUTED_VALUE"""),"")</f>
        <v/>
      </c>
      <c r="H93" s="17" t="str">
        <f ca="1">IFERROR(__xludf.DUMMYFUNCTION("""COMPUTED_VALUE"""),"")</f>
        <v/>
      </c>
      <c r="I93" s="17" t="str">
        <f ca="1">IFERROR(__xludf.DUMMYFUNCTION("""COMPUTED_VALUE"""),"")</f>
        <v/>
      </c>
      <c r="J93" s="17" t="str">
        <f ca="1">IFERROR(__xludf.DUMMYFUNCTION("""COMPUTED_VALUE"""),"")</f>
        <v/>
      </c>
      <c r="K93" s="18" t="str">
        <f ca="1">IFERROR(__xludf.DUMMYFUNCTION("""COMPUTED_VALUE"""),"")</f>
        <v/>
      </c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20"/>
      <c r="W93" s="20"/>
      <c r="X93" s="20"/>
      <c r="Y93" s="20"/>
      <c r="Z93" s="21"/>
      <c r="AA93" s="22"/>
      <c r="AB93" s="23"/>
    </row>
    <row r="94" spans="1:28" ht="13.5" customHeight="1" x14ac:dyDescent="0.35">
      <c r="A94" s="24" t="str">
        <f ca="1">IFERROR(__xludf.DUMMYFUNCTION("""COMPUTED_VALUE"""),"")</f>
        <v/>
      </c>
      <c r="B94" s="28" t="str">
        <f ca="1">IFERROR(__xludf.DUMMYFUNCTION("""COMPUTED_VALUE"""),"")</f>
        <v/>
      </c>
      <c r="C94" s="27" t="str">
        <f ca="1">IFERROR(__xludf.DUMMYFUNCTION("""COMPUTED_VALUE"""),"")</f>
        <v/>
      </c>
      <c r="D94" s="27" t="str">
        <f ca="1">IFERROR(__xludf.DUMMYFUNCTION("""COMPUTED_VALUE"""),"")</f>
        <v/>
      </c>
      <c r="E94" s="15" t="str">
        <f ca="1">IFERROR(__xludf.DUMMYFUNCTION("""COMPUTED_VALUE"""),"")</f>
        <v/>
      </c>
      <c r="F94" s="51" t="str">
        <f ca="1">IFERROR(__xludf.DUMMYFUNCTION("""COMPUTED_VALUE"""),"")</f>
        <v/>
      </c>
      <c r="G94" s="16" t="str">
        <f ca="1">IFERROR(__xludf.DUMMYFUNCTION("""COMPUTED_VALUE"""),"")</f>
        <v/>
      </c>
      <c r="H94" s="17" t="str">
        <f ca="1">IFERROR(__xludf.DUMMYFUNCTION("""COMPUTED_VALUE"""),"")</f>
        <v/>
      </c>
      <c r="I94" s="17" t="str">
        <f ca="1">IFERROR(__xludf.DUMMYFUNCTION("""COMPUTED_VALUE"""),"")</f>
        <v/>
      </c>
      <c r="J94" s="17" t="str">
        <f ca="1">IFERROR(__xludf.DUMMYFUNCTION("""COMPUTED_VALUE"""),"")</f>
        <v/>
      </c>
      <c r="K94" s="18" t="str">
        <f ca="1">IFERROR(__xludf.DUMMYFUNCTION("""COMPUTED_VALUE"""),"")</f>
        <v/>
      </c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20"/>
      <c r="W94" s="20"/>
      <c r="X94" s="20"/>
      <c r="Y94" s="20"/>
      <c r="Z94" s="21"/>
      <c r="AA94" s="22"/>
      <c r="AB94" s="23"/>
    </row>
    <row r="95" spans="1:28" ht="13.5" customHeight="1" x14ac:dyDescent="0.35">
      <c r="A95" s="24" t="str">
        <f ca="1">IFERROR(__xludf.DUMMYFUNCTION("""COMPUTED_VALUE"""),"")</f>
        <v/>
      </c>
      <c r="B95" s="28" t="str">
        <f ca="1">IFERROR(__xludf.DUMMYFUNCTION("""COMPUTED_VALUE"""),"")</f>
        <v/>
      </c>
      <c r="C95" s="27" t="str">
        <f ca="1">IFERROR(__xludf.DUMMYFUNCTION("""COMPUTED_VALUE"""),"")</f>
        <v/>
      </c>
      <c r="D95" s="27" t="str">
        <f ca="1">IFERROR(__xludf.DUMMYFUNCTION("""COMPUTED_VALUE"""),"")</f>
        <v/>
      </c>
      <c r="E95" s="15" t="str">
        <f ca="1">IFERROR(__xludf.DUMMYFUNCTION("""COMPUTED_VALUE"""),"")</f>
        <v/>
      </c>
      <c r="F95" s="51" t="str">
        <f ca="1">IFERROR(__xludf.DUMMYFUNCTION("""COMPUTED_VALUE"""),"")</f>
        <v/>
      </c>
      <c r="G95" s="16" t="str">
        <f ca="1">IFERROR(__xludf.DUMMYFUNCTION("""COMPUTED_VALUE"""),"")</f>
        <v/>
      </c>
      <c r="H95" s="17" t="str">
        <f ca="1">IFERROR(__xludf.DUMMYFUNCTION("""COMPUTED_VALUE"""),"")</f>
        <v/>
      </c>
      <c r="I95" s="17" t="str">
        <f ca="1">IFERROR(__xludf.DUMMYFUNCTION("""COMPUTED_VALUE"""),"")</f>
        <v/>
      </c>
      <c r="J95" s="17" t="str">
        <f ca="1">IFERROR(__xludf.DUMMYFUNCTION("""COMPUTED_VALUE"""),"")</f>
        <v/>
      </c>
      <c r="K95" s="18" t="str">
        <f ca="1">IFERROR(__xludf.DUMMYFUNCTION("""COMPUTED_VALUE"""),"")</f>
        <v/>
      </c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20"/>
      <c r="W95" s="20"/>
      <c r="X95" s="20"/>
      <c r="Y95" s="20"/>
      <c r="Z95" s="21"/>
      <c r="AA95" s="22"/>
      <c r="AB95" s="23"/>
    </row>
    <row r="96" spans="1:28" ht="13.5" customHeight="1" x14ac:dyDescent="0.35">
      <c r="A96" s="24" t="str">
        <f ca="1">IFERROR(__xludf.DUMMYFUNCTION("""COMPUTED_VALUE"""),"")</f>
        <v/>
      </c>
      <c r="B96" s="28" t="str">
        <f ca="1">IFERROR(__xludf.DUMMYFUNCTION("""COMPUTED_VALUE"""),"")</f>
        <v/>
      </c>
      <c r="C96" s="27" t="str">
        <f ca="1">IFERROR(__xludf.DUMMYFUNCTION("""COMPUTED_VALUE"""),"")</f>
        <v/>
      </c>
      <c r="D96" s="27" t="str">
        <f ca="1">IFERROR(__xludf.DUMMYFUNCTION("""COMPUTED_VALUE"""),"")</f>
        <v/>
      </c>
      <c r="E96" s="15" t="str">
        <f ca="1">IFERROR(__xludf.DUMMYFUNCTION("""COMPUTED_VALUE"""),"")</f>
        <v/>
      </c>
      <c r="F96" s="51" t="str">
        <f ca="1">IFERROR(__xludf.DUMMYFUNCTION("""COMPUTED_VALUE"""),"")</f>
        <v/>
      </c>
      <c r="G96" s="16" t="str">
        <f ca="1">IFERROR(__xludf.DUMMYFUNCTION("""COMPUTED_VALUE"""),"")</f>
        <v/>
      </c>
      <c r="H96" s="17" t="str">
        <f ca="1">IFERROR(__xludf.DUMMYFUNCTION("""COMPUTED_VALUE"""),"")</f>
        <v/>
      </c>
      <c r="I96" s="17" t="str">
        <f ca="1">IFERROR(__xludf.DUMMYFUNCTION("""COMPUTED_VALUE"""),"")</f>
        <v/>
      </c>
      <c r="J96" s="17" t="str">
        <f ca="1">IFERROR(__xludf.DUMMYFUNCTION("""COMPUTED_VALUE"""),"")</f>
        <v/>
      </c>
      <c r="K96" s="18" t="str">
        <f ca="1">IFERROR(__xludf.DUMMYFUNCTION("""COMPUTED_VALUE"""),"")</f>
        <v/>
      </c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20"/>
      <c r="W96" s="20"/>
      <c r="X96" s="20"/>
      <c r="Y96" s="20"/>
      <c r="Z96" s="21"/>
      <c r="AA96" s="22"/>
      <c r="AB96" s="23"/>
    </row>
    <row r="97" spans="1:28" ht="13.5" customHeight="1" x14ac:dyDescent="0.35">
      <c r="A97" s="24" t="str">
        <f ca="1">IFERROR(__xludf.DUMMYFUNCTION("""COMPUTED_VALUE"""),"")</f>
        <v/>
      </c>
      <c r="B97" s="28" t="str">
        <f ca="1">IFERROR(__xludf.DUMMYFUNCTION("""COMPUTED_VALUE"""),"")</f>
        <v/>
      </c>
      <c r="C97" s="27" t="str">
        <f ca="1">IFERROR(__xludf.DUMMYFUNCTION("""COMPUTED_VALUE"""),"")</f>
        <v/>
      </c>
      <c r="D97" s="27" t="str">
        <f ca="1">IFERROR(__xludf.DUMMYFUNCTION("""COMPUTED_VALUE"""),"")</f>
        <v/>
      </c>
      <c r="E97" s="15" t="str">
        <f ca="1">IFERROR(__xludf.DUMMYFUNCTION("""COMPUTED_VALUE"""),"")</f>
        <v/>
      </c>
      <c r="F97" s="51" t="str">
        <f ca="1">IFERROR(__xludf.DUMMYFUNCTION("""COMPUTED_VALUE"""),"")</f>
        <v/>
      </c>
      <c r="G97" s="16" t="str">
        <f ca="1">IFERROR(__xludf.DUMMYFUNCTION("""COMPUTED_VALUE"""),"")</f>
        <v/>
      </c>
      <c r="H97" s="17" t="str">
        <f ca="1">IFERROR(__xludf.DUMMYFUNCTION("""COMPUTED_VALUE"""),"")</f>
        <v/>
      </c>
      <c r="I97" s="17" t="str">
        <f ca="1">IFERROR(__xludf.DUMMYFUNCTION("""COMPUTED_VALUE"""),"")</f>
        <v/>
      </c>
      <c r="J97" s="17" t="str">
        <f ca="1">IFERROR(__xludf.DUMMYFUNCTION("""COMPUTED_VALUE"""),"")</f>
        <v/>
      </c>
      <c r="K97" s="18" t="str">
        <f ca="1">IFERROR(__xludf.DUMMYFUNCTION("""COMPUTED_VALUE"""),"")</f>
        <v/>
      </c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20"/>
      <c r="W97" s="20"/>
      <c r="X97" s="20"/>
      <c r="Y97" s="20"/>
      <c r="Z97" s="21"/>
      <c r="AA97" s="22"/>
      <c r="AB97" s="23"/>
    </row>
    <row r="98" spans="1:28" ht="13.5" customHeight="1" x14ac:dyDescent="0.35">
      <c r="A98" s="24" t="str">
        <f ca="1">IFERROR(__xludf.DUMMYFUNCTION("""COMPUTED_VALUE"""),"")</f>
        <v/>
      </c>
      <c r="B98" s="28" t="str">
        <f ca="1">IFERROR(__xludf.DUMMYFUNCTION("""COMPUTED_VALUE"""),"")</f>
        <v/>
      </c>
      <c r="C98" s="27" t="str">
        <f ca="1">IFERROR(__xludf.DUMMYFUNCTION("""COMPUTED_VALUE"""),"")</f>
        <v/>
      </c>
      <c r="D98" s="27" t="str">
        <f ca="1">IFERROR(__xludf.DUMMYFUNCTION("""COMPUTED_VALUE"""),"")</f>
        <v/>
      </c>
      <c r="E98" s="15" t="str">
        <f ca="1">IFERROR(__xludf.DUMMYFUNCTION("""COMPUTED_VALUE"""),"")</f>
        <v/>
      </c>
      <c r="F98" s="51" t="str">
        <f ca="1">IFERROR(__xludf.DUMMYFUNCTION("""COMPUTED_VALUE"""),"")</f>
        <v/>
      </c>
      <c r="G98" s="16" t="str">
        <f ca="1">IFERROR(__xludf.DUMMYFUNCTION("""COMPUTED_VALUE"""),"")</f>
        <v/>
      </c>
      <c r="H98" s="17" t="str">
        <f ca="1">IFERROR(__xludf.DUMMYFUNCTION("""COMPUTED_VALUE"""),"")</f>
        <v/>
      </c>
      <c r="I98" s="17" t="str">
        <f ca="1">IFERROR(__xludf.DUMMYFUNCTION("""COMPUTED_VALUE"""),"")</f>
        <v/>
      </c>
      <c r="J98" s="17" t="str">
        <f ca="1">IFERROR(__xludf.DUMMYFUNCTION("""COMPUTED_VALUE"""),"")</f>
        <v/>
      </c>
      <c r="K98" s="18" t="str">
        <f ca="1">IFERROR(__xludf.DUMMYFUNCTION("""COMPUTED_VALUE"""),"")</f>
        <v/>
      </c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20"/>
      <c r="W98" s="20"/>
      <c r="X98" s="20"/>
      <c r="Y98" s="20"/>
      <c r="Z98" s="21"/>
      <c r="AA98" s="22"/>
      <c r="AB98" s="23"/>
    </row>
    <row r="99" spans="1:28" ht="13.5" customHeight="1" x14ac:dyDescent="0.35">
      <c r="A99" s="24" t="str">
        <f ca="1">IFERROR(__xludf.DUMMYFUNCTION("""COMPUTED_VALUE"""),"")</f>
        <v/>
      </c>
      <c r="B99" s="28" t="str">
        <f ca="1">IFERROR(__xludf.DUMMYFUNCTION("""COMPUTED_VALUE"""),"")</f>
        <v/>
      </c>
      <c r="C99" s="27" t="str">
        <f ca="1">IFERROR(__xludf.DUMMYFUNCTION("""COMPUTED_VALUE"""),"")</f>
        <v/>
      </c>
      <c r="D99" s="27" t="str">
        <f ca="1">IFERROR(__xludf.DUMMYFUNCTION("""COMPUTED_VALUE"""),"")</f>
        <v/>
      </c>
      <c r="E99" s="15" t="str">
        <f ca="1">IFERROR(__xludf.DUMMYFUNCTION("""COMPUTED_VALUE"""),"")</f>
        <v/>
      </c>
      <c r="F99" s="51" t="str">
        <f ca="1">IFERROR(__xludf.DUMMYFUNCTION("""COMPUTED_VALUE"""),"")</f>
        <v/>
      </c>
      <c r="G99" s="16" t="str">
        <f ca="1">IFERROR(__xludf.DUMMYFUNCTION("""COMPUTED_VALUE"""),"")</f>
        <v/>
      </c>
      <c r="H99" s="17" t="str">
        <f ca="1">IFERROR(__xludf.DUMMYFUNCTION("""COMPUTED_VALUE"""),"")</f>
        <v/>
      </c>
      <c r="I99" s="17" t="str">
        <f ca="1">IFERROR(__xludf.DUMMYFUNCTION("""COMPUTED_VALUE"""),"")</f>
        <v/>
      </c>
      <c r="J99" s="17" t="str">
        <f ca="1">IFERROR(__xludf.DUMMYFUNCTION("""COMPUTED_VALUE"""),"")</f>
        <v/>
      </c>
      <c r="K99" s="18" t="str">
        <f ca="1">IFERROR(__xludf.DUMMYFUNCTION("""COMPUTED_VALUE"""),"")</f>
        <v/>
      </c>
      <c r="L99" s="19"/>
      <c r="M99" s="19"/>
      <c r="N99" s="19"/>
      <c r="O99" s="19"/>
      <c r="P99" s="19"/>
      <c r="Q99" s="19"/>
      <c r="R99" s="19"/>
      <c r="S99" s="19"/>
      <c r="T99" s="19"/>
      <c r="U99" s="19"/>
      <c r="V99" s="20"/>
      <c r="W99" s="20"/>
      <c r="X99" s="20"/>
      <c r="Y99" s="20"/>
      <c r="Z99" s="21"/>
      <c r="AA99" s="22"/>
      <c r="AB99" s="23"/>
    </row>
    <row r="100" spans="1:28" ht="13.5" customHeight="1" x14ac:dyDescent="0.35">
      <c r="A100" s="24" t="str">
        <f ca="1">IFERROR(__xludf.DUMMYFUNCTION("""COMPUTED_VALUE"""),"")</f>
        <v/>
      </c>
      <c r="B100" s="28" t="str">
        <f ca="1">IFERROR(__xludf.DUMMYFUNCTION("""COMPUTED_VALUE"""),"")</f>
        <v/>
      </c>
      <c r="C100" s="27" t="str">
        <f ca="1">IFERROR(__xludf.DUMMYFUNCTION("""COMPUTED_VALUE"""),"")</f>
        <v/>
      </c>
      <c r="D100" s="27" t="str">
        <f ca="1">IFERROR(__xludf.DUMMYFUNCTION("""COMPUTED_VALUE"""),"")</f>
        <v/>
      </c>
      <c r="E100" s="15" t="str">
        <f ca="1">IFERROR(__xludf.DUMMYFUNCTION("""COMPUTED_VALUE"""),"")</f>
        <v/>
      </c>
      <c r="F100" s="51" t="str">
        <f ca="1">IFERROR(__xludf.DUMMYFUNCTION("""COMPUTED_VALUE"""),"")</f>
        <v/>
      </c>
      <c r="G100" s="16" t="str">
        <f ca="1">IFERROR(__xludf.DUMMYFUNCTION("""COMPUTED_VALUE"""),"")</f>
        <v/>
      </c>
      <c r="H100" s="17" t="str">
        <f ca="1">IFERROR(__xludf.DUMMYFUNCTION("""COMPUTED_VALUE"""),"")</f>
        <v/>
      </c>
      <c r="I100" s="17" t="str">
        <f ca="1">IFERROR(__xludf.DUMMYFUNCTION("""COMPUTED_VALUE"""),"")</f>
        <v/>
      </c>
      <c r="J100" s="17" t="str">
        <f ca="1">IFERROR(__xludf.DUMMYFUNCTION("""COMPUTED_VALUE"""),"")</f>
        <v/>
      </c>
      <c r="K100" s="18" t="str">
        <f ca="1">IFERROR(__xludf.DUMMYFUNCTION("""COMPUTED_VALUE"""),"")</f>
        <v/>
      </c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20"/>
      <c r="W100" s="20"/>
      <c r="X100" s="20"/>
      <c r="Y100" s="20"/>
      <c r="Z100" s="21"/>
      <c r="AA100" s="22"/>
      <c r="AB100" s="23"/>
    </row>
    <row r="101" spans="1:28" ht="13.5" customHeight="1" x14ac:dyDescent="0.35">
      <c r="A101" s="24" t="str">
        <f ca="1">IFERROR(__xludf.DUMMYFUNCTION("""COMPUTED_VALUE"""),"")</f>
        <v/>
      </c>
      <c r="B101" s="28" t="str">
        <f ca="1">IFERROR(__xludf.DUMMYFUNCTION("""COMPUTED_VALUE"""),"")</f>
        <v/>
      </c>
      <c r="C101" s="27" t="str">
        <f ca="1">IFERROR(__xludf.DUMMYFUNCTION("""COMPUTED_VALUE"""),"")</f>
        <v/>
      </c>
      <c r="D101" s="27" t="str">
        <f ca="1">IFERROR(__xludf.DUMMYFUNCTION("""COMPUTED_VALUE"""),"")</f>
        <v/>
      </c>
      <c r="E101" s="15" t="str">
        <f ca="1">IFERROR(__xludf.DUMMYFUNCTION("""COMPUTED_VALUE"""),"")</f>
        <v/>
      </c>
      <c r="F101" s="51" t="str">
        <f ca="1">IFERROR(__xludf.DUMMYFUNCTION("""COMPUTED_VALUE"""),"")</f>
        <v/>
      </c>
      <c r="G101" s="16" t="str">
        <f ca="1">IFERROR(__xludf.DUMMYFUNCTION("""COMPUTED_VALUE"""),"")</f>
        <v/>
      </c>
      <c r="H101" s="17" t="str">
        <f ca="1">IFERROR(__xludf.DUMMYFUNCTION("""COMPUTED_VALUE"""),"")</f>
        <v/>
      </c>
      <c r="I101" s="17" t="str">
        <f ca="1">IFERROR(__xludf.DUMMYFUNCTION("""COMPUTED_VALUE"""),"")</f>
        <v/>
      </c>
      <c r="J101" s="17" t="str">
        <f ca="1">IFERROR(__xludf.DUMMYFUNCTION("""COMPUTED_VALUE"""),"")</f>
        <v/>
      </c>
      <c r="K101" s="18" t="str">
        <f ca="1">IFERROR(__xludf.DUMMYFUNCTION("""COMPUTED_VALUE"""),"")</f>
        <v/>
      </c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20"/>
      <c r="W101" s="20"/>
      <c r="X101" s="20"/>
      <c r="Y101" s="20"/>
      <c r="Z101" s="21"/>
      <c r="AA101" s="22"/>
      <c r="AB101" s="23"/>
    </row>
    <row r="102" spans="1:28" ht="13.5" customHeight="1" x14ac:dyDescent="0.35">
      <c r="A102" s="24" t="str">
        <f ca="1">IFERROR(__xludf.DUMMYFUNCTION("""COMPUTED_VALUE"""),"")</f>
        <v/>
      </c>
      <c r="B102" s="28" t="str">
        <f ca="1">IFERROR(__xludf.DUMMYFUNCTION("""COMPUTED_VALUE"""),"")</f>
        <v/>
      </c>
      <c r="C102" s="27" t="str">
        <f ca="1">IFERROR(__xludf.DUMMYFUNCTION("""COMPUTED_VALUE"""),"")</f>
        <v/>
      </c>
      <c r="D102" s="27" t="str">
        <f ca="1">IFERROR(__xludf.DUMMYFUNCTION("""COMPUTED_VALUE"""),"")</f>
        <v/>
      </c>
      <c r="E102" s="15" t="str">
        <f ca="1">IFERROR(__xludf.DUMMYFUNCTION("""COMPUTED_VALUE"""),"")</f>
        <v/>
      </c>
      <c r="F102" s="51" t="str">
        <f ca="1">IFERROR(__xludf.DUMMYFUNCTION("""COMPUTED_VALUE"""),"")</f>
        <v/>
      </c>
      <c r="G102" s="16" t="str">
        <f ca="1">IFERROR(__xludf.DUMMYFUNCTION("""COMPUTED_VALUE"""),"")</f>
        <v/>
      </c>
      <c r="H102" s="17" t="str">
        <f ca="1">IFERROR(__xludf.DUMMYFUNCTION("""COMPUTED_VALUE"""),"")</f>
        <v/>
      </c>
      <c r="I102" s="17" t="str">
        <f ca="1">IFERROR(__xludf.DUMMYFUNCTION("""COMPUTED_VALUE"""),"")</f>
        <v/>
      </c>
      <c r="J102" s="17" t="str">
        <f ca="1">IFERROR(__xludf.DUMMYFUNCTION("""COMPUTED_VALUE"""),"")</f>
        <v/>
      </c>
      <c r="K102" s="18" t="str">
        <f ca="1">IFERROR(__xludf.DUMMYFUNCTION("""COMPUTED_VALUE"""),"")</f>
        <v/>
      </c>
      <c r="L102" s="19"/>
      <c r="M102" s="19"/>
      <c r="N102" s="19"/>
      <c r="O102" s="19"/>
      <c r="P102" s="19"/>
      <c r="Q102" s="19"/>
      <c r="R102" s="19"/>
      <c r="S102" s="19"/>
      <c r="T102" s="19"/>
      <c r="U102" s="19"/>
      <c r="V102" s="20"/>
      <c r="W102" s="20"/>
      <c r="X102" s="20"/>
      <c r="Y102" s="20"/>
      <c r="Z102" s="21"/>
      <c r="AA102" s="22"/>
      <c r="AB102" s="23"/>
    </row>
    <row r="103" spans="1:28" ht="13.5" customHeight="1" x14ac:dyDescent="0.35">
      <c r="A103" s="24" t="str">
        <f ca="1">IFERROR(__xludf.DUMMYFUNCTION("""COMPUTED_VALUE"""),"")</f>
        <v/>
      </c>
      <c r="B103" s="28" t="str">
        <f ca="1">IFERROR(__xludf.DUMMYFUNCTION("""COMPUTED_VALUE"""),"")</f>
        <v/>
      </c>
      <c r="C103" s="27" t="str">
        <f ca="1">IFERROR(__xludf.DUMMYFUNCTION("""COMPUTED_VALUE"""),"")</f>
        <v/>
      </c>
      <c r="D103" s="27" t="str">
        <f ca="1">IFERROR(__xludf.DUMMYFUNCTION("""COMPUTED_VALUE"""),"")</f>
        <v/>
      </c>
      <c r="E103" s="15" t="str">
        <f ca="1">IFERROR(__xludf.DUMMYFUNCTION("""COMPUTED_VALUE"""),"")</f>
        <v/>
      </c>
      <c r="F103" s="51" t="str">
        <f ca="1">IFERROR(__xludf.DUMMYFUNCTION("""COMPUTED_VALUE"""),"")</f>
        <v/>
      </c>
      <c r="G103" s="16" t="str">
        <f ca="1">IFERROR(__xludf.DUMMYFUNCTION("""COMPUTED_VALUE"""),"")</f>
        <v/>
      </c>
      <c r="H103" s="17" t="str">
        <f ca="1">IFERROR(__xludf.DUMMYFUNCTION("""COMPUTED_VALUE"""),"")</f>
        <v/>
      </c>
      <c r="I103" s="17" t="str">
        <f ca="1">IFERROR(__xludf.DUMMYFUNCTION("""COMPUTED_VALUE"""),"")</f>
        <v/>
      </c>
      <c r="J103" s="17" t="str">
        <f ca="1">IFERROR(__xludf.DUMMYFUNCTION("""COMPUTED_VALUE"""),"")</f>
        <v/>
      </c>
      <c r="K103" s="18" t="str">
        <f ca="1">IFERROR(__xludf.DUMMYFUNCTION("""COMPUTED_VALUE"""),"")</f>
        <v/>
      </c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20"/>
      <c r="W103" s="20"/>
      <c r="X103" s="20"/>
      <c r="Y103" s="20"/>
      <c r="Z103" s="21"/>
      <c r="AA103" s="22"/>
      <c r="AB103" s="23"/>
    </row>
    <row r="104" spans="1:28" ht="13.5" customHeight="1" x14ac:dyDescent="0.35">
      <c r="A104" s="24" t="str">
        <f ca="1">IFERROR(__xludf.DUMMYFUNCTION("""COMPUTED_VALUE"""),"")</f>
        <v/>
      </c>
      <c r="B104" s="28" t="str">
        <f ca="1">IFERROR(__xludf.DUMMYFUNCTION("""COMPUTED_VALUE"""),"")</f>
        <v/>
      </c>
      <c r="C104" s="27" t="str">
        <f ca="1">IFERROR(__xludf.DUMMYFUNCTION("""COMPUTED_VALUE"""),"")</f>
        <v/>
      </c>
      <c r="D104" s="27" t="str">
        <f ca="1">IFERROR(__xludf.DUMMYFUNCTION("""COMPUTED_VALUE"""),"")</f>
        <v/>
      </c>
      <c r="E104" s="15" t="str">
        <f ca="1">IFERROR(__xludf.DUMMYFUNCTION("""COMPUTED_VALUE"""),"")</f>
        <v/>
      </c>
      <c r="F104" s="51" t="str">
        <f ca="1">IFERROR(__xludf.DUMMYFUNCTION("""COMPUTED_VALUE"""),"")</f>
        <v/>
      </c>
      <c r="G104" s="16" t="str">
        <f ca="1">IFERROR(__xludf.DUMMYFUNCTION("""COMPUTED_VALUE"""),"")</f>
        <v/>
      </c>
      <c r="H104" s="17" t="str">
        <f ca="1">IFERROR(__xludf.DUMMYFUNCTION("""COMPUTED_VALUE"""),"")</f>
        <v/>
      </c>
      <c r="I104" s="17" t="str">
        <f ca="1">IFERROR(__xludf.DUMMYFUNCTION("""COMPUTED_VALUE"""),"")</f>
        <v/>
      </c>
      <c r="J104" s="17" t="str">
        <f ca="1">IFERROR(__xludf.DUMMYFUNCTION("""COMPUTED_VALUE"""),"")</f>
        <v/>
      </c>
      <c r="K104" s="18" t="str">
        <f ca="1">IFERROR(__xludf.DUMMYFUNCTION("""COMPUTED_VALUE"""),"")</f>
        <v/>
      </c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20"/>
      <c r="W104" s="20"/>
      <c r="X104" s="20"/>
      <c r="Y104" s="20"/>
      <c r="Z104" s="21"/>
      <c r="AA104" s="22"/>
      <c r="AB104" s="23"/>
    </row>
    <row r="105" spans="1:28" ht="13.5" customHeight="1" x14ac:dyDescent="0.35">
      <c r="A105" s="24" t="str">
        <f ca="1">IFERROR(__xludf.DUMMYFUNCTION("""COMPUTED_VALUE"""),"")</f>
        <v/>
      </c>
      <c r="B105" s="28" t="str">
        <f ca="1">IFERROR(__xludf.DUMMYFUNCTION("""COMPUTED_VALUE"""),"")</f>
        <v/>
      </c>
      <c r="C105" s="27" t="str">
        <f ca="1">IFERROR(__xludf.DUMMYFUNCTION("""COMPUTED_VALUE"""),"")</f>
        <v/>
      </c>
      <c r="D105" s="27" t="str">
        <f ca="1">IFERROR(__xludf.DUMMYFUNCTION("""COMPUTED_VALUE"""),"")</f>
        <v/>
      </c>
      <c r="E105" s="15" t="str">
        <f ca="1">IFERROR(__xludf.DUMMYFUNCTION("""COMPUTED_VALUE"""),"")</f>
        <v/>
      </c>
      <c r="F105" s="51" t="str">
        <f ca="1">IFERROR(__xludf.DUMMYFUNCTION("""COMPUTED_VALUE"""),"")</f>
        <v/>
      </c>
      <c r="G105" s="16" t="str">
        <f ca="1">IFERROR(__xludf.DUMMYFUNCTION("""COMPUTED_VALUE"""),"")</f>
        <v/>
      </c>
      <c r="H105" s="17" t="str">
        <f ca="1">IFERROR(__xludf.DUMMYFUNCTION("""COMPUTED_VALUE"""),"")</f>
        <v/>
      </c>
      <c r="I105" s="17" t="str">
        <f ca="1">IFERROR(__xludf.DUMMYFUNCTION("""COMPUTED_VALUE"""),"")</f>
        <v/>
      </c>
      <c r="J105" s="17" t="str">
        <f ca="1">IFERROR(__xludf.DUMMYFUNCTION("""COMPUTED_VALUE"""),"")</f>
        <v/>
      </c>
      <c r="K105" s="18" t="str">
        <f ca="1">IFERROR(__xludf.DUMMYFUNCTION("""COMPUTED_VALUE"""),"")</f>
        <v/>
      </c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V105" s="20"/>
      <c r="W105" s="20"/>
      <c r="X105" s="20"/>
      <c r="Y105" s="20"/>
      <c r="Z105" s="21"/>
      <c r="AA105" s="22"/>
      <c r="AB105" s="23"/>
    </row>
    <row r="106" spans="1:28" ht="13.5" customHeight="1" x14ac:dyDescent="0.35">
      <c r="A106" s="24" t="str">
        <f ca="1">IFERROR(__xludf.DUMMYFUNCTION("""COMPUTED_VALUE"""),"")</f>
        <v/>
      </c>
      <c r="B106" s="28" t="str">
        <f ca="1">IFERROR(__xludf.DUMMYFUNCTION("""COMPUTED_VALUE"""),"")</f>
        <v/>
      </c>
      <c r="C106" s="27" t="str">
        <f ca="1">IFERROR(__xludf.DUMMYFUNCTION("""COMPUTED_VALUE"""),"")</f>
        <v/>
      </c>
      <c r="D106" s="27" t="str">
        <f ca="1">IFERROR(__xludf.DUMMYFUNCTION("""COMPUTED_VALUE"""),"")</f>
        <v/>
      </c>
      <c r="E106" s="15" t="str">
        <f ca="1">IFERROR(__xludf.DUMMYFUNCTION("""COMPUTED_VALUE"""),"")</f>
        <v/>
      </c>
      <c r="F106" s="51" t="str">
        <f ca="1">IFERROR(__xludf.DUMMYFUNCTION("""COMPUTED_VALUE"""),"")</f>
        <v/>
      </c>
      <c r="G106" s="16" t="str">
        <f ca="1">IFERROR(__xludf.DUMMYFUNCTION("""COMPUTED_VALUE"""),"")</f>
        <v/>
      </c>
      <c r="H106" s="17" t="str">
        <f ca="1">IFERROR(__xludf.DUMMYFUNCTION("""COMPUTED_VALUE"""),"")</f>
        <v/>
      </c>
      <c r="I106" s="17" t="str">
        <f ca="1">IFERROR(__xludf.DUMMYFUNCTION("""COMPUTED_VALUE"""),"")</f>
        <v/>
      </c>
      <c r="J106" s="17" t="str">
        <f ca="1">IFERROR(__xludf.DUMMYFUNCTION("""COMPUTED_VALUE"""),"")</f>
        <v/>
      </c>
      <c r="K106" s="18" t="str">
        <f ca="1">IFERROR(__xludf.DUMMYFUNCTION("""COMPUTED_VALUE"""),"")</f>
        <v/>
      </c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20"/>
      <c r="W106" s="20"/>
      <c r="X106" s="20"/>
      <c r="Y106" s="20"/>
      <c r="Z106" s="21"/>
      <c r="AA106" s="22"/>
      <c r="AB106" s="23"/>
    </row>
    <row r="107" spans="1:28" ht="13.5" customHeight="1" x14ac:dyDescent="0.35">
      <c r="A107" s="24" t="str">
        <f ca="1">IFERROR(__xludf.DUMMYFUNCTION("""COMPUTED_VALUE"""),"")</f>
        <v/>
      </c>
      <c r="B107" s="28" t="str">
        <f ca="1">IFERROR(__xludf.DUMMYFUNCTION("""COMPUTED_VALUE"""),"")</f>
        <v/>
      </c>
      <c r="C107" s="27" t="str">
        <f ca="1">IFERROR(__xludf.DUMMYFUNCTION("""COMPUTED_VALUE"""),"")</f>
        <v/>
      </c>
      <c r="D107" s="27" t="str">
        <f ca="1">IFERROR(__xludf.DUMMYFUNCTION("""COMPUTED_VALUE"""),"")</f>
        <v/>
      </c>
      <c r="E107" s="15" t="str">
        <f ca="1">IFERROR(__xludf.DUMMYFUNCTION("""COMPUTED_VALUE"""),"")</f>
        <v/>
      </c>
      <c r="F107" s="51" t="str">
        <f ca="1">IFERROR(__xludf.DUMMYFUNCTION("""COMPUTED_VALUE"""),"")</f>
        <v/>
      </c>
      <c r="G107" s="16" t="str">
        <f ca="1">IFERROR(__xludf.DUMMYFUNCTION("""COMPUTED_VALUE"""),"")</f>
        <v/>
      </c>
      <c r="H107" s="17" t="str">
        <f ca="1">IFERROR(__xludf.DUMMYFUNCTION("""COMPUTED_VALUE"""),"")</f>
        <v/>
      </c>
      <c r="I107" s="17" t="str">
        <f ca="1">IFERROR(__xludf.DUMMYFUNCTION("""COMPUTED_VALUE"""),"")</f>
        <v/>
      </c>
      <c r="J107" s="17" t="str">
        <f ca="1">IFERROR(__xludf.DUMMYFUNCTION("""COMPUTED_VALUE"""),"")</f>
        <v/>
      </c>
      <c r="K107" s="18" t="str">
        <f ca="1">IFERROR(__xludf.DUMMYFUNCTION("""COMPUTED_VALUE"""),"")</f>
        <v/>
      </c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20"/>
      <c r="W107" s="20"/>
      <c r="X107" s="20"/>
      <c r="Y107" s="20"/>
      <c r="Z107" s="21"/>
      <c r="AA107" s="22"/>
      <c r="AB107" s="23"/>
    </row>
    <row r="108" spans="1:28" ht="13.5" customHeight="1" x14ac:dyDescent="0.35">
      <c r="A108" s="24" t="str">
        <f ca="1">IFERROR(__xludf.DUMMYFUNCTION("""COMPUTED_VALUE"""),"")</f>
        <v/>
      </c>
      <c r="B108" s="28" t="str">
        <f ca="1">IFERROR(__xludf.DUMMYFUNCTION("""COMPUTED_VALUE"""),"")</f>
        <v/>
      </c>
      <c r="C108" s="27" t="str">
        <f ca="1">IFERROR(__xludf.DUMMYFUNCTION("""COMPUTED_VALUE"""),"")</f>
        <v/>
      </c>
      <c r="D108" s="27" t="str">
        <f ca="1">IFERROR(__xludf.DUMMYFUNCTION("""COMPUTED_VALUE"""),"")</f>
        <v/>
      </c>
      <c r="E108" s="15" t="str">
        <f ca="1">IFERROR(__xludf.DUMMYFUNCTION("""COMPUTED_VALUE"""),"")</f>
        <v/>
      </c>
      <c r="F108" s="51" t="str">
        <f ca="1">IFERROR(__xludf.DUMMYFUNCTION("""COMPUTED_VALUE"""),"")</f>
        <v/>
      </c>
      <c r="G108" s="16" t="str">
        <f ca="1">IFERROR(__xludf.DUMMYFUNCTION("""COMPUTED_VALUE"""),"")</f>
        <v/>
      </c>
      <c r="H108" s="17" t="str">
        <f ca="1">IFERROR(__xludf.DUMMYFUNCTION("""COMPUTED_VALUE"""),"")</f>
        <v/>
      </c>
      <c r="I108" s="17" t="str">
        <f ca="1">IFERROR(__xludf.DUMMYFUNCTION("""COMPUTED_VALUE"""),"")</f>
        <v/>
      </c>
      <c r="J108" s="17" t="str">
        <f ca="1">IFERROR(__xludf.DUMMYFUNCTION("""COMPUTED_VALUE"""),"")</f>
        <v/>
      </c>
      <c r="K108" s="18" t="str">
        <f ca="1">IFERROR(__xludf.DUMMYFUNCTION("""COMPUTED_VALUE"""),"")</f>
        <v/>
      </c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20"/>
      <c r="W108" s="20"/>
      <c r="X108" s="20"/>
      <c r="Y108" s="20"/>
      <c r="Z108" s="21"/>
      <c r="AA108" s="22"/>
      <c r="AB108" s="23"/>
    </row>
    <row r="109" spans="1:28" ht="13.5" customHeight="1" x14ac:dyDescent="0.35">
      <c r="A109" s="24" t="str">
        <f ca="1">IFERROR(__xludf.DUMMYFUNCTION("""COMPUTED_VALUE"""),"")</f>
        <v/>
      </c>
      <c r="B109" s="28" t="str">
        <f ca="1">IFERROR(__xludf.DUMMYFUNCTION("""COMPUTED_VALUE"""),"")</f>
        <v/>
      </c>
      <c r="C109" s="27" t="str">
        <f ca="1">IFERROR(__xludf.DUMMYFUNCTION("""COMPUTED_VALUE"""),"")</f>
        <v/>
      </c>
      <c r="D109" s="27" t="str">
        <f ca="1">IFERROR(__xludf.DUMMYFUNCTION("""COMPUTED_VALUE"""),"")</f>
        <v/>
      </c>
      <c r="E109" s="15" t="str">
        <f ca="1">IFERROR(__xludf.DUMMYFUNCTION("""COMPUTED_VALUE"""),"")</f>
        <v/>
      </c>
      <c r="F109" s="51" t="str">
        <f ca="1">IFERROR(__xludf.DUMMYFUNCTION("""COMPUTED_VALUE"""),"")</f>
        <v/>
      </c>
      <c r="G109" s="16" t="str">
        <f ca="1">IFERROR(__xludf.DUMMYFUNCTION("""COMPUTED_VALUE"""),"")</f>
        <v/>
      </c>
      <c r="H109" s="17" t="str">
        <f ca="1">IFERROR(__xludf.DUMMYFUNCTION("""COMPUTED_VALUE"""),"")</f>
        <v/>
      </c>
      <c r="I109" s="17" t="str">
        <f ca="1">IFERROR(__xludf.DUMMYFUNCTION("""COMPUTED_VALUE"""),"")</f>
        <v/>
      </c>
      <c r="J109" s="17" t="str">
        <f ca="1">IFERROR(__xludf.DUMMYFUNCTION("""COMPUTED_VALUE"""),"")</f>
        <v/>
      </c>
      <c r="K109" s="18" t="str">
        <f ca="1">IFERROR(__xludf.DUMMYFUNCTION("""COMPUTED_VALUE"""),"")</f>
        <v/>
      </c>
      <c r="L109" s="19"/>
      <c r="M109" s="19"/>
      <c r="N109" s="19"/>
      <c r="O109" s="19"/>
      <c r="P109" s="19"/>
      <c r="Q109" s="19"/>
      <c r="R109" s="19"/>
      <c r="S109" s="19"/>
      <c r="T109" s="19"/>
      <c r="U109" s="19"/>
      <c r="V109" s="20"/>
      <c r="W109" s="20"/>
      <c r="X109" s="20"/>
      <c r="Y109" s="20"/>
      <c r="Z109" s="21"/>
      <c r="AA109" s="22"/>
      <c r="AB109" s="23"/>
    </row>
    <row r="110" spans="1:28" ht="13.5" customHeight="1" x14ac:dyDescent="0.35">
      <c r="A110" s="24" t="str">
        <f ca="1">IFERROR(__xludf.DUMMYFUNCTION("""COMPUTED_VALUE"""),"")</f>
        <v/>
      </c>
      <c r="B110" s="28" t="str">
        <f ca="1">IFERROR(__xludf.DUMMYFUNCTION("""COMPUTED_VALUE"""),"")</f>
        <v/>
      </c>
      <c r="C110" s="27" t="str">
        <f ca="1">IFERROR(__xludf.DUMMYFUNCTION("""COMPUTED_VALUE"""),"")</f>
        <v/>
      </c>
      <c r="D110" s="27" t="str">
        <f ca="1">IFERROR(__xludf.DUMMYFUNCTION("""COMPUTED_VALUE"""),"")</f>
        <v/>
      </c>
      <c r="E110" s="15" t="str">
        <f ca="1">IFERROR(__xludf.DUMMYFUNCTION("""COMPUTED_VALUE"""),"")</f>
        <v/>
      </c>
      <c r="F110" s="51" t="str">
        <f ca="1">IFERROR(__xludf.DUMMYFUNCTION("""COMPUTED_VALUE"""),"")</f>
        <v/>
      </c>
      <c r="G110" s="16" t="str">
        <f ca="1">IFERROR(__xludf.DUMMYFUNCTION("""COMPUTED_VALUE"""),"")</f>
        <v/>
      </c>
      <c r="H110" s="17" t="str">
        <f ca="1">IFERROR(__xludf.DUMMYFUNCTION("""COMPUTED_VALUE"""),"")</f>
        <v/>
      </c>
      <c r="I110" s="17" t="str">
        <f ca="1">IFERROR(__xludf.DUMMYFUNCTION("""COMPUTED_VALUE"""),"")</f>
        <v/>
      </c>
      <c r="J110" s="17" t="str">
        <f ca="1">IFERROR(__xludf.DUMMYFUNCTION("""COMPUTED_VALUE"""),"")</f>
        <v/>
      </c>
      <c r="K110" s="18" t="str">
        <f ca="1">IFERROR(__xludf.DUMMYFUNCTION("""COMPUTED_VALUE"""),"")</f>
        <v/>
      </c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20"/>
      <c r="W110" s="20"/>
      <c r="X110" s="20"/>
      <c r="Y110" s="20"/>
      <c r="Z110" s="21"/>
      <c r="AA110" s="22"/>
      <c r="AB110" s="23"/>
    </row>
    <row r="111" spans="1:28" ht="13.5" customHeight="1" x14ac:dyDescent="0.35">
      <c r="A111" s="24" t="str">
        <f ca="1">IFERROR(__xludf.DUMMYFUNCTION("""COMPUTED_VALUE"""),"")</f>
        <v/>
      </c>
      <c r="B111" s="28" t="str">
        <f ca="1">IFERROR(__xludf.DUMMYFUNCTION("""COMPUTED_VALUE"""),"")</f>
        <v/>
      </c>
      <c r="C111" s="27" t="str">
        <f ca="1">IFERROR(__xludf.DUMMYFUNCTION("""COMPUTED_VALUE"""),"")</f>
        <v/>
      </c>
      <c r="D111" s="27" t="str">
        <f ca="1">IFERROR(__xludf.DUMMYFUNCTION("""COMPUTED_VALUE"""),"")</f>
        <v/>
      </c>
      <c r="E111" s="15" t="str">
        <f ca="1">IFERROR(__xludf.DUMMYFUNCTION("""COMPUTED_VALUE"""),"")</f>
        <v/>
      </c>
      <c r="F111" s="51" t="str">
        <f ca="1">IFERROR(__xludf.DUMMYFUNCTION("""COMPUTED_VALUE"""),"")</f>
        <v/>
      </c>
      <c r="G111" s="16" t="str">
        <f ca="1">IFERROR(__xludf.DUMMYFUNCTION("""COMPUTED_VALUE"""),"")</f>
        <v/>
      </c>
      <c r="H111" s="17" t="str">
        <f ca="1">IFERROR(__xludf.DUMMYFUNCTION("""COMPUTED_VALUE"""),"")</f>
        <v/>
      </c>
      <c r="I111" s="17" t="str">
        <f ca="1">IFERROR(__xludf.DUMMYFUNCTION("""COMPUTED_VALUE"""),"")</f>
        <v/>
      </c>
      <c r="J111" s="17" t="str">
        <f ca="1">IFERROR(__xludf.DUMMYFUNCTION("""COMPUTED_VALUE"""),"")</f>
        <v/>
      </c>
      <c r="K111" s="18" t="str">
        <f ca="1">IFERROR(__xludf.DUMMYFUNCTION("""COMPUTED_VALUE"""),"")</f>
        <v/>
      </c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V111" s="20"/>
      <c r="W111" s="20"/>
      <c r="X111" s="20"/>
      <c r="Y111" s="20"/>
      <c r="Z111" s="21"/>
      <c r="AA111" s="22"/>
      <c r="AB111" s="23"/>
    </row>
    <row r="112" spans="1:28" ht="13.5" customHeight="1" x14ac:dyDescent="0.35">
      <c r="A112" s="24" t="str">
        <f ca="1">IFERROR(__xludf.DUMMYFUNCTION("""COMPUTED_VALUE"""),"")</f>
        <v/>
      </c>
      <c r="B112" s="28" t="str">
        <f ca="1">IFERROR(__xludf.DUMMYFUNCTION("""COMPUTED_VALUE"""),"")</f>
        <v/>
      </c>
      <c r="C112" s="27" t="str">
        <f ca="1">IFERROR(__xludf.DUMMYFUNCTION("""COMPUTED_VALUE"""),"")</f>
        <v/>
      </c>
      <c r="D112" s="27" t="str">
        <f ca="1">IFERROR(__xludf.DUMMYFUNCTION("""COMPUTED_VALUE"""),"")</f>
        <v/>
      </c>
      <c r="E112" s="15" t="str">
        <f ca="1">IFERROR(__xludf.DUMMYFUNCTION("""COMPUTED_VALUE"""),"")</f>
        <v/>
      </c>
      <c r="F112" s="51" t="str">
        <f ca="1">IFERROR(__xludf.DUMMYFUNCTION("""COMPUTED_VALUE"""),"")</f>
        <v/>
      </c>
      <c r="G112" s="16" t="str">
        <f ca="1">IFERROR(__xludf.DUMMYFUNCTION("""COMPUTED_VALUE"""),"")</f>
        <v/>
      </c>
      <c r="H112" s="17" t="str">
        <f ca="1">IFERROR(__xludf.DUMMYFUNCTION("""COMPUTED_VALUE"""),"")</f>
        <v/>
      </c>
      <c r="I112" s="17" t="str">
        <f ca="1">IFERROR(__xludf.DUMMYFUNCTION("""COMPUTED_VALUE"""),"")</f>
        <v/>
      </c>
      <c r="J112" s="17" t="str">
        <f ca="1">IFERROR(__xludf.DUMMYFUNCTION("""COMPUTED_VALUE"""),"")</f>
        <v/>
      </c>
      <c r="K112" s="18" t="str">
        <f ca="1">IFERROR(__xludf.DUMMYFUNCTION("""COMPUTED_VALUE"""),"")</f>
        <v/>
      </c>
      <c r="L112" s="19"/>
      <c r="M112" s="19"/>
      <c r="N112" s="19"/>
      <c r="O112" s="19"/>
      <c r="P112" s="19"/>
      <c r="Q112" s="19"/>
      <c r="R112" s="19"/>
      <c r="S112" s="19"/>
      <c r="T112" s="19"/>
      <c r="U112" s="19"/>
      <c r="V112" s="20"/>
      <c r="W112" s="20"/>
      <c r="X112" s="20"/>
      <c r="Y112" s="20"/>
      <c r="Z112" s="21"/>
      <c r="AA112" s="22"/>
      <c r="AB112" s="23"/>
    </row>
    <row r="113" spans="1:28" ht="13.5" customHeight="1" x14ac:dyDescent="0.35">
      <c r="A113" s="24" t="str">
        <f ca="1">IFERROR(__xludf.DUMMYFUNCTION("""COMPUTED_VALUE"""),"")</f>
        <v/>
      </c>
      <c r="B113" s="28" t="str">
        <f ca="1">IFERROR(__xludf.DUMMYFUNCTION("""COMPUTED_VALUE"""),"")</f>
        <v/>
      </c>
      <c r="C113" s="27" t="str">
        <f ca="1">IFERROR(__xludf.DUMMYFUNCTION("""COMPUTED_VALUE"""),"")</f>
        <v/>
      </c>
      <c r="D113" s="27" t="str">
        <f ca="1">IFERROR(__xludf.DUMMYFUNCTION("""COMPUTED_VALUE"""),"")</f>
        <v/>
      </c>
      <c r="E113" s="15" t="str">
        <f ca="1">IFERROR(__xludf.DUMMYFUNCTION("""COMPUTED_VALUE"""),"")</f>
        <v/>
      </c>
      <c r="F113" s="51" t="str">
        <f ca="1">IFERROR(__xludf.DUMMYFUNCTION("""COMPUTED_VALUE"""),"")</f>
        <v/>
      </c>
      <c r="G113" s="16" t="str">
        <f ca="1">IFERROR(__xludf.DUMMYFUNCTION("""COMPUTED_VALUE"""),"")</f>
        <v/>
      </c>
      <c r="H113" s="17" t="str">
        <f ca="1">IFERROR(__xludf.DUMMYFUNCTION("""COMPUTED_VALUE"""),"")</f>
        <v/>
      </c>
      <c r="I113" s="17" t="str">
        <f ca="1">IFERROR(__xludf.DUMMYFUNCTION("""COMPUTED_VALUE"""),"")</f>
        <v/>
      </c>
      <c r="J113" s="17" t="str">
        <f ca="1">IFERROR(__xludf.DUMMYFUNCTION("""COMPUTED_VALUE"""),"")</f>
        <v/>
      </c>
      <c r="K113" s="18" t="str">
        <f ca="1">IFERROR(__xludf.DUMMYFUNCTION("""COMPUTED_VALUE"""),"")</f>
        <v/>
      </c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20"/>
      <c r="W113" s="20"/>
      <c r="X113" s="20"/>
      <c r="Y113" s="20"/>
      <c r="Z113" s="21"/>
      <c r="AA113" s="22"/>
      <c r="AB113" s="23"/>
    </row>
    <row r="114" spans="1:28" ht="13.5" customHeight="1" x14ac:dyDescent="0.35">
      <c r="A114" s="24" t="str">
        <f ca="1">IFERROR(__xludf.DUMMYFUNCTION("""COMPUTED_VALUE"""),"")</f>
        <v/>
      </c>
      <c r="B114" s="28" t="str">
        <f ca="1">IFERROR(__xludf.DUMMYFUNCTION("""COMPUTED_VALUE"""),"")</f>
        <v/>
      </c>
      <c r="C114" s="27" t="str">
        <f ca="1">IFERROR(__xludf.DUMMYFUNCTION("""COMPUTED_VALUE"""),"")</f>
        <v/>
      </c>
      <c r="D114" s="27" t="str">
        <f ca="1">IFERROR(__xludf.DUMMYFUNCTION("""COMPUTED_VALUE"""),"")</f>
        <v/>
      </c>
      <c r="E114" s="15" t="str">
        <f ca="1">IFERROR(__xludf.DUMMYFUNCTION("""COMPUTED_VALUE"""),"")</f>
        <v/>
      </c>
      <c r="F114" s="51" t="str">
        <f ca="1">IFERROR(__xludf.DUMMYFUNCTION("""COMPUTED_VALUE"""),"")</f>
        <v/>
      </c>
      <c r="G114" s="16" t="str">
        <f ca="1">IFERROR(__xludf.DUMMYFUNCTION("""COMPUTED_VALUE"""),"")</f>
        <v/>
      </c>
      <c r="H114" s="17" t="str">
        <f ca="1">IFERROR(__xludf.DUMMYFUNCTION("""COMPUTED_VALUE"""),"")</f>
        <v/>
      </c>
      <c r="I114" s="17" t="str">
        <f ca="1">IFERROR(__xludf.DUMMYFUNCTION("""COMPUTED_VALUE"""),"")</f>
        <v/>
      </c>
      <c r="J114" s="17" t="str">
        <f ca="1">IFERROR(__xludf.DUMMYFUNCTION("""COMPUTED_VALUE"""),"")</f>
        <v/>
      </c>
      <c r="K114" s="18" t="str">
        <f ca="1">IFERROR(__xludf.DUMMYFUNCTION("""COMPUTED_VALUE"""),"")</f>
        <v/>
      </c>
      <c r="L114" s="19"/>
      <c r="M114" s="19"/>
      <c r="N114" s="19"/>
      <c r="O114" s="19"/>
      <c r="P114" s="19"/>
      <c r="Q114" s="19"/>
      <c r="R114" s="19"/>
      <c r="S114" s="19"/>
      <c r="T114" s="19"/>
      <c r="U114" s="19"/>
      <c r="V114" s="20"/>
      <c r="W114" s="20"/>
      <c r="X114" s="20"/>
      <c r="Y114" s="20"/>
      <c r="Z114" s="21"/>
      <c r="AA114" s="22"/>
      <c r="AB114" s="23"/>
    </row>
    <row r="115" spans="1:28" ht="13.5" customHeight="1" x14ac:dyDescent="0.35">
      <c r="A115" s="24" t="str">
        <f ca="1">IFERROR(__xludf.DUMMYFUNCTION("""COMPUTED_VALUE"""),"")</f>
        <v/>
      </c>
      <c r="B115" s="28" t="str">
        <f ca="1">IFERROR(__xludf.DUMMYFUNCTION("""COMPUTED_VALUE"""),"")</f>
        <v/>
      </c>
      <c r="C115" s="27" t="str">
        <f ca="1">IFERROR(__xludf.DUMMYFUNCTION("""COMPUTED_VALUE"""),"")</f>
        <v/>
      </c>
      <c r="D115" s="27" t="str">
        <f ca="1">IFERROR(__xludf.DUMMYFUNCTION("""COMPUTED_VALUE"""),"")</f>
        <v/>
      </c>
      <c r="E115" s="15" t="str">
        <f ca="1">IFERROR(__xludf.DUMMYFUNCTION("""COMPUTED_VALUE"""),"")</f>
        <v/>
      </c>
      <c r="F115" s="51" t="str">
        <f ca="1">IFERROR(__xludf.DUMMYFUNCTION("""COMPUTED_VALUE"""),"")</f>
        <v/>
      </c>
      <c r="G115" s="16" t="str">
        <f ca="1">IFERROR(__xludf.DUMMYFUNCTION("""COMPUTED_VALUE"""),"")</f>
        <v/>
      </c>
      <c r="H115" s="17" t="str">
        <f ca="1">IFERROR(__xludf.DUMMYFUNCTION("""COMPUTED_VALUE"""),"")</f>
        <v/>
      </c>
      <c r="I115" s="17" t="str">
        <f ca="1">IFERROR(__xludf.DUMMYFUNCTION("""COMPUTED_VALUE"""),"")</f>
        <v/>
      </c>
      <c r="J115" s="17" t="str">
        <f ca="1">IFERROR(__xludf.DUMMYFUNCTION("""COMPUTED_VALUE"""),"")</f>
        <v/>
      </c>
      <c r="K115" s="18" t="str">
        <f ca="1">IFERROR(__xludf.DUMMYFUNCTION("""COMPUTED_VALUE"""),"")</f>
        <v/>
      </c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20"/>
      <c r="W115" s="20"/>
      <c r="X115" s="20"/>
      <c r="Y115" s="20"/>
      <c r="Z115" s="21"/>
      <c r="AA115" s="22"/>
      <c r="AB115" s="23"/>
    </row>
    <row r="116" spans="1:28" ht="13.5" customHeight="1" x14ac:dyDescent="0.35">
      <c r="A116" s="24" t="str">
        <f ca="1">IFERROR(__xludf.DUMMYFUNCTION("""COMPUTED_VALUE"""),"")</f>
        <v/>
      </c>
      <c r="B116" s="28" t="str">
        <f ca="1">IFERROR(__xludf.DUMMYFUNCTION("""COMPUTED_VALUE"""),"")</f>
        <v/>
      </c>
      <c r="C116" s="27" t="str">
        <f ca="1">IFERROR(__xludf.DUMMYFUNCTION("""COMPUTED_VALUE"""),"")</f>
        <v/>
      </c>
      <c r="D116" s="27" t="str">
        <f ca="1">IFERROR(__xludf.DUMMYFUNCTION("""COMPUTED_VALUE"""),"")</f>
        <v/>
      </c>
      <c r="E116" s="15" t="str">
        <f ca="1">IFERROR(__xludf.DUMMYFUNCTION("""COMPUTED_VALUE"""),"")</f>
        <v/>
      </c>
      <c r="F116" s="51" t="str">
        <f ca="1">IFERROR(__xludf.DUMMYFUNCTION("""COMPUTED_VALUE"""),"")</f>
        <v/>
      </c>
      <c r="G116" s="16" t="str">
        <f ca="1">IFERROR(__xludf.DUMMYFUNCTION("""COMPUTED_VALUE"""),"")</f>
        <v/>
      </c>
      <c r="H116" s="17" t="str">
        <f ca="1">IFERROR(__xludf.DUMMYFUNCTION("""COMPUTED_VALUE"""),"")</f>
        <v/>
      </c>
      <c r="I116" s="17" t="str">
        <f ca="1">IFERROR(__xludf.DUMMYFUNCTION("""COMPUTED_VALUE"""),"")</f>
        <v/>
      </c>
      <c r="J116" s="17" t="str">
        <f ca="1">IFERROR(__xludf.DUMMYFUNCTION("""COMPUTED_VALUE"""),"")</f>
        <v/>
      </c>
      <c r="K116" s="18" t="str">
        <f ca="1">IFERROR(__xludf.DUMMYFUNCTION("""COMPUTED_VALUE"""),"")</f>
        <v/>
      </c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20"/>
      <c r="W116" s="20"/>
      <c r="X116" s="20"/>
      <c r="Y116" s="20"/>
      <c r="Z116" s="21"/>
      <c r="AA116" s="22"/>
      <c r="AB116" s="23"/>
    </row>
    <row r="117" spans="1:28" ht="13.5" customHeight="1" x14ac:dyDescent="0.35">
      <c r="A117" s="24" t="str">
        <f ca="1">IFERROR(__xludf.DUMMYFUNCTION("""COMPUTED_VALUE"""),"")</f>
        <v/>
      </c>
      <c r="B117" s="28" t="str">
        <f ca="1">IFERROR(__xludf.DUMMYFUNCTION("""COMPUTED_VALUE"""),"")</f>
        <v/>
      </c>
      <c r="C117" s="27" t="str">
        <f ca="1">IFERROR(__xludf.DUMMYFUNCTION("""COMPUTED_VALUE"""),"")</f>
        <v/>
      </c>
      <c r="D117" s="27" t="str">
        <f ca="1">IFERROR(__xludf.DUMMYFUNCTION("""COMPUTED_VALUE"""),"")</f>
        <v/>
      </c>
      <c r="E117" s="15" t="str">
        <f ca="1">IFERROR(__xludf.DUMMYFUNCTION("""COMPUTED_VALUE"""),"")</f>
        <v/>
      </c>
      <c r="F117" s="51" t="str">
        <f ca="1">IFERROR(__xludf.DUMMYFUNCTION("""COMPUTED_VALUE"""),"")</f>
        <v/>
      </c>
      <c r="G117" s="16" t="str">
        <f ca="1">IFERROR(__xludf.DUMMYFUNCTION("""COMPUTED_VALUE"""),"")</f>
        <v/>
      </c>
      <c r="H117" s="17" t="str">
        <f ca="1">IFERROR(__xludf.DUMMYFUNCTION("""COMPUTED_VALUE"""),"")</f>
        <v/>
      </c>
      <c r="I117" s="17" t="str">
        <f ca="1">IFERROR(__xludf.DUMMYFUNCTION("""COMPUTED_VALUE"""),"")</f>
        <v/>
      </c>
      <c r="J117" s="17" t="str">
        <f ca="1">IFERROR(__xludf.DUMMYFUNCTION("""COMPUTED_VALUE"""),"")</f>
        <v/>
      </c>
      <c r="K117" s="18" t="str">
        <f ca="1">IFERROR(__xludf.DUMMYFUNCTION("""COMPUTED_VALUE"""),"")</f>
        <v/>
      </c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20"/>
      <c r="W117" s="20"/>
      <c r="X117" s="20"/>
      <c r="Y117" s="20"/>
      <c r="Z117" s="21"/>
      <c r="AA117" s="22"/>
      <c r="AB117" s="23"/>
    </row>
    <row r="118" spans="1:28" ht="13.5" customHeight="1" x14ac:dyDescent="0.35">
      <c r="A118" s="24" t="str">
        <f ca="1">IFERROR(__xludf.DUMMYFUNCTION("""COMPUTED_VALUE"""),"")</f>
        <v/>
      </c>
      <c r="B118" s="28" t="str">
        <f ca="1">IFERROR(__xludf.DUMMYFUNCTION("""COMPUTED_VALUE"""),"")</f>
        <v/>
      </c>
      <c r="C118" s="27" t="str">
        <f ca="1">IFERROR(__xludf.DUMMYFUNCTION("""COMPUTED_VALUE"""),"")</f>
        <v/>
      </c>
      <c r="D118" s="27" t="str">
        <f ca="1">IFERROR(__xludf.DUMMYFUNCTION("""COMPUTED_VALUE"""),"")</f>
        <v/>
      </c>
      <c r="E118" s="15" t="str">
        <f ca="1">IFERROR(__xludf.DUMMYFUNCTION("""COMPUTED_VALUE"""),"")</f>
        <v/>
      </c>
      <c r="F118" s="51" t="str">
        <f ca="1">IFERROR(__xludf.DUMMYFUNCTION("""COMPUTED_VALUE"""),"")</f>
        <v/>
      </c>
      <c r="G118" s="16" t="str">
        <f ca="1">IFERROR(__xludf.DUMMYFUNCTION("""COMPUTED_VALUE"""),"")</f>
        <v/>
      </c>
      <c r="H118" s="17" t="str">
        <f ca="1">IFERROR(__xludf.DUMMYFUNCTION("""COMPUTED_VALUE"""),"")</f>
        <v/>
      </c>
      <c r="I118" s="17" t="str">
        <f ca="1">IFERROR(__xludf.DUMMYFUNCTION("""COMPUTED_VALUE"""),"")</f>
        <v/>
      </c>
      <c r="J118" s="17" t="str">
        <f ca="1">IFERROR(__xludf.DUMMYFUNCTION("""COMPUTED_VALUE"""),"")</f>
        <v/>
      </c>
      <c r="K118" s="18" t="str">
        <f ca="1">IFERROR(__xludf.DUMMYFUNCTION("""COMPUTED_VALUE"""),"")</f>
        <v/>
      </c>
      <c r="L118" s="19"/>
      <c r="M118" s="19"/>
      <c r="N118" s="19"/>
      <c r="O118" s="19"/>
      <c r="P118" s="19"/>
      <c r="Q118" s="19"/>
      <c r="R118" s="19"/>
      <c r="S118" s="19"/>
      <c r="T118" s="19"/>
      <c r="U118" s="19"/>
      <c r="V118" s="20"/>
      <c r="W118" s="20"/>
      <c r="X118" s="20"/>
      <c r="Y118" s="20"/>
      <c r="Z118" s="21"/>
      <c r="AA118" s="22"/>
      <c r="AB118" s="23"/>
    </row>
    <row r="119" spans="1:28" ht="13.5" customHeight="1" x14ac:dyDescent="0.35">
      <c r="A119" s="24" t="str">
        <f ca="1">IFERROR(__xludf.DUMMYFUNCTION("""COMPUTED_VALUE"""),"")</f>
        <v/>
      </c>
      <c r="B119" s="28" t="str">
        <f ca="1">IFERROR(__xludf.DUMMYFUNCTION("""COMPUTED_VALUE"""),"")</f>
        <v/>
      </c>
      <c r="C119" s="27" t="str">
        <f ca="1">IFERROR(__xludf.DUMMYFUNCTION("""COMPUTED_VALUE"""),"")</f>
        <v/>
      </c>
      <c r="D119" s="27" t="str">
        <f ca="1">IFERROR(__xludf.DUMMYFUNCTION("""COMPUTED_VALUE"""),"")</f>
        <v/>
      </c>
      <c r="E119" s="15" t="str">
        <f ca="1">IFERROR(__xludf.DUMMYFUNCTION("""COMPUTED_VALUE"""),"")</f>
        <v/>
      </c>
      <c r="F119" s="51" t="str">
        <f ca="1">IFERROR(__xludf.DUMMYFUNCTION("""COMPUTED_VALUE"""),"")</f>
        <v/>
      </c>
      <c r="G119" s="16" t="str">
        <f ca="1">IFERROR(__xludf.DUMMYFUNCTION("""COMPUTED_VALUE"""),"")</f>
        <v/>
      </c>
      <c r="H119" s="17" t="str">
        <f ca="1">IFERROR(__xludf.DUMMYFUNCTION("""COMPUTED_VALUE"""),"")</f>
        <v/>
      </c>
      <c r="I119" s="17" t="str">
        <f ca="1">IFERROR(__xludf.DUMMYFUNCTION("""COMPUTED_VALUE"""),"")</f>
        <v/>
      </c>
      <c r="J119" s="17" t="str">
        <f ca="1">IFERROR(__xludf.DUMMYFUNCTION("""COMPUTED_VALUE"""),"")</f>
        <v/>
      </c>
      <c r="K119" s="18" t="str">
        <f ca="1">IFERROR(__xludf.DUMMYFUNCTION("""COMPUTED_VALUE"""),"")</f>
        <v/>
      </c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20"/>
      <c r="W119" s="20"/>
      <c r="X119" s="20"/>
      <c r="Y119" s="20"/>
      <c r="Z119" s="21"/>
      <c r="AA119" s="22"/>
      <c r="AB119" s="23"/>
    </row>
    <row r="120" spans="1:28" ht="13.5" customHeight="1" x14ac:dyDescent="0.35">
      <c r="A120" s="24" t="str">
        <f ca="1">IFERROR(__xludf.DUMMYFUNCTION("""COMPUTED_VALUE"""),"")</f>
        <v/>
      </c>
      <c r="B120" s="28" t="str">
        <f ca="1">IFERROR(__xludf.DUMMYFUNCTION("""COMPUTED_VALUE"""),"")</f>
        <v/>
      </c>
      <c r="C120" s="27" t="str">
        <f ca="1">IFERROR(__xludf.DUMMYFUNCTION("""COMPUTED_VALUE"""),"")</f>
        <v/>
      </c>
      <c r="D120" s="27" t="str">
        <f ca="1">IFERROR(__xludf.DUMMYFUNCTION("""COMPUTED_VALUE"""),"")</f>
        <v/>
      </c>
      <c r="E120" s="15" t="str">
        <f ca="1">IFERROR(__xludf.DUMMYFUNCTION("""COMPUTED_VALUE"""),"")</f>
        <v/>
      </c>
      <c r="F120" s="51" t="str">
        <f ca="1">IFERROR(__xludf.DUMMYFUNCTION("""COMPUTED_VALUE"""),"")</f>
        <v/>
      </c>
      <c r="G120" s="16" t="str">
        <f ca="1">IFERROR(__xludf.DUMMYFUNCTION("""COMPUTED_VALUE"""),"")</f>
        <v/>
      </c>
      <c r="H120" s="17" t="str">
        <f ca="1">IFERROR(__xludf.DUMMYFUNCTION("""COMPUTED_VALUE"""),"")</f>
        <v/>
      </c>
      <c r="I120" s="17" t="str">
        <f ca="1">IFERROR(__xludf.DUMMYFUNCTION("""COMPUTED_VALUE"""),"")</f>
        <v/>
      </c>
      <c r="J120" s="17" t="str">
        <f ca="1">IFERROR(__xludf.DUMMYFUNCTION("""COMPUTED_VALUE"""),"")</f>
        <v/>
      </c>
      <c r="K120" s="18" t="str">
        <f ca="1">IFERROR(__xludf.DUMMYFUNCTION("""COMPUTED_VALUE"""),"")</f>
        <v/>
      </c>
      <c r="L120" s="19"/>
      <c r="M120" s="19"/>
      <c r="N120" s="19"/>
      <c r="O120" s="19"/>
      <c r="P120" s="19"/>
      <c r="Q120" s="19"/>
      <c r="R120" s="19"/>
      <c r="S120" s="19"/>
      <c r="T120" s="19"/>
      <c r="U120" s="19"/>
      <c r="V120" s="20"/>
      <c r="W120" s="20"/>
      <c r="X120" s="20"/>
      <c r="Y120" s="20"/>
      <c r="Z120" s="21"/>
      <c r="AA120" s="22"/>
      <c r="AB120" s="23"/>
    </row>
    <row r="121" spans="1:28" ht="13.5" customHeight="1" x14ac:dyDescent="0.35">
      <c r="A121" s="24" t="str">
        <f ca="1">IFERROR(__xludf.DUMMYFUNCTION("""COMPUTED_VALUE"""),"")</f>
        <v/>
      </c>
      <c r="B121" s="28" t="str">
        <f ca="1">IFERROR(__xludf.DUMMYFUNCTION("""COMPUTED_VALUE"""),"")</f>
        <v/>
      </c>
      <c r="C121" s="27" t="str">
        <f ca="1">IFERROR(__xludf.DUMMYFUNCTION("""COMPUTED_VALUE"""),"")</f>
        <v/>
      </c>
      <c r="D121" s="27" t="str">
        <f ca="1">IFERROR(__xludf.DUMMYFUNCTION("""COMPUTED_VALUE"""),"")</f>
        <v/>
      </c>
      <c r="E121" s="15" t="str">
        <f ca="1">IFERROR(__xludf.DUMMYFUNCTION("""COMPUTED_VALUE"""),"")</f>
        <v/>
      </c>
      <c r="F121" s="51" t="str">
        <f ca="1">IFERROR(__xludf.DUMMYFUNCTION("""COMPUTED_VALUE"""),"")</f>
        <v/>
      </c>
      <c r="G121" s="16" t="str">
        <f ca="1">IFERROR(__xludf.DUMMYFUNCTION("""COMPUTED_VALUE"""),"")</f>
        <v/>
      </c>
      <c r="H121" s="17" t="str">
        <f ca="1">IFERROR(__xludf.DUMMYFUNCTION("""COMPUTED_VALUE"""),"")</f>
        <v/>
      </c>
      <c r="I121" s="17" t="str">
        <f ca="1">IFERROR(__xludf.DUMMYFUNCTION("""COMPUTED_VALUE"""),"")</f>
        <v/>
      </c>
      <c r="J121" s="17" t="str">
        <f ca="1">IFERROR(__xludf.DUMMYFUNCTION("""COMPUTED_VALUE"""),"")</f>
        <v/>
      </c>
      <c r="K121" s="18" t="str">
        <f ca="1">IFERROR(__xludf.DUMMYFUNCTION("""COMPUTED_VALUE"""),"")</f>
        <v/>
      </c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20"/>
      <c r="W121" s="20"/>
      <c r="X121" s="20"/>
      <c r="Y121" s="20"/>
      <c r="Z121" s="21"/>
      <c r="AA121" s="22"/>
      <c r="AB121" s="23"/>
    </row>
    <row r="122" spans="1:28" ht="13.5" customHeight="1" x14ac:dyDescent="0.35">
      <c r="A122" s="24" t="str">
        <f ca="1">IFERROR(__xludf.DUMMYFUNCTION("""COMPUTED_VALUE"""),"")</f>
        <v/>
      </c>
      <c r="B122" s="28" t="str">
        <f ca="1">IFERROR(__xludf.DUMMYFUNCTION("""COMPUTED_VALUE"""),"")</f>
        <v/>
      </c>
      <c r="C122" s="27" t="str">
        <f ca="1">IFERROR(__xludf.DUMMYFUNCTION("""COMPUTED_VALUE"""),"")</f>
        <v/>
      </c>
      <c r="D122" s="27" t="str">
        <f ca="1">IFERROR(__xludf.DUMMYFUNCTION("""COMPUTED_VALUE"""),"")</f>
        <v/>
      </c>
      <c r="E122" s="15" t="str">
        <f ca="1">IFERROR(__xludf.DUMMYFUNCTION("""COMPUTED_VALUE"""),"")</f>
        <v/>
      </c>
      <c r="F122" s="51" t="str">
        <f ca="1">IFERROR(__xludf.DUMMYFUNCTION("""COMPUTED_VALUE"""),"")</f>
        <v/>
      </c>
      <c r="G122" s="16" t="str">
        <f ca="1">IFERROR(__xludf.DUMMYFUNCTION("""COMPUTED_VALUE"""),"")</f>
        <v/>
      </c>
      <c r="H122" s="17" t="str">
        <f ca="1">IFERROR(__xludf.DUMMYFUNCTION("""COMPUTED_VALUE"""),"")</f>
        <v/>
      </c>
      <c r="I122" s="17" t="str">
        <f ca="1">IFERROR(__xludf.DUMMYFUNCTION("""COMPUTED_VALUE"""),"")</f>
        <v/>
      </c>
      <c r="J122" s="17" t="str">
        <f ca="1">IFERROR(__xludf.DUMMYFUNCTION("""COMPUTED_VALUE"""),"")</f>
        <v/>
      </c>
      <c r="K122" s="18" t="str">
        <f ca="1">IFERROR(__xludf.DUMMYFUNCTION("""COMPUTED_VALUE"""),"")</f>
        <v/>
      </c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20"/>
      <c r="W122" s="20"/>
      <c r="X122" s="20"/>
      <c r="Y122" s="20"/>
      <c r="Z122" s="21"/>
      <c r="AA122" s="22"/>
      <c r="AB122" s="23"/>
    </row>
    <row r="123" spans="1:28" ht="13.5" customHeight="1" x14ac:dyDescent="0.35">
      <c r="A123" s="24" t="str">
        <f ca="1">IFERROR(__xludf.DUMMYFUNCTION("""COMPUTED_VALUE"""),"")</f>
        <v/>
      </c>
      <c r="B123" s="28" t="str">
        <f ca="1">IFERROR(__xludf.DUMMYFUNCTION("""COMPUTED_VALUE"""),"")</f>
        <v/>
      </c>
      <c r="C123" s="27" t="str">
        <f ca="1">IFERROR(__xludf.DUMMYFUNCTION("""COMPUTED_VALUE"""),"")</f>
        <v/>
      </c>
      <c r="D123" s="27" t="str">
        <f ca="1">IFERROR(__xludf.DUMMYFUNCTION("""COMPUTED_VALUE"""),"")</f>
        <v/>
      </c>
      <c r="E123" s="15" t="str">
        <f ca="1">IFERROR(__xludf.DUMMYFUNCTION("""COMPUTED_VALUE"""),"")</f>
        <v/>
      </c>
      <c r="F123" s="51" t="str">
        <f ca="1">IFERROR(__xludf.DUMMYFUNCTION("""COMPUTED_VALUE"""),"")</f>
        <v/>
      </c>
      <c r="G123" s="16" t="str">
        <f ca="1">IFERROR(__xludf.DUMMYFUNCTION("""COMPUTED_VALUE"""),"")</f>
        <v/>
      </c>
      <c r="H123" s="17" t="str">
        <f ca="1">IFERROR(__xludf.DUMMYFUNCTION("""COMPUTED_VALUE"""),"")</f>
        <v/>
      </c>
      <c r="I123" s="17" t="str">
        <f ca="1">IFERROR(__xludf.DUMMYFUNCTION("""COMPUTED_VALUE"""),"")</f>
        <v/>
      </c>
      <c r="J123" s="17" t="str">
        <f ca="1">IFERROR(__xludf.DUMMYFUNCTION("""COMPUTED_VALUE"""),"")</f>
        <v/>
      </c>
      <c r="K123" s="18" t="str">
        <f ca="1">IFERROR(__xludf.DUMMYFUNCTION("""COMPUTED_VALUE"""),"")</f>
        <v/>
      </c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V123" s="20"/>
      <c r="W123" s="20"/>
      <c r="X123" s="20"/>
      <c r="Y123" s="20"/>
      <c r="Z123" s="21"/>
      <c r="AA123" s="22"/>
      <c r="AB123" s="23"/>
    </row>
    <row r="124" spans="1:28" ht="13.5" customHeight="1" x14ac:dyDescent="0.35">
      <c r="A124" s="24" t="str">
        <f ca="1">IFERROR(__xludf.DUMMYFUNCTION("""COMPUTED_VALUE"""),"")</f>
        <v/>
      </c>
      <c r="B124" s="28" t="str">
        <f ca="1">IFERROR(__xludf.DUMMYFUNCTION("""COMPUTED_VALUE"""),"")</f>
        <v/>
      </c>
      <c r="C124" s="27" t="str">
        <f ca="1">IFERROR(__xludf.DUMMYFUNCTION("""COMPUTED_VALUE"""),"")</f>
        <v/>
      </c>
      <c r="D124" s="27" t="str">
        <f ca="1">IFERROR(__xludf.DUMMYFUNCTION("""COMPUTED_VALUE"""),"")</f>
        <v/>
      </c>
      <c r="E124" s="15" t="str">
        <f ca="1">IFERROR(__xludf.DUMMYFUNCTION("""COMPUTED_VALUE"""),"")</f>
        <v/>
      </c>
      <c r="F124" s="51" t="str">
        <f ca="1">IFERROR(__xludf.DUMMYFUNCTION("""COMPUTED_VALUE"""),"")</f>
        <v/>
      </c>
      <c r="G124" s="16" t="str">
        <f ca="1">IFERROR(__xludf.DUMMYFUNCTION("""COMPUTED_VALUE"""),"")</f>
        <v/>
      </c>
      <c r="H124" s="17" t="str">
        <f ca="1">IFERROR(__xludf.DUMMYFUNCTION("""COMPUTED_VALUE"""),"")</f>
        <v/>
      </c>
      <c r="I124" s="17" t="str">
        <f ca="1">IFERROR(__xludf.DUMMYFUNCTION("""COMPUTED_VALUE"""),"")</f>
        <v/>
      </c>
      <c r="J124" s="17" t="str">
        <f ca="1">IFERROR(__xludf.DUMMYFUNCTION("""COMPUTED_VALUE"""),"")</f>
        <v/>
      </c>
      <c r="K124" s="18" t="str">
        <f ca="1">IFERROR(__xludf.DUMMYFUNCTION("""COMPUTED_VALUE"""),"")</f>
        <v/>
      </c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20"/>
      <c r="W124" s="20"/>
      <c r="X124" s="20"/>
      <c r="Y124" s="20"/>
      <c r="Z124" s="21"/>
      <c r="AA124" s="22"/>
      <c r="AB124" s="23"/>
    </row>
    <row r="125" spans="1:28" ht="13.5" customHeight="1" x14ac:dyDescent="0.35">
      <c r="A125" s="24" t="str">
        <f ca="1">IFERROR(__xludf.DUMMYFUNCTION("""COMPUTED_VALUE"""),"")</f>
        <v/>
      </c>
      <c r="B125" s="28" t="str">
        <f ca="1">IFERROR(__xludf.DUMMYFUNCTION("""COMPUTED_VALUE"""),"")</f>
        <v/>
      </c>
      <c r="C125" s="27" t="str">
        <f ca="1">IFERROR(__xludf.DUMMYFUNCTION("""COMPUTED_VALUE"""),"")</f>
        <v/>
      </c>
      <c r="D125" s="27" t="str">
        <f ca="1">IFERROR(__xludf.DUMMYFUNCTION("""COMPUTED_VALUE"""),"")</f>
        <v/>
      </c>
      <c r="E125" s="15" t="str">
        <f ca="1">IFERROR(__xludf.DUMMYFUNCTION("""COMPUTED_VALUE"""),"")</f>
        <v/>
      </c>
      <c r="F125" s="51" t="str">
        <f ca="1">IFERROR(__xludf.DUMMYFUNCTION("""COMPUTED_VALUE"""),"")</f>
        <v/>
      </c>
      <c r="G125" s="16" t="str">
        <f ca="1">IFERROR(__xludf.DUMMYFUNCTION("""COMPUTED_VALUE"""),"")</f>
        <v/>
      </c>
      <c r="H125" s="17" t="str">
        <f ca="1">IFERROR(__xludf.DUMMYFUNCTION("""COMPUTED_VALUE"""),"")</f>
        <v/>
      </c>
      <c r="I125" s="17" t="str">
        <f ca="1">IFERROR(__xludf.DUMMYFUNCTION("""COMPUTED_VALUE"""),"")</f>
        <v/>
      </c>
      <c r="J125" s="17" t="str">
        <f ca="1">IFERROR(__xludf.DUMMYFUNCTION("""COMPUTED_VALUE"""),"")</f>
        <v/>
      </c>
      <c r="K125" s="18" t="str">
        <f ca="1">IFERROR(__xludf.DUMMYFUNCTION("""COMPUTED_VALUE"""),"")</f>
        <v/>
      </c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20"/>
      <c r="W125" s="20"/>
      <c r="X125" s="20"/>
      <c r="Y125" s="20"/>
      <c r="Z125" s="21"/>
      <c r="AA125" s="22"/>
      <c r="AB125" s="23"/>
    </row>
    <row r="126" spans="1:28" ht="13.5" customHeight="1" x14ac:dyDescent="0.35">
      <c r="A126" s="24" t="str">
        <f ca="1">IFERROR(__xludf.DUMMYFUNCTION("""COMPUTED_VALUE"""),"")</f>
        <v/>
      </c>
      <c r="B126" s="28" t="str">
        <f ca="1">IFERROR(__xludf.DUMMYFUNCTION("""COMPUTED_VALUE"""),"")</f>
        <v/>
      </c>
      <c r="C126" s="27" t="str">
        <f ca="1">IFERROR(__xludf.DUMMYFUNCTION("""COMPUTED_VALUE"""),"")</f>
        <v/>
      </c>
      <c r="D126" s="27" t="str">
        <f ca="1">IFERROR(__xludf.DUMMYFUNCTION("""COMPUTED_VALUE"""),"")</f>
        <v/>
      </c>
      <c r="E126" s="15" t="str">
        <f ca="1">IFERROR(__xludf.DUMMYFUNCTION("""COMPUTED_VALUE"""),"")</f>
        <v/>
      </c>
      <c r="F126" s="51" t="str">
        <f ca="1">IFERROR(__xludf.DUMMYFUNCTION("""COMPUTED_VALUE"""),"")</f>
        <v/>
      </c>
      <c r="G126" s="16" t="str">
        <f ca="1">IFERROR(__xludf.DUMMYFUNCTION("""COMPUTED_VALUE"""),"")</f>
        <v/>
      </c>
      <c r="H126" s="17" t="str">
        <f ca="1">IFERROR(__xludf.DUMMYFUNCTION("""COMPUTED_VALUE"""),"")</f>
        <v/>
      </c>
      <c r="I126" s="17" t="str">
        <f ca="1">IFERROR(__xludf.DUMMYFUNCTION("""COMPUTED_VALUE"""),"")</f>
        <v/>
      </c>
      <c r="J126" s="17" t="str">
        <f ca="1">IFERROR(__xludf.DUMMYFUNCTION("""COMPUTED_VALUE"""),"")</f>
        <v/>
      </c>
      <c r="K126" s="18" t="str">
        <f ca="1">IFERROR(__xludf.DUMMYFUNCTION("""COMPUTED_VALUE"""),"")</f>
        <v/>
      </c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20"/>
      <c r="W126" s="20"/>
      <c r="X126" s="20"/>
      <c r="Y126" s="20"/>
      <c r="Z126" s="21"/>
      <c r="AA126" s="22"/>
      <c r="AB126" s="23"/>
    </row>
    <row r="127" spans="1:28" ht="13.5" customHeight="1" x14ac:dyDescent="0.35">
      <c r="A127" s="24" t="str">
        <f ca="1">IFERROR(__xludf.DUMMYFUNCTION("""COMPUTED_VALUE"""),"")</f>
        <v/>
      </c>
      <c r="B127" s="28" t="str">
        <f ca="1">IFERROR(__xludf.DUMMYFUNCTION("""COMPUTED_VALUE"""),"")</f>
        <v/>
      </c>
      <c r="C127" s="27" t="str">
        <f ca="1">IFERROR(__xludf.DUMMYFUNCTION("""COMPUTED_VALUE"""),"")</f>
        <v/>
      </c>
      <c r="D127" s="27" t="str">
        <f ca="1">IFERROR(__xludf.DUMMYFUNCTION("""COMPUTED_VALUE"""),"")</f>
        <v/>
      </c>
      <c r="E127" s="15" t="str">
        <f ca="1">IFERROR(__xludf.DUMMYFUNCTION("""COMPUTED_VALUE"""),"")</f>
        <v/>
      </c>
      <c r="F127" s="51" t="str">
        <f ca="1">IFERROR(__xludf.DUMMYFUNCTION("""COMPUTED_VALUE"""),"")</f>
        <v/>
      </c>
      <c r="G127" s="16" t="str">
        <f ca="1">IFERROR(__xludf.DUMMYFUNCTION("""COMPUTED_VALUE"""),"")</f>
        <v/>
      </c>
      <c r="H127" s="17" t="str">
        <f ca="1">IFERROR(__xludf.DUMMYFUNCTION("""COMPUTED_VALUE"""),"")</f>
        <v/>
      </c>
      <c r="I127" s="17" t="str">
        <f ca="1">IFERROR(__xludf.DUMMYFUNCTION("""COMPUTED_VALUE"""),"")</f>
        <v/>
      </c>
      <c r="J127" s="17" t="str">
        <f ca="1">IFERROR(__xludf.DUMMYFUNCTION("""COMPUTED_VALUE"""),"")</f>
        <v/>
      </c>
      <c r="K127" s="18" t="str">
        <f ca="1">IFERROR(__xludf.DUMMYFUNCTION("""COMPUTED_VALUE"""),"")</f>
        <v/>
      </c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20"/>
      <c r="W127" s="20"/>
      <c r="X127" s="20"/>
      <c r="Y127" s="20"/>
      <c r="Z127" s="21"/>
      <c r="AA127" s="22"/>
      <c r="AB127" s="23"/>
    </row>
    <row r="128" spans="1:28" ht="13.5" customHeight="1" x14ac:dyDescent="0.35">
      <c r="A128" s="24" t="str">
        <f ca="1">IFERROR(__xludf.DUMMYFUNCTION("""COMPUTED_VALUE"""),"")</f>
        <v/>
      </c>
      <c r="B128" s="28" t="str">
        <f ca="1">IFERROR(__xludf.DUMMYFUNCTION("""COMPUTED_VALUE"""),"")</f>
        <v/>
      </c>
      <c r="C128" s="27" t="str">
        <f ca="1">IFERROR(__xludf.DUMMYFUNCTION("""COMPUTED_VALUE"""),"")</f>
        <v/>
      </c>
      <c r="D128" s="27" t="str">
        <f ca="1">IFERROR(__xludf.DUMMYFUNCTION("""COMPUTED_VALUE"""),"")</f>
        <v/>
      </c>
      <c r="E128" s="15" t="str">
        <f ca="1">IFERROR(__xludf.DUMMYFUNCTION("""COMPUTED_VALUE"""),"")</f>
        <v/>
      </c>
      <c r="F128" s="51" t="str">
        <f ca="1">IFERROR(__xludf.DUMMYFUNCTION("""COMPUTED_VALUE"""),"")</f>
        <v/>
      </c>
      <c r="G128" s="16" t="str">
        <f ca="1">IFERROR(__xludf.DUMMYFUNCTION("""COMPUTED_VALUE"""),"")</f>
        <v/>
      </c>
      <c r="H128" s="17" t="str">
        <f ca="1">IFERROR(__xludf.DUMMYFUNCTION("""COMPUTED_VALUE"""),"")</f>
        <v/>
      </c>
      <c r="I128" s="17" t="str">
        <f ca="1">IFERROR(__xludf.DUMMYFUNCTION("""COMPUTED_VALUE"""),"")</f>
        <v/>
      </c>
      <c r="J128" s="17" t="str">
        <f ca="1">IFERROR(__xludf.DUMMYFUNCTION("""COMPUTED_VALUE"""),"")</f>
        <v/>
      </c>
      <c r="K128" s="18" t="str">
        <f ca="1">IFERROR(__xludf.DUMMYFUNCTION("""COMPUTED_VALUE"""),"")</f>
        <v/>
      </c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20"/>
      <c r="W128" s="20"/>
      <c r="X128" s="20"/>
      <c r="Y128" s="20"/>
      <c r="Z128" s="21"/>
      <c r="AA128" s="22"/>
      <c r="AB128" s="23"/>
    </row>
    <row r="129" spans="1:28" ht="13.5" customHeight="1" x14ac:dyDescent="0.35">
      <c r="A129" s="24" t="str">
        <f ca="1">IFERROR(__xludf.DUMMYFUNCTION("""COMPUTED_VALUE"""),"")</f>
        <v/>
      </c>
      <c r="B129" s="28" t="str">
        <f ca="1">IFERROR(__xludf.DUMMYFUNCTION("""COMPUTED_VALUE"""),"")</f>
        <v/>
      </c>
      <c r="C129" s="27" t="str">
        <f ca="1">IFERROR(__xludf.DUMMYFUNCTION("""COMPUTED_VALUE"""),"")</f>
        <v/>
      </c>
      <c r="D129" s="27" t="str">
        <f ca="1">IFERROR(__xludf.DUMMYFUNCTION("""COMPUTED_VALUE"""),"")</f>
        <v/>
      </c>
      <c r="E129" s="15" t="str">
        <f ca="1">IFERROR(__xludf.DUMMYFUNCTION("""COMPUTED_VALUE"""),"")</f>
        <v/>
      </c>
      <c r="F129" s="51" t="str">
        <f ca="1">IFERROR(__xludf.DUMMYFUNCTION("""COMPUTED_VALUE"""),"")</f>
        <v/>
      </c>
      <c r="G129" s="16" t="str">
        <f ca="1">IFERROR(__xludf.DUMMYFUNCTION("""COMPUTED_VALUE"""),"")</f>
        <v/>
      </c>
      <c r="H129" s="17" t="str">
        <f ca="1">IFERROR(__xludf.DUMMYFUNCTION("""COMPUTED_VALUE"""),"")</f>
        <v/>
      </c>
      <c r="I129" s="17" t="str">
        <f ca="1">IFERROR(__xludf.DUMMYFUNCTION("""COMPUTED_VALUE"""),"")</f>
        <v/>
      </c>
      <c r="J129" s="17" t="str">
        <f ca="1">IFERROR(__xludf.DUMMYFUNCTION("""COMPUTED_VALUE"""),"")</f>
        <v/>
      </c>
      <c r="K129" s="18" t="str">
        <f ca="1">IFERROR(__xludf.DUMMYFUNCTION("""COMPUTED_VALUE"""),"")</f>
        <v/>
      </c>
      <c r="L129" s="19"/>
      <c r="M129" s="19"/>
      <c r="N129" s="19"/>
      <c r="O129" s="19"/>
      <c r="P129" s="19"/>
      <c r="Q129" s="19"/>
      <c r="R129" s="19"/>
      <c r="S129" s="19"/>
      <c r="T129" s="19"/>
      <c r="U129" s="19"/>
      <c r="V129" s="20"/>
      <c r="W129" s="20"/>
      <c r="X129" s="20"/>
      <c r="Y129" s="20"/>
      <c r="Z129" s="21"/>
      <c r="AA129" s="22"/>
      <c r="AB129" s="23"/>
    </row>
    <row r="130" spans="1:28" ht="13.5" customHeight="1" x14ac:dyDescent="0.35">
      <c r="A130" s="24" t="str">
        <f ca="1">IFERROR(__xludf.DUMMYFUNCTION("""COMPUTED_VALUE"""),"")</f>
        <v/>
      </c>
      <c r="B130" s="28" t="str">
        <f ca="1">IFERROR(__xludf.DUMMYFUNCTION("""COMPUTED_VALUE"""),"")</f>
        <v/>
      </c>
      <c r="C130" s="27" t="str">
        <f ca="1">IFERROR(__xludf.DUMMYFUNCTION("""COMPUTED_VALUE"""),"")</f>
        <v/>
      </c>
      <c r="D130" s="27" t="str">
        <f ca="1">IFERROR(__xludf.DUMMYFUNCTION("""COMPUTED_VALUE"""),"")</f>
        <v/>
      </c>
      <c r="E130" s="15" t="str">
        <f ca="1">IFERROR(__xludf.DUMMYFUNCTION("""COMPUTED_VALUE"""),"")</f>
        <v/>
      </c>
      <c r="F130" s="51" t="str">
        <f ca="1">IFERROR(__xludf.DUMMYFUNCTION("""COMPUTED_VALUE"""),"")</f>
        <v/>
      </c>
      <c r="G130" s="16" t="str">
        <f ca="1">IFERROR(__xludf.DUMMYFUNCTION("""COMPUTED_VALUE"""),"")</f>
        <v/>
      </c>
      <c r="H130" s="17" t="str">
        <f ca="1">IFERROR(__xludf.DUMMYFUNCTION("""COMPUTED_VALUE"""),"")</f>
        <v/>
      </c>
      <c r="I130" s="17" t="str">
        <f ca="1">IFERROR(__xludf.DUMMYFUNCTION("""COMPUTED_VALUE"""),"")</f>
        <v/>
      </c>
      <c r="J130" s="17" t="str">
        <f ca="1">IFERROR(__xludf.DUMMYFUNCTION("""COMPUTED_VALUE"""),"")</f>
        <v/>
      </c>
      <c r="K130" s="18" t="str">
        <f ca="1">IFERROR(__xludf.DUMMYFUNCTION("""COMPUTED_VALUE"""),"")</f>
        <v/>
      </c>
      <c r="L130" s="19"/>
      <c r="M130" s="19"/>
      <c r="N130" s="19"/>
      <c r="O130" s="19"/>
      <c r="P130" s="19"/>
      <c r="Q130" s="19"/>
      <c r="R130" s="19"/>
      <c r="S130" s="19"/>
      <c r="T130" s="19"/>
      <c r="U130" s="19"/>
      <c r="V130" s="20"/>
      <c r="W130" s="20"/>
      <c r="X130" s="20"/>
      <c r="Y130" s="20"/>
      <c r="Z130" s="21"/>
      <c r="AA130" s="22"/>
      <c r="AB130" s="23"/>
    </row>
    <row r="131" spans="1:28" ht="13.5" customHeight="1" x14ac:dyDescent="0.35">
      <c r="A131" s="24" t="str">
        <f ca="1">IFERROR(__xludf.DUMMYFUNCTION("""COMPUTED_VALUE"""),"")</f>
        <v/>
      </c>
      <c r="B131" s="28" t="str">
        <f ca="1">IFERROR(__xludf.DUMMYFUNCTION("""COMPUTED_VALUE"""),"")</f>
        <v/>
      </c>
      <c r="C131" s="27" t="str">
        <f ca="1">IFERROR(__xludf.DUMMYFUNCTION("""COMPUTED_VALUE"""),"")</f>
        <v/>
      </c>
      <c r="D131" s="27" t="str">
        <f ca="1">IFERROR(__xludf.DUMMYFUNCTION("""COMPUTED_VALUE"""),"")</f>
        <v/>
      </c>
      <c r="E131" s="15" t="str">
        <f ca="1">IFERROR(__xludf.DUMMYFUNCTION("""COMPUTED_VALUE"""),"")</f>
        <v/>
      </c>
      <c r="F131" s="51" t="str">
        <f ca="1">IFERROR(__xludf.DUMMYFUNCTION("""COMPUTED_VALUE"""),"")</f>
        <v/>
      </c>
      <c r="G131" s="16" t="str">
        <f ca="1">IFERROR(__xludf.DUMMYFUNCTION("""COMPUTED_VALUE"""),"")</f>
        <v/>
      </c>
      <c r="H131" s="17" t="str">
        <f ca="1">IFERROR(__xludf.DUMMYFUNCTION("""COMPUTED_VALUE"""),"")</f>
        <v/>
      </c>
      <c r="I131" s="17" t="str">
        <f ca="1">IFERROR(__xludf.DUMMYFUNCTION("""COMPUTED_VALUE"""),"")</f>
        <v/>
      </c>
      <c r="J131" s="17" t="str">
        <f ca="1">IFERROR(__xludf.DUMMYFUNCTION("""COMPUTED_VALUE"""),"")</f>
        <v/>
      </c>
      <c r="K131" s="18" t="str">
        <f ca="1">IFERROR(__xludf.DUMMYFUNCTION("""COMPUTED_VALUE"""),"")</f>
        <v/>
      </c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20"/>
      <c r="W131" s="20"/>
      <c r="X131" s="20"/>
      <c r="Y131" s="20"/>
      <c r="Z131" s="21"/>
      <c r="AA131" s="22"/>
      <c r="AB131" s="23"/>
    </row>
    <row r="132" spans="1:28" ht="13.5" customHeight="1" x14ac:dyDescent="0.35">
      <c r="A132" s="24" t="str">
        <f ca="1">IFERROR(__xludf.DUMMYFUNCTION("""COMPUTED_VALUE"""),"")</f>
        <v/>
      </c>
      <c r="B132" s="28" t="str">
        <f ca="1">IFERROR(__xludf.DUMMYFUNCTION("""COMPUTED_VALUE"""),"")</f>
        <v/>
      </c>
      <c r="C132" s="27" t="str">
        <f ca="1">IFERROR(__xludf.DUMMYFUNCTION("""COMPUTED_VALUE"""),"")</f>
        <v/>
      </c>
      <c r="D132" s="27" t="str">
        <f ca="1">IFERROR(__xludf.DUMMYFUNCTION("""COMPUTED_VALUE"""),"")</f>
        <v/>
      </c>
      <c r="E132" s="15" t="str">
        <f ca="1">IFERROR(__xludf.DUMMYFUNCTION("""COMPUTED_VALUE"""),"")</f>
        <v/>
      </c>
      <c r="F132" s="51" t="str">
        <f ca="1">IFERROR(__xludf.DUMMYFUNCTION("""COMPUTED_VALUE"""),"")</f>
        <v/>
      </c>
      <c r="G132" s="16" t="str">
        <f ca="1">IFERROR(__xludf.DUMMYFUNCTION("""COMPUTED_VALUE"""),"")</f>
        <v/>
      </c>
      <c r="H132" s="17" t="str">
        <f ca="1">IFERROR(__xludf.DUMMYFUNCTION("""COMPUTED_VALUE"""),"")</f>
        <v/>
      </c>
      <c r="I132" s="17" t="str">
        <f ca="1">IFERROR(__xludf.DUMMYFUNCTION("""COMPUTED_VALUE"""),"")</f>
        <v/>
      </c>
      <c r="J132" s="17" t="str">
        <f ca="1">IFERROR(__xludf.DUMMYFUNCTION("""COMPUTED_VALUE"""),"")</f>
        <v/>
      </c>
      <c r="K132" s="18" t="str">
        <f ca="1">IFERROR(__xludf.DUMMYFUNCTION("""COMPUTED_VALUE"""),"")</f>
        <v/>
      </c>
      <c r="L132" s="19"/>
      <c r="M132" s="19"/>
      <c r="N132" s="19"/>
      <c r="O132" s="19"/>
      <c r="P132" s="19"/>
      <c r="Q132" s="19"/>
      <c r="R132" s="19"/>
      <c r="S132" s="19"/>
      <c r="T132" s="19"/>
      <c r="U132" s="19"/>
      <c r="V132" s="20"/>
      <c r="W132" s="20"/>
      <c r="X132" s="20"/>
      <c r="Y132" s="20"/>
      <c r="Z132" s="21"/>
      <c r="AA132" s="22"/>
      <c r="AB132" s="23"/>
    </row>
    <row r="133" spans="1:28" ht="13.5" customHeight="1" x14ac:dyDescent="0.35">
      <c r="A133" s="24" t="str">
        <f ca="1">IFERROR(__xludf.DUMMYFUNCTION("""COMPUTED_VALUE"""),"")</f>
        <v/>
      </c>
      <c r="B133" s="28" t="str">
        <f ca="1">IFERROR(__xludf.DUMMYFUNCTION("""COMPUTED_VALUE"""),"")</f>
        <v/>
      </c>
      <c r="C133" s="27" t="str">
        <f ca="1">IFERROR(__xludf.DUMMYFUNCTION("""COMPUTED_VALUE"""),"")</f>
        <v/>
      </c>
      <c r="D133" s="27" t="str">
        <f ca="1">IFERROR(__xludf.DUMMYFUNCTION("""COMPUTED_VALUE"""),"")</f>
        <v/>
      </c>
      <c r="E133" s="15" t="str">
        <f ca="1">IFERROR(__xludf.DUMMYFUNCTION("""COMPUTED_VALUE"""),"")</f>
        <v/>
      </c>
      <c r="F133" s="51" t="str">
        <f ca="1">IFERROR(__xludf.DUMMYFUNCTION("""COMPUTED_VALUE"""),"")</f>
        <v/>
      </c>
      <c r="G133" s="16" t="str">
        <f ca="1">IFERROR(__xludf.DUMMYFUNCTION("""COMPUTED_VALUE"""),"")</f>
        <v/>
      </c>
      <c r="H133" s="17" t="str">
        <f ca="1">IFERROR(__xludf.DUMMYFUNCTION("""COMPUTED_VALUE"""),"")</f>
        <v/>
      </c>
      <c r="I133" s="17" t="str">
        <f ca="1">IFERROR(__xludf.DUMMYFUNCTION("""COMPUTED_VALUE"""),"")</f>
        <v/>
      </c>
      <c r="J133" s="17" t="str">
        <f ca="1">IFERROR(__xludf.DUMMYFUNCTION("""COMPUTED_VALUE"""),"")</f>
        <v/>
      </c>
      <c r="K133" s="18" t="str">
        <f ca="1">IFERROR(__xludf.DUMMYFUNCTION("""COMPUTED_VALUE"""),"")</f>
        <v/>
      </c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20"/>
      <c r="W133" s="20"/>
      <c r="X133" s="20"/>
      <c r="Y133" s="20"/>
      <c r="Z133" s="21"/>
      <c r="AA133" s="22"/>
      <c r="AB133" s="23"/>
    </row>
    <row r="134" spans="1:28" ht="13.5" customHeight="1" x14ac:dyDescent="0.35">
      <c r="A134" s="24" t="str">
        <f ca="1">IFERROR(__xludf.DUMMYFUNCTION("""COMPUTED_VALUE"""),"")</f>
        <v/>
      </c>
      <c r="B134" s="28" t="str">
        <f ca="1">IFERROR(__xludf.DUMMYFUNCTION("""COMPUTED_VALUE"""),"")</f>
        <v/>
      </c>
      <c r="C134" s="27" t="str">
        <f ca="1">IFERROR(__xludf.DUMMYFUNCTION("""COMPUTED_VALUE"""),"")</f>
        <v/>
      </c>
      <c r="D134" s="27" t="str">
        <f ca="1">IFERROR(__xludf.DUMMYFUNCTION("""COMPUTED_VALUE"""),"")</f>
        <v/>
      </c>
      <c r="E134" s="15" t="str">
        <f ca="1">IFERROR(__xludf.DUMMYFUNCTION("""COMPUTED_VALUE"""),"")</f>
        <v/>
      </c>
      <c r="F134" s="51" t="str">
        <f ca="1">IFERROR(__xludf.DUMMYFUNCTION("""COMPUTED_VALUE"""),"")</f>
        <v/>
      </c>
      <c r="G134" s="16" t="str">
        <f ca="1">IFERROR(__xludf.DUMMYFUNCTION("""COMPUTED_VALUE"""),"")</f>
        <v/>
      </c>
      <c r="H134" s="17" t="str">
        <f ca="1">IFERROR(__xludf.DUMMYFUNCTION("""COMPUTED_VALUE"""),"")</f>
        <v/>
      </c>
      <c r="I134" s="17" t="str">
        <f ca="1">IFERROR(__xludf.DUMMYFUNCTION("""COMPUTED_VALUE"""),"")</f>
        <v/>
      </c>
      <c r="J134" s="17" t="str">
        <f ca="1">IFERROR(__xludf.DUMMYFUNCTION("""COMPUTED_VALUE"""),"")</f>
        <v/>
      </c>
      <c r="K134" s="18" t="str">
        <f ca="1">IFERROR(__xludf.DUMMYFUNCTION("""COMPUTED_VALUE"""),"")</f>
        <v/>
      </c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20"/>
      <c r="W134" s="20"/>
      <c r="X134" s="20"/>
      <c r="Y134" s="20"/>
      <c r="Z134" s="21"/>
      <c r="AA134" s="22"/>
      <c r="AB134" s="23"/>
    </row>
    <row r="135" spans="1:28" ht="13.5" customHeight="1" x14ac:dyDescent="0.35">
      <c r="A135" s="24" t="str">
        <f ca="1">IFERROR(__xludf.DUMMYFUNCTION("""COMPUTED_VALUE"""),"")</f>
        <v/>
      </c>
      <c r="B135" s="28" t="str">
        <f ca="1">IFERROR(__xludf.DUMMYFUNCTION("""COMPUTED_VALUE"""),"")</f>
        <v/>
      </c>
      <c r="C135" s="27" t="str">
        <f ca="1">IFERROR(__xludf.DUMMYFUNCTION("""COMPUTED_VALUE"""),"")</f>
        <v/>
      </c>
      <c r="D135" s="27" t="str">
        <f ca="1">IFERROR(__xludf.DUMMYFUNCTION("""COMPUTED_VALUE"""),"")</f>
        <v/>
      </c>
      <c r="E135" s="15" t="str">
        <f ca="1">IFERROR(__xludf.DUMMYFUNCTION("""COMPUTED_VALUE"""),"")</f>
        <v/>
      </c>
      <c r="F135" s="51" t="str">
        <f ca="1">IFERROR(__xludf.DUMMYFUNCTION("""COMPUTED_VALUE"""),"")</f>
        <v/>
      </c>
      <c r="G135" s="16" t="str">
        <f ca="1">IFERROR(__xludf.DUMMYFUNCTION("""COMPUTED_VALUE"""),"")</f>
        <v/>
      </c>
      <c r="H135" s="17" t="str">
        <f ca="1">IFERROR(__xludf.DUMMYFUNCTION("""COMPUTED_VALUE"""),"")</f>
        <v/>
      </c>
      <c r="I135" s="17" t="str">
        <f ca="1">IFERROR(__xludf.DUMMYFUNCTION("""COMPUTED_VALUE"""),"")</f>
        <v/>
      </c>
      <c r="J135" s="17" t="str">
        <f ca="1">IFERROR(__xludf.DUMMYFUNCTION("""COMPUTED_VALUE"""),"")</f>
        <v/>
      </c>
      <c r="K135" s="18" t="str">
        <f ca="1">IFERROR(__xludf.DUMMYFUNCTION("""COMPUTED_VALUE"""),"")</f>
        <v/>
      </c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20"/>
      <c r="W135" s="20"/>
      <c r="X135" s="20"/>
      <c r="Y135" s="20"/>
      <c r="Z135" s="21"/>
      <c r="AA135" s="22"/>
      <c r="AB135" s="23"/>
    </row>
    <row r="136" spans="1:28" ht="13.5" customHeight="1" x14ac:dyDescent="0.35">
      <c r="A136" s="24" t="str">
        <f ca="1">IFERROR(__xludf.DUMMYFUNCTION("""COMPUTED_VALUE"""),"")</f>
        <v/>
      </c>
      <c r="B136" s="28" t="str">
        <f ca="1">IFERROR(__xludf.DUMMYFUNCTION("""COMPUTED_VALUE"""),"")</f>
        <v/>
      </c>
      <c r="C136" s="27" t="str">
        <f ca="1">IFERROR(__xludf.DUMMYFUNCTION("""COMPUTED_VALUE"""),"")</f>
        <v/>
      </c>
      <c r="D136" s="27" t="str">
        <f ca="1">IFERROR(__xludf.DUMMYFUNCTION("""COMPUTED_VALUE"""),"")</f>
        <v/>
      </c>
      <c r="E136" s="15" t="str">
        <f ca="1">IFERROR(__xludf.DUMMYFUNCTION("""COMPUTED_VALUE"""),"")</f>
        <v/>
      </c>
      <c r="F136" s="51" t="str">
        <f ca="1">IFERROR(__xludf.DUMMYFUNCTION("""COMPUTED_VALUE"""),"")</f>
        <v/>
      </c>
      <c r="G136" s="16" t="str">
        <f ca="1">IFERROR(__xludf.DUMMYFUNCTION("""COMPUTED_VALUE"""),"")</f>
        <v/>
      </c>
      <c r="H136" s="17" t="str">
        <f ca="1">IFERROR(__xludf.DUMMYFUNCTION("""COMPUTED_VALUE"""),"")</f>
        <v/>
      </c>
      <c r="I136" s="17" t="str">
        <f ca="1">IFERROR(__xludf.DUMMYFUNCTION("""COMPUTED_VALUE"""),"")</f>
        <v/>
      </c>
      <c r="J136" s="17" t="str">
        <f ca="1">IFERROR(__xludf.DUMMYFUNCTION("""COMPUTED_VALUE"""),"")</f>
        <v/>
      </c>
      <c r="K136" s="18" t="str">
        <f ca="1">IFERROR(__xludf.DUMMYFUNCTION("""COMPUTED_VALUE"""),"")</f>
        <v/>
      </c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20"/>
      <c r="W136" s="20"/>
      <c r="X136" s="20"/>
      <c r="Y136" s="20"/>
      <c r="Z136" s="21"/>
      <c r="AA136" s="22"/>
      <c r="AB136" s="23"/>
    </row>
    <row r="137" spans="1:28" ht="13.5" customHeight="1" x14ac:dyDescent="0.35">
      <c r="A137" s="24" t="str">
        <f ca="1">IFERROR(__xludf.DUMMYFUNCTION("""COMPUTED_VALUE"""),"")</f>
        <v/>
      </c>
      <c r="B137" s="28" t="str">
        <f ca="1">IFERROR(__xludf.DUMMYFUNCTION("""COMPUTED_VALUE"""),"")</f>
        <v/>
      </c>
      <c r="C137" s="27" t="str">
        <f ca="1">IFERROR(__xludf.DUMMYFUNCTION("""COMPUTED_VALUE"""),"")</f>
        <v/>
      </c>
      <c r="D137" s="27" t="str">
        <f ca="1">IFERROR(__xludf.DUMMYFUNCTION("""COMPUTED_VALUE"""),"")</f>
        <v/>
      </c>
      <c r="E137" s="15" t="str">
        <f ca="1">IFERROR(__xludf.DUMMYFUNCTION("""COMPUTED_VALUE"""),"")</f>
        <v/>
      </c>
      <c r="F137" s="51" t="str">
        <f ca="1">IFERROR(__xludf.DUMMYFUNCTION("""COMPUTED_VALUE"""),"")</f>
        <v/>
      </c>
      <c r="G137" s="16" t="str">
        <f ca="1">IFERROR(__xludf.DUMMYFUNCTION("""COMPUTED_VALUE"""),"")</f>
        <v/>
      </c>
      <c r="H137" s="17" t="str">
        <f ca="1">IFERROR(__xludf.DUMMYFUNCTION("""COMPUTED_VALUE"""),"")</f>
        <v/>
      </c>
      <c r="I137" s="17" t="str">
        <f ca="1">IFERROR(__xludf.DUMMYFUNCTION("""COMPUTED_VALUE"""),"")</f>
        <v/>
      </c>
      <c r="J137" s="17" t="str">
        <f ca="1">IFERROR(__xludf.DUMMYFUNCTION("""COMPUTED_VALUE"""),"")</f>
        <v/>
      </c>
      <c r="K137" s="18" t="str">
        <f ca="1">IFERROR(__xludf.DUMMYFUNCTION("""COMPUTED_VALUE"""),"")</f>
        <v/>
      </c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20"/>
      <c r="W137" s="20"/>
      <c r="X137" s="20"/>
      <c r="Y137" s="20"/>
      <c r="Z137" s="21"/>
      <c r="AA137" s="22"/>
      <c r="AB137" s="23"/>
    </row>
    <row r="138" spans="1:28" ht="13.5" customHeight="1" x14ac:dyDescent="0.35">
      <c r="A138" s="24" t="str">
        <f ca="1">IFERROR(__xludf.DUMMYFUNCTION("""COMPUTED_VALUE"""),"")</f>
        <v/>
      </c>
      <c r="B138" s="28" t="str">
        <f ca="1">IFERROR(__xludf.DUMMYFUNCTION("""COMPUTED_VALUE"""),"")</f>
        <v/>
      </c>
      <c r="C138" s="27" t="str">
        <f ca="1">IFERROR(__xludf.DUMMYFUNCTION("""COMPUTED_VALUE"""),"")</f>
        <v/>
      </c>
      <c r="D138" s="27" t="str">
        <f ca="1">IFERROR(__xludf.DUMMYFUNCTION("""COMPUTED_VALUE"""),"")</f>
        <v/>
      </c>
      <c r="E138" s="15" t="str">
        <f ca="1">IFERROR(__xludf.DUMMYFUNCTION("""COMPUTED_VALUE"""),"")</f>
        <v/>
      </c>
      <c r="F138" s="51" t="str">
        <f ca="1">IFERROR(__xludf.DUMMYFUNCTION("""COMPUTED_VALUE"""),"")</f>
        <v/>
      </c>
      <c r="G138" s="16" t="str">
        <f ca="1">IFERROR(__xludf.DUMMYFUNCTION("""COMPUTED_VALUE"""),"")</f>
        <v/>
      </c>
      <c r="H138" s="17" t="str">
        <f ca="1">IFERROR(__xludf.DUMMYFUNCTION("""COMPUTED_VALUE"""),"")</f>
        <v/>
      </c>
      <c r="I138" s="17" t="str">
        <f ca="1">IFERROR(__xludf.DUMMYFUNCTION("""COMPUTED_VALUE"""),"")</f>
        <v/>
      </c>
      <c r="J138" s="17" t="str">
        <f ca="1">IFERROR(__xludf.DUMMYFUNCTION("""COMPUTED_VALUE"""),"")</f>
        <v/>
      </c>
      <c r="K138" s="18" t="str">
        <f ca="1">IFERROR(__xludf.DUMMYFUNCTION("""COMPUTED_VALUE"""),"")</f>
        <v/>
      </c>
      <c r="L138" s="19"/>
      <c r="M138" s="19"/>
      <c r="N138" s="19"/>
      <c r="O138" s="19"/>
      <c r="P138" s="19"/>
      <c r="Q138" s="19"/>
      <c r="R138" s="19"/>
      <c r="S138" s="19"/>
      <c r="T138" s="19"/>
      <c r="U138" s="19"/>
      <c r="V138" s="20"/>
      <c r="W138" s="20"/>
      <c r="X138" s="20"/>
      <c r="Y138" s="20"/>
      <c r="Z138" s="21"/>
      <c r="AA138" s="22"/>
      <c r="AB138" s="23"/>
    </row>
    <row r="139" spans="1:28" ht="13.5" customHeight="1" x14ac:dyDescent="0.35">
      <c r="A139" s="24" t="str">
        <f ca="1">IFERROR(__xludf.DUMMYFUNCTION("""COMPUTED_VALUE"""),"")</f>
        <v/>
      </c>
      <c r="B139" s="28" t="str">
        <f ca="1">IFERROR(__xludf.DUMMYFUNCTION("""COMPUTED_VALUE"""),"")</f>
        <v/>
      </c>
      <c r="C139" s="27" t="str">
        <f ca="1">IFERROR(__xludf.DUMMYFUNCTION("""COMPUTED_VALUE"""),"")</f>
        <v/>
      </c>
      <c r="D139" s="27" t="str">
        <f ca="1">IFERROR(__xludf.DUMMYFUNCTION("""COMPUTED_VALUE"""),"")</f>
        <v/>
      </c>
      <c r="E139" s="15" t="str">
        <f ca="1">IFERROR(__xludf.DUMMYFUNCTION("""COMPUTED_VALUE"""),"")</f>
        <v/>
      </c>
      <c r="F139" s="51" t="str">
        <f ca="1">IFERROR(__xludf.DUMMYFUNCTION("""COMPUTED_VALUE"""),"")</f>
        <v/>
      </c>
      <c r="G139" s="16" t="str">
        <f ca="1">IFERROR(__xludf.DUMMYFUNCTION("""COMPUTED_VALUE"""),"")</f>
        <v/>
      </c>
      <c r="H139" s="17" t="str">
        <f ca="1">IFERROR(__xludf.DUMMYFUNCTION("""COMPUTED_VALUE"""),"")</f>
        <v/>
      </c>
      <c r="I139" s="17" t="str">
        <f ca="1">IFERROR(__xludf.DUMMYFUNCTION("""COMPUTED_VALUE"""),"")</f>
        <v/>
      </c>
      <c r="J139" s="17" t="str">
        <f ca="1">IFERROR(__xludf.DUMMYFUNCTION("""COMPUTED_VALUE"""),"")</f>
        <v/>
      </c>
      <c r="K139" s="18" t="str">
        <f ca="1">IFERROR(__xludf.DUMMYFUNCTION("""COMPUTED_VALUE"""),"")</f>
        <v/>
      </c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20"/>
      <c r="W139" s="20"/>
      <c r="X139" s="20"/>
      <c r="Y139" s="20"/>
      <c r="Z139" s="21"/>
      <c r="AA139" s="22"/>
      <c r="AB139" s="23"/>
    </row>
    <row r="140" spans="1:28" ht="13.5" customHeight="1" x14ac:dyDescent="0.35">
      <c r="A140" s="24" t="str">
        <f ca="1">IFERROR(__xludf.DUMMYFUNCTION("""COMPUTED_VALUE"""),"")</f>
        <v/>
      </c>
      <c r="B140" s="28" t="str">
        <f ca="1">IFERROR(__xludf.DUMMYFUNCTION("""COMPUTED_VALUE"""),"")</f>
        <v/>
      </c>
      <c r="C140" s="27" t="str">
        <f ca="1">IFERROR(__xludf.DUMMYFUNCTION("""COMPUTED_VALUE"""),"")</f>
        <v/>
      </c>
      <c r="D140" s="27" t="str">
        <f ca="1">IFERROR(__xludf.DUMMYFUNCTION("""COMPUTED_VALUE"""),"")</f>
        <v/>
      </c>
      <c r="E140" s="15" t="str">
        <f ca="1">IFERROR(__xludf.DUMMYFUNCTION("""COMPUTED_VALUE"""),"")</f>
        <v/>
      </c>
      <c r="F140" s="51" t="str">
        <f ca="1">IFERROR(__xludf.DUMMYFUNCTION("""COMPUTED_VALUE"""),"")</f>
        <v/>
      </c>
      <c r="G140" s="16" t="str">
        <f ca="1">IFERROR(__xludf.DUMMYFUNCTION("""COMPUTED_VALUE"""),"")</f>
        <v/>
      </c>
      <c r="H140" s="17" t="str">
        <f ca="1">IFERROR(__xludf.DUMMYFUNCTION("""COMPUTED_VALUE"""),"")</f>
        <v/>
      </c>
      <c r="I140" s="17" t="str">
        <f ca="1">IFERROR(__xludf.DUMMYFUNCTION("""COMPUTED_VALUE"""),"")</f>
        <v/>
      </c>
      <c r="J140" s="17" t="str">
        <f ca="1">IFERROR(__xludf.DUMMYFUNCTION("""COMPUTED_VALUE"""),"")</f>
        <v/>
      </c>
      <c r="K140" s="18" t="str">
        <f ca="1">IFERROR(__xludf.DUMMYFUNCTION("""COMPUTED_VALUE"""),"")</f>
        <v/>
      </c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20"/>
      <c r="W140" s="20"/>
      <c r="X140" s="20"/>
      <c r="Y140" s="20"/>
      <c r="Z140" s="21"/>
      <c r="AA140" s="22"/>
      <c r="AB140" s="23"/>
    </row>
    <row r="141" spans="1:28" ht="13.5" customHeight="1" x14ac:dyDescent="0.35">
      <c r="A141" s="24" t="str">
        <f ca="1">IFERROR(__xludf.DUMMYFUNCTION("""COMPUTED_VALUE"""),"")</f>
        <v/>
      </c>
      <c r="B141" s="28" t="str">
        <f ca="1">IFERROR(__xludf.DUMMYFUNCTION("""COMPUTED_VALUE"""),"")</f>
        <v/>
      </c>
      <c r="C141" s="27" t="str">
        <f ca="1">IFERROR(__xludf.DUMMYFUNCTION("""COMPUTED_VALUE"""),"")</f>
        <v/>
      </c>
      <c r="D141" s="27" t="str">
        <f ca="1">IFERROR(__xludf.DUMMYFUNCTION("""COMPUTED_VALUE"""),"")</f>
        <v/>
      </c>
      <c r="E141" s="15" t="str">
        <f ca="1">IFERROR(__xludf.DUMMYFUNCTION("""COMPUTED_VALUE"""),"")</f>
        <v/>
      </c>
      <c r="F141" s="51" t="str">
        <f ca="1">IFERROR(__xludf.DUMMYFUNCTION("""COMPUTED_VALUE"""),"")</f>
        <v/>
      </c>
      <c r="G141" s="16" t="str">
        <f ca="1">IFERROR(__xludf.DUMMYFUNCTION("""COMPUTED_VALUE"""),"")</f>
        <v/>
      </c>
      <c r="H141" s="17" t="str">
        <f ca="1">IFERROR(__xludf.DUMMYFUNCTION("""COMPUTED_VALUE"""),"")</f>
        <v/>
      </c>
      <c r="I141" s="17" t="str">
        <f ca="1">IFERROR(__xludf.DUMMYFUNCTION("""COMPUTED_VALUE"""),"")</f>
        <v/>
      </c>
      <c r="J141" s="17" t="str">
        <f ca="1">IFERROR(__xludf.DUMMYFUNCTION("""COMPUTED_VALUE"""),"")</f>
        <v/>
      </c>
      <c r="K141" s="18" t="str">
        <f ca="1">IFERROR(__xludf.DUMMYFUNCTION("""COMPUTED_VALUE"""),"")</f>
        <v/>
      </c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20"/>
      <c r="W141" s="20"/>
      <c r="X141" s="20"/>
      <c r="Y141" s="20"/>
      <c r="Z141" s="21"/>
      <c r="AA141" s="22"/>
      <c r="AB141" s="23"/>
    </row>
    <row r="142" spans="1:28" ht="13.5" customHeight="1" x14ac:dyDescent="0.35">
      <c r="A142" s="24" t="str">
        <f ca="1">IFERROR(__xludf.DUMMYFUNCTION("""COMPUTED_VALUE"""),"")</f>
        <v/>
      </c>
      <c r="B142" s="28" t="str">
        <f ca="1">IFERROR(__xludf.DUMMYFUNCTION("""COMPUTED_VALUE"""),"")</f>
        <v/>
      </c>
      <c r="C142" s="27" t="str">
        <f ca="1">IFERROR(__xludf.DUMMYFUNCTION("""COMPUTED_VALUE"""),"")</f>
        <v/>
      </c>
      <c r="D142" s="27" t="str">
        <f ca="1">IFERROR(__xludf.DUMMYFUNCTION("""COMPUTED_VALUE"""),"")</f>
        <v/>
      </c>
      <c r="E142" s="15" t="str">
        <f ca="1">IFERROR(__xludf.DUMMYFUNCTION("""COMPUTED_VALUE"""),"")</f>
        <v/>
      </c>
      <c r="F142" s="51" t="str">
        <f ca="1">IFERROR(__xludf.DUMMYFUNCTION("""COMPUTED_VALUE"""),"")</f>
        <v/>
      </c>
      <c r="G142" s="16" t="str">
        <f ca="1">IFERROR(__xludf.DUMMYFUNCTION("""COMPUTED_VALUE"""),"")</f>
        <v/>
      </c>
      <c r="H142" s="17" t="str">
        <f ca="1">IFERROR(__xludf.DUMMYFUNCTION("""COMPUTED_VALUE"""),"")</f>
        <v/>
      </c>
      <c r="I142" s="17" t="str">
        <f ca="1">IFERROR(__xludf.DUMMYFUNCTION("""COMPUTED_VALUE"""),"")</f>
        <v/>
      </c>
      <c r="J142" s="17" t="str">
        <f ca="1">IFERROR(__xludf.DUMMYFUNCTION("""COMPUTED_VALUE"""),"")</f>
        <v/>
      </c>
      <c r="K142" s="18" t="str">
        <f ca="1">IFERROR(__xludf.DUMMYFUNCTION("""COMPUTED_VALUE"""),"")</f>
        <v/>
      </c>
      <c r="L142" s="19"/>
      <c r="M142" s="19"/>
      <c r="N142" s="19"/>
      <c r="O142" s="19"/>
      <c r="P142" s="19"/>
      <c r="Q142" s="19"/>
      <c r="R142" s="19"/>
      <c r="S142" s="19"/>
      <c r="T142" s="19"/>
      <c r="U142" s="19"/>
      <c r="V142" s="20"/>
      <c r="W142" s="20"/>
      <c r="X142" s="20"/>
      <c r="Y142" s="20"/>
      <c r="Z142" s="21"/>
      <c r="AA142" s="22"/>
      <c r="AB142" s="23"/>
    </row>
    <row r="143" spans="1:28" ht="13.5" customHeight="1" x14ac:dyDescent="0.35">
      <c r="A143" s="24" t="str">
        <f ca="1">IFERROR(__xludf.DUMMYFUNCTION("""COMPUTED_VALUE"""),"")</f>
        <v/>
      </c>
      <c r="B143" s="28" t="str">
        <f ca="1">IFERROR(__xludf.DUMMYFUNCTION("""COMPUTED_VALUE"""),"")</f>
        <v/>
      </c>
      <c r="C143" s="27" t="str">
        <f ca="1">IFERROR(__xludf.DUMMYFUNCTION("""COMPUTED_VALUE"""),"")</f>
        <v/>
      </c>
      <c r="D143" s="27" t="str">
        <f ca="1">IFERROR(__xludf.DUMMYFUNCTION("""COMPUTED_VALUE"""),"")</f>
        <v/>
      </c>
      <c r="E143" s="15" t="str">
        <f ca="1">IFERROR(__xludf.DUMMYFUNCTION("""COMPUTED_VALUE"""),"")</f>
        <v/>
      </c>
      <c r="F143" s="51" t="str">
        <f ca="1">IFERROR(__xludf.DUMMYFUNCTION("""COMPUTED_VALUE"""),"")</f>
        <v/>
      </c>
      <c r="G143" s="16" t="str">
        <f ca="1">IFERROR(__xludf.DUMMYFUNCTION("""COMPUTED_VALUE"""),"")</f>
        <v/>
      </c>
      <c r="H143" s="17" t="str">
        <f ca="1">IFERROR(__xludf.DUMMYFUNCTION("""COMPUTED_VALUE"""),"")</f>
        <v/>
      </c>
      <c r="I143" s="17" t="str">
        <f ca="1">IFERROR(__xludf.DUMMYFUNCTION("""COMPUTED_VALUE"""),"")</f>
        <v/>
      </c>
      <c r="J143" s="17" t="str">
        <f ca="1">IFERROR(__xludf.DUMMYFUNCTION("""COMPUTED_VALUE"""),"")</f>
        <v/>
      </c>
      <c r="K143" s="18" t="str">
        <f ca="1">IFERROR(__xludf.DUMMYFUNCTION("""COMPUTED_VALUE"""),"")</f>
        <v/>
      </c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20"/>
      <c r="W143" s="20"/>
      <c r="X143" s="20"/>
      <c r="Y143" s="20"/>
      <c r="Z143" s="21"/>
      <c r="AA143" s="22"/>
      <c r="AB143" s="23"/>
    </row>
    <row r="144" spans="1:28" ht="13.5" customHeight="1" x14ac:dyDescent="0.35">
      <c r="A144" s="24" t="str">
        <f ca="1">IFERROR(__xludf.DUMMYFUNCTION("""COMPUTED_VALUE"""),"")</f>
        <v/>
      </c>
      <c r="B144" s="28" t="str">
        <f ca="1">IFERROR(__xludf.DUMMYFUNCTION("""COMPUTED_VALUE"""),"")</f>
        <v/>
      </c>
      <c r="C144" s="27" t="str">
        <f ca="1">IFERROR(__xludf.DUMMYFUNCTION("""COMPUTED_VALUE"""),"")</f>
        <v/>
      </c>
      <c r="D144" s="27" t="str">
        <f ca="1">IFERROR(__xludf.DUMMYFUNCTION("""COMPUTED_VALUE"""),"")</f>
        <v/>
      </c>
      <c r="E144" s="15" t="str">
        <f ca="1">IFERROR(__xludf.DUMMYFUNCTION("""COMPUTED_VALUE"""),"")</f>
        <v/>
      </c>
      <c r="F144" s="51" t="str">
        <f ca="1">IFERROR(__xludf.DUMMYFUNCTION("""COMPUTED_VALUE"""),"")</f>
        <v/>
      </c>
      <c r="G144" s="16" t="str">
        <f ca="1">IFERROR(__xludf.DUMMYFUNCTION("""COMPUTED_VALUE"""),"")</f>
        <v/>
      </c>
      <c r="H144" s="17" t="str">
        <f ca="1">IFERROR(__xludf.DUMMYFUNCTION("""COMPUTED_VALUE"""),"")</f>
        <v/>
      </c>
      <c r="I144" s="17" t="str">
        <f ca="1">IFERROR(__xludf.DUMMYFUNCTION("""COMPUTED_VALUE"""),"")</f>
        <v/>
      </c>
      <c r="J144" s="17" t="str">
        <f ca="1">IFERROR(__xludf.DUMMYFUNCTION("""COMPUTED_VALUE"""),"")</f>
        <v/>
      </c>
      <c r="K144" s="18" t="str">
        <f ca="1">IFERROR(__xludf.DUMMYFUNCTION("""COMPUTED_VALUE"""),"")</f>
        <v/>
      </c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20"/>
      <c r="W144" s="20"/>
      <c r="X144" s="20"/>
      <c r="Y144" s="20"/>
      <c r="Z144" s="21"/>
      <c r="AA144" s="22"/>
      <c r="AB144" s="23"/>
    </row>
    <row r="145" spans="1:28" ht="13.5" customHeight="1" x14ac:dyDescent="0.35">
      <c r="A145" s="24" t="str">
        <f ca="1">IFERROR(__xludf.DUMMYFUNCTION("""COMPUTED_VALUE"""),"")</f>
        <v/>
      </c>
      <c r="B145" s="28" t="str">
        <f ca="1">IFERROR(__xludf.DUMMYFUNCTION("""COMPUTED_VALUE"""),"")</f>
        <v/>
      </c>
      <c r="C145" s="27" t="str">
        <f ca="1">IFERROR(__xludf.DUMMYFUNCTION("""COMPUTED_VALUE"""),"")</f>
        <v/>
      </c>
      <c r="D145" s="27" t="str">
        <f ca="1">IFERROR(__xludf.DUMMYFUNCTION("""COMPUTED_VALUE"""),"")</f>
        <v/>
      </c>
      <c r="E145" s="15" t="str">
        <f ca="1">IFERROR(__xludf.DUMMYFUNCTION("""COMPUTED_VALUE"""),"")</f>
        <v/>
      </c>
      <c r="F145" s="51" t="str">
        <f ca="1">IFERROR(__xludf.DUMMYFUNCTION("""COMPUTED_VALUE"""),"")</f>
        <v/>
      </c>
      <c r="G145" s="16" t="str">
        <f ca="1">IFERROR(__xludf.DUMMYFUNCTION("""COMPUTED_VALUE"""),"")</f>
        <v/>
      </c>
      <c r="H145" s="17" t="str">
        <f ca="1">IFERROR(__xludf.DUMMYFUNCTION("""COMPUTED_VALUE"""),"")</f>
        <v/>
      </c>
      <c r="I145" s="17" t="str">
        <f ca="1">IFERROR(__xludf.DUMMYFUNCTION("""COMPUTED_VALUE"""),"")</f>
        <v/>
      </c>
      <c r="J145" s="17" t="str">
        <f ca="1">IFERROR(__xludf.DUMMYFUNCTION("""COMPUTED_VALUE"""),"")</f>
        <v/>
      </c>
      <c r="K145" s="18" t="str">
        <f ca="1">IFERROR(__xludf.DUMMYFUNCTION("""COMPUTED_VALUE"""),"")</f>
        <v/>
      </c>
      <c r="L145" s="19"/>
      <c r="M145" s="19"/>
      <c r="N145" s="19"/>
      <c r="O145" s="19"/>
      <c r="P145" s="19"/>
      <c r="Q145" s="19"/>
      <c r="R145" s="19"/>
      <c r="S145" s="19"/>
      <c r="T145" s="19"/>
      <c r="U145" s="19"/>
      <c r="V145" s="20"/>
      <c r="W145" s="20"/>
      <c r="X145" s="20"/>
      <c r="Y145" s="20"/>
      <c r="Z145" s="21"/>
      <c r="AA145" s="22"/>
      <c r="AB145" s="23"/>
    </row>
    <row r="146" spans="1:28" ht="13.5" customHeight="1" x14ac:dyDescent="0.35">
      <c r="A146" s="24" t="str">
        <f ca="1">IFERROR(__xludf.DUMMYFUNCTION("""COMPUTED_VALUE"""),"")</f>
        <v/>
      </c>
      <c r="B146" s="28" t="str">
        <f ca="1">IFERROR(__xludf.DUMMYFUNCTION("""COMPUTED_VALUE"""),"")</f>
        <v/>
      </c>
      <c r="C146" s="27" t="str">
        <f ca="1">IFERROR(__xludf.DUMMYFUNCTION("""COMPUTED_VALUE"""),"")</f>
        <v/>
      </c>
      <c r="D146" s="27" t="str">
        <f ca="1">IFERROR(__xludf.DUMMYFUNCTION("""COMPUTED_VALUE"""),"")</f>
        <v/>
      </c>
      <c r="E146" s="15" t="str">
        <f ca="1">IFERROR(__xludf.DUMMYFUNCTION("""COMPUTED_VALUE"""),"")</f>
        <v/>
      </c>
      <c r="F146" s="51" t="str">
        <f ca="1">IFERROR(__xludf.DUMMYFUNCTION("""COMPUTED_VALUE"""),"")</f>
        <v/>
      </c>
      <c r="G146" s="16" t="str">
        <f ca="1">IFERROR(__xludf.DUMMYFUNCTION("""COMPUTED_VALUE"""),"")</f>
        <v/>
      </c>
      <c r="H146" s="17" t="str">
        <f ca="1">IFERROR(__xludf.DUMMYFUNCTION("""COMPUTED_VALUE"""),"")</f>
        <v/>
      </c>
      <c r="I146" s="17" t="str">
        <f ca="1">IFERROR(__xludf.DUMMYFUNCTION("""COMPUTED_VALUE"""),"")</f>
        <v/>
      </c>
      <c r="J146" s="17" t="str">
        <f ca="1">IFERROR(__xludf.DUMMYFUNCTION("""COMPUTED_VALUE"""),"")</f>
        <v/>
      </c>
      <c r="K146" s="18" t="str">
        <f ca="1">IFERROR(__xludf.DUMMYFUNCTION("""COMPUTED_VALUE"""),"")</f>
        <v/>
      </c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20"/>
      <c r="W146" s="20"/>
      <c r="X146" s="20"/>
      <c r="Y146" s="20"/>
      <c r="Z146" s="21"/>
      <c r="AA146" s="22"/>
      <c r="AB146" s="23"/>
    </row>
    <row r="147" spans="1:28" ht="13.5" customHeight="1" x14ac:dyDescent="0.35">
      <c r="A147" s="24" t="str">
        <f ca="1">IFERROR(__xludf.DUMMYFUNCTION("""COMPUTED_VALUE"""),"")</f>
        <v/>
      </c>
      <c r="B147" s="28" t="str">
        <f ca="1">IFERROR(__xludf.DUMMYFUNCTION("""COMPUTED_VALUE"""),"")</f>
        <v/>
      </c>
      <c r="C147" s="27" t="str">
        <f ca="1">IFERROR(__xludf.DUMMYFUNCTION("""COMPUTED_VALUE"""),"")</f>
        <v/>
      </c>
      <c r="D147" s="27" t="str">
        <f ca="1">IFERROR(__xludf.DUMMYFUNCTION("""COMPUTED_VALUE"""),"")</f>
        <v/>
      </c>
      <c r="E147" s="15" t="str">
        <f ca="1">IFERROR(__xludf.DUMMYFUNCTION("""COMPUTED_VALUE"""),"")</f>
        <v/>
      </c>
      <c r="F147" s="51" t="str">
        <f ca="1">IFERROR(__xludf.DUMMYFUNCTION("""COMPUTED_VALUE"""),"")</f>
        <v/>
      </c>
      <c r="G147" s="16" t="str">
        <f ca="1">IFERROR(__xludf.DUMMYFUNCTION("""COMPUTED_VALUE"""),"")</f>
        <v/>
      </c>
      <c r="H147" s="17" t="str">
        <f ca="1">IFERROR(__xludf.DUMMYFUNCTION("""COMPUTED_VALUE"""),"")</f>
        <v/>
      </c>
      <c r="I147" s="17" t="str">
        <f ca="1">IFERROR(__xludf.DUMMYFUNCTION("""COMPUTED_VALUE"""),"")</f>
        <v/>
      </c>
      <c r="J147" s="17" t="str">
        <f ca="1">IFERROR(__xludf.DUMMYFUNCTION("""COMPUTED_VALUE"""),"")</f>
        <v/>
      </c>
      <c r="K147" s="18" t="str">
        <f ca="1">IFERROR(__xludf.DUMMYFUNCTION("""COMPUTED_VALUE"""),"")</f>
        <v/>
      </c>
      <c r="L147" s="19"/>
      <c r="M147" s="19"/>
      <c r="N147" s="19"/>
      <c r="O147" s="19"/>
      <c r="P147" s="19"/>
      <c r="Q147" s="19"/>
      <c r="R147" s="19"/>
      <c r="S147" s="19"/>
      <c r="T147" s="19"/>
      <c r="U147" s="19"/>
      <c r="V147" s="20"/>
      <c r="W147" s="20"/>
      <c r="X147" s="20"/>
      <c r="Y147" s="20"/>
      <c r="Z147" s="21"/>
      <c r="AA147" s="22"/>
      <c r="AB147" s="23"/>
    </row>
    <row r="148" spans="1:28" ht="13.5" customHeight="1" x14ac:dyDescent="0.35">
      <c r="A148" s="24" t="str">
        <f ca="1">IFERROR(__xludf.DUMMYFUNCTION("""COMPUTED_VALUE"""),"")</f>
        <v/>
      </c>
      <c r="B148" s="28" t="str">
        <f ca="1">IFERROR(__xludf.DUMMYFUNCTION("""COMPUTED_VALUE"""),"")</f>
        <v/>
      </c>
      <c r="C148" s="27" t="str">
        <f ca="1">IFERROR(__xludf.DUMMYFUNCTION("""COMPUTED_VALUE"""),"")</f>
        <v/>
      </c>
      <c r="D148" s="27" t="str">
        <f ca="1">IFERROR(__xludf.DUMMYFUNCTION("""COMPUTED_VALUE"""),"")</f>
        <v/>
      </c>
      <c r="E148" s="15" t="str">
        <f ca="1">IFERROR(__xludf.DUMMYFUNCTION("""COMPUTED_VALUE"""),"")</f>
        <v/>
      </c>
      <c r="F148" s="51" t="str">
        <f ca="1">IFERROR(__xludf.DUMMYFUNCTION("""COMPUTED_VALUE"""),"")</f>
        <v/>
      </c>
      <c r="G148" s="16" t="str">
        <f ca="1">IFERROR(__xludf.DUMMYFUNCTION("""COMPUTED_VALUE"""),"")</f>
        <v/>
      </c>
      <c r="H148" s="17" t="str">
        <f ca="1">IFERROR(__xludf.DUMMYFUNCTION("""COMPUTED_VALUE"""),"")</f>
        <v/>
      </c>
      <c r="I148" s="17" t="str">
        <f ca="1">IFERROR(__xludf.DUMMYFUNCTION("""COMPUTED_VALUE"""),"")</f>
        <v/>
      </c>
      <c r="J148" s="17" t="str">
        <f ca="1">IFERROR(__xludf.DUMMYFUNCTION("""COMPUTED_VALUE"""),"")</f>
        <v/>
      </c>
      <c r="K148" s="18" t="str">
        <f ca="1">IFERROR(__xludf.DUMMYFUNCTION("""COMPUTED_VALUE"""),"")</f>
        <v/>
      </c>
      <c r="L148" s="19"/>
      <c r="M148" s="19"/>
      <c r="N148" s="19"/>
      <c r="O148" s="19"/>
      <c r="P148" s="19"/>
      <c r="Q148" s="19"/>
      <c r="R148" s="19"/>
      <c r="S148" s="19"/>
      <c r="T148" s="19"/>
      <c r="U148" s="19"/>
      <c r="V148" s="20"/>
      <c r="W148" s="20"/>
      <c r="X148" s="20"/>
      <c r="Y148" s="20"/>
      <c r="Z148" s="21"/>
      <c r="AA148" s="22"/>
      <c r="AB148" s="23"/>
    </row>
    <row r="149" spans="1:28" ht="13.5" customHeight="1" x14ac:dyDescent="0.35">
      <c r="A149" s="24" t="str">
        <f ca="1">IFERROR(__xludf.DUMMYFUNCTION("""COMPUTED_VALUE"""),"")</f>
        <v/>
      </c>
      <c r="B149" s="28" t="str">
        <f ca="1">IFERROR(__xludf.DUMMYFUNCTION("""COMPUTED_VALUE"""),"")</f>
        <v/>
      </c>
      <c r="C149" s="27" t="str">
        <f ca="1">IFERROR(__xludf.DUMMYFUNCTION("""COMPUTED_VALUE"""),"")</f>
        <v/>
      </c>
      <c r="D149" s="27" t="str">
        <f ca="1">IFERROR(__xludf.DUMMYFUNCTION("""COMPUTED_VALUE"""),"")</f>
        <v/>
      </c>
      <c r="E149" s="15" t="str">
        <f ca="1">IFERROR(__xludf.DUMMYFUNCTION("""COMPUTED_VALUE"""),"")</f>
        <v/>
      </c>
      <c r="F149" s="51" t="str">
        <f ca="1">IFERROR(__xludf.DUMMYFUNCTION("""COMPUTED_VALUE"""),"")</f>
        <v/>
      </c>
      <c r="G149" s="16" t="str">
        <f ca="1">IFERROR(__xludf.DUMMYFUNCTION("""COMPUTED_VALUE"""),"")</f>
        <v/>
      </c>
      <c r="H149" s="17" t="str">
        <f ca="1">IFERROR(__xludf.DUMMYFUNCTION("""COMPUTED_VALUE"""),"")</f>
        <v/>
      </c>
      <c r="I149" s="17" t="str">
        <f ca="1">IFERROR(__xludf.DUMMYFUNCTION("""COMPUTED_VALUE"""),"")</f>
        <v/>
      </c>
      <c r="J149" s="17" t="str">
        <f ca="1">IFERROR(__xludf.DUMMYFUNCTION("""COMPUTED_VALUE"""),"")</f>
        <v/>
      </c>
      <c r="K149" s="18" t="str">
        <f ca="1">IFERROR(__xludf.DUMMYFUNCTION("""COMPUTED_VALUE"""),"")</f>
        <v/>
      </c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20"/>
      <c r="W149" s="20"/>
      <c r="X149" s="20"/>
      <c r="Y149" s="20"/>
      <c r="Z149" s="21"/>
      <c r="AA149" s="22"/>
      <c r="AB149" s="23"/>
    </row>
    <row r="150" spans="1:28" ht="13.5" customHeight="1" x14ac:dyDescent="0.35">
      <c r="A150" s="24" t="str">
        <f ca="1">IFERROR(__xludf.DUMMYFUNCTION("""COMPUTED_VALUE"""),"")</f>
        <v/>
      </c>
      <c r="B150" s="28" t="str">
        <f ca="1">IFERROR(__xludf.DUMMYFUNCTION("""COMPUTED_VALUE"""),"")</f>
        <v/>
      </c>
      <c r="C150" s="27" t="str">
        <f ca="1">IFERROR(__xludf.DUMMYFUNCTION("""COMPUTED_VALUE"""),"")</f>
        <v/>
      </c>
      <c r="D150" s="27" t="str">
        <f ca="1">IFERROR(__xludf.DUMMYFUNCTION("""COMPUTED_VALUE"""),"")</f>
        <v/>
      </c>
      <c r="E150" s="15" t="str">
        <f ca="1">IFERROR(__xludf.DUMMYFUNCTION("""COMPUTED_VALUE"""),"")</f>
        <v/>
      </c>
      <c r="F150" s="51" t="str">
        <f ca="1">IFERROR(__xludf.DUMMYFUNCTION("""COMPUTED_VALUE"""),"")</f>
        <v/>
      </c>
      <c r="G150" s="16" t="str">
        <f ca="1">IFERROR(__xludf.DUMMYFUNCTION("""COMPUTED_VALUE"""),"")</f>
        <v/>
      </c>
      <c r="H150" s="17" t="str">
        <f ca="1">IFERROR(__xludf.DUMMYFUNCTION("""COMPUTED_VALUE"""),"")</f>
        <v/>
      </c>
      <c r="I150" s="17" t="str">
        <f ca="1">IFERROR(__xludf.DUMMYFUNCTION("""COMPUTED_VALUE"""),"")</f>
        <v/>
      </c>
      <c r="J150" s="17" t="str">
        <f ca="1">IFERROR(__xludf.DUMMYFUNCTION("""COMPUTED_VALUE"""),"")</f>
        <v/>
      </c>
      <c r="K150" s="18" t="str">
        <f ca="1">IFERROR(__xludf.DUMMYFUNCTION("""COMPUTED_VALUE"""),"")</f>
        <v/>
      </c>
      <c r="L150" s="19"/>
      <c r="M150" s="19"/>
      <c r="N150" s="19"/>
      <c r="O150" s="19"/>
      <c r="P150" s="19"/>
      <c r="Q150" s="19"/>
      <c r="R150" s="19"/>
      <c r="S150" s="19"/>
      <c r="T150" s="19"/>
      <c r="U150" s="19"/>
      <c r="V150" s="20"/>
      <c r="W150" s="20"/>
      <c r="X150" s="20"/>
      <c r="Y150" s="20"/>
      <c r="Z150" s="21"/>
      <c r="AA150" s="22"/>
      <c r="AB150" s="23"/>
    </row>
    <row r="151" spans="1:28" ht="13.5" customHeight="1" x14ac:dyDescent="0.35">
      <c r="A151" s="24" t="str">
        <f ca="1">IFERROR(__xludf.DUMMYFUNCTION("""COMPUTED_VALUE"""),"")</f>
        <v/>
      </c>
      <c r="B151" s="28" t="str">
        <f ca="1">IFERROR(__xludf.DUMMYFUNCTION("""COMPUTED_VALUE"""),"")</f>
        <v/>
      </c>
      <c r="C151" s="27" t="str">
        <f ca="1">IFERROR(__xludf.DUMMYFUNCTION("""COMPUTED_VALUE"""),"")</f>
        <v/>
      </c>
      <c r="D151" s="27" t="str">
        <f ca="1">IFERROR(__xludf.DUMMYFUNCTION("""COMPUTED_VALUE"""),"")</f>
        <v/>
      </c>
      <c r="E151" s="15" t="str">
        <f ca="1">IFERROR(__xludf.DUMMYFUNCTION("""COMPUTED_VALUE"""),"")</f>
        <v/>
      </c>
      <c r="F151" s="51" t="str">
        <f ca="1">IFERROR(__xludf.DUMMYFUNCTION("""COMPUTED_VALUE"""),"")</f>
        <v/>
      </c>
      <c r="G151" s="16" t="str">
        <f ca="1">IFERROR(__xludf.DUMMYFUNCTION("""COMPUTED_VALUE"""),"")</f>
        <v/>
      </c>
      <c r="H151" s="17" t="str">
        <f ca="1">IFERROR(__xludf.DUMMYFUNCTION("""COMPUTED_VALUE"""),"")</f>
        <v/>
      </c>
      <c r="I151" s="17" t="str">
        <f ca="1">IFERROR(__xludf.DUMMYFUNCTION("""COMPUTED_VALUE"""),"")</f>
        <v/>
      </c>
      <c r="J151" s="17" t="str">
        <f ca="1">IFERROR(__xludf.DUMMYFUNCTION("""COMPUTED_VALUE"""),"")</f>
        <v/>
      </c>
      <c r="K151" s="18" t="str">
        <f ca="1">IFERROR(__xludf.DUMMYFUNCTION("""COMPUTED_VALUE"""),"")</f>
        <v/>
      </c>
      <c r="L151" s="19"/>
      <c r="M151" s="19"/>
      <c r="N151" s="19"/>
      <c r="O151" s="19"/>
      <c r="P151" s="19"/>
      <c r="Q151" s="19"/>
      <c r="R151" s="19"/>
      <c r="S151" s="19"/>
      <c r="T151" s="19"/>
      <c r="U151" s="19"/>
      <c r="V151" s="20"/>
      <c r="W151" s="20"/>
      <c r="X151" s="20"/>
      <c r="Y151" s="20"/>
      <c r="Z151" s="21"/>
      <c r="AA151" s="22"/>
      <c r="AB151" s="23"/>
    </row>
    <row r="152" spans="1:28" ht="13.5" customHeight="1" x14ac:dyDescent="0.35">
      <c r="A152" s="24" t="str">
        <f ca="1">IFERROR(__xludf.DUMMYFUNCTION("""COMPUTED_VALUE"""),"")</f>
        <v/>
      </c>
      <c r="B152" s="28" t="str">
        <f ca="1">IFERROR(__xludf.DUMMYFUNCTION("""COMPUTED_VALUE"""),"")</f>
        <v/>
      </c>
      <c r="C152" s="27" t="str">
        <f ca="1">IFERROR(__xludf.DUMMYFUNCTION("""COMPUTED_VALUE"""),"")</f>
        <v/>
      </c>
      <c r="D152" s="27" t="str">
        <f ca="1">IFERROR(__xludf.DUMMYFUNCTION("""COMPUTED_VALUE"""),"")</f>
        <v/>
      </c>
      <c r="E152" s="15" t="str">
        <f ca="1">IFERROR(__xludf.DUMMYFUNCTION("""COMPUTED_VALUE"""),"")</f>
        <v/>
      </c>
      <c r="F152" s="51" t="str">
        <f ca="1">IFERROR(__xludf.DUMMYFUNCTION("""COMPUTED_VALUE"""),"")</f>
        <v/>
      </c>
      <c r="G152" s="16" t="str">
        <f ca="1">IFERROR(__xludf.DUMMYFUNCTION("""COMPUTED_VALUE"""),"")</f>
        <v/>
      </c>
      <c r="H152" s="17" t="str">
        <f ca="1">IFERROR(__xludf.DUMMYFUNCTION("""COMPUTED_VALUE"""),"")</f>
        <v/>
      </c>
      <c r="I152" s="17" t="str">
        <f ca="1">IFERROR(__xludf.DUMMYFUNCTION("""COMPUTED_VALUE"""),"")</f>
        <v/>
      </c>
      <c r="J152" s="17" t="str">
        <f ca="1">IFERROR(__xludf.DUMMYFUNCTION("""COMPUTED_VALUE"""),"")</f>
        <v/>
      </c>
      <c r="K152" s="18" t="str">
        <f ca="1">IFERROR(__xludf.DUMMYFUNCTION("""COMPUTED_VALUE"""),"")</f>
        <v/>
      </c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20"/>
      <c r="W152" s="20"/>
      <c r="X152" s="20"/>
      <c r="Y152" s="20"/>
      <c r="Z152" s="21"/>
      <c r="AA152" s="22"/>
      <c r="AB152" s="23"/>
    </row>
    <row r="153" spans="1:28" ht="13.5" customHeight="1" x14ac:dyDescent="0.35">
      <c r="A153" s="24" t="str">
        <f ca="1">IFERROR(__xludf.DUMMYFUNCTION("""COMPUTED_VALUE"""),"")</f>
        <v/>
      </c>
      <c r="B153" s="28" t="str">
        <f ca="1">IFERROR(__xludf.DUMMYFUNCTION("""COMPUTED_VALUE"""),"")</f>
        <v/>
      </c>
      <c r="C153" s="27" t="str">
        <f ca="1">IFERROR(__xludf.DUMMYFUNCTION("""COMPUTED_VALUE"""),"")</f>
        <v/>
      </c>
      <c r="D153" s="27" t="str">
        <f ca="1">IFERROR(__xludf.DUMMYFUNCTION("""COMPUTED_VALUE"""),"")</f>
        <v/>
      </c>
      <c r="E153" s="15" t="str">
        <f ca="1">IFERROR(__xludf.DUMMYFUNCTION("""COMPUTED_VALUE"""),"")</f>
        <v/>
      </c>
      <c r="F153" s="51" t="str">
        <f ca="1">IFERROR(__xludf.DUMMYFUNCTION("""COMPUTED_VALUE"""),"")</f>
        <v/>
      </c>
      <c r="G153" s="16" t="str">
        <f ca="1">IFERROR(__xludf.DUMMYFUNCTION("""COMPUTED_VALUE"""),"")</f>
        <v/>
      </c>
      <c r="H153" s="17" t="str">
        <f ca="1">IFERROR(__xludf.DUMMYFUNCTION("""COMPUTED_VALUE"""),"")</f>
        <v/>
      </c>
      <c r="I153" s="17" t="str">
        <f ca="1">IFERROR(__xludf.DUMMYFUNCTION("""COMPUTED_VALUE"""),"")</f>
        <v/>
      </c>
      <c r="J153" s="17" t="str">
        <f ca="1">IFERROR(__xludf.DUMMYFUNCTION("""COMPUTED_VALUE"""),"")</f>
        <v/>
      </c>
      <c r="K153" s="18" t="str">
        <f ca="1">IFERROR(__xludf.DUMMYFUNCTION("""COMPUTED_VALUE"""),"")</f>
        <v/>
      </c>
      <c r="L153" s="19"/>
      <c r="M153" s="19"/>
      <c r="N153" s="19"/>
      <c r="O153" s="19"/>
      <c r="P153" s="19"/>
      <c r="Q153" s="19"/>
      <c r="R153" s="19"/>
      <c r="S153" s="19"/>
      <c r="T153" s="19"/>
      <c r="U153" s="19"/>
      <c r="V153" s="20"/>
      <c r="W153" s="20"/>
      <c r="X153" s="20"/>
      <c r="Y153" s="20"/>
      <c r="Z153" s="21"/>
      <c r="AA153" s="22"/>
      <c r="AB153" s="23"/>
    </row>
    <row r="154" spans="1:28" ht="13.5" customHeight="1" x14ac:dyDescent="0.35">
      <c r="A154" s="24" t="str">
        <f ca="1">IFERROR(__xludf.DUMMYFUNCTION("""COMPUTED_VALUE"""),"")</f>
        <v/>
      </c>
      <c r="B154" s="28" t="str">
        <f ca="1">IFERROR(__xludf.DUMMYFUNCTION("""COMPUTED_VALUE"""),"")</f>
        <v/>
      </c>
      <c r="C154" s="27" t="str">
        <f ca="1">IFERROR(__xludf.DUMMYFUNCTION("""COMPUTED_VALUE"""),"")</f>
        <v/>
      </c>
      <c r="D154" s="27" t="str">
        <f ca="1">IFERROR(__xludf.DUMMYFUNCTION("""COMPUTED_VALUE"""),"")</f>
        <v/>
      </c>
      <c r="E154" s="15" t="str">
        <f ca="1">IFERROR(__xludf.DUMMYFUNCTION("""COMPUTED_VALUE"""),"")</f>
        <v/>
      </c>
      <c r="F154" s="51" t="str">
        <f ca="1">IFERROR(__xludf.DUMMYFUNCTION("""COMPUTED_VALUE"""),"")</f>
        <v/>
      </c>
      <c r="G154" s="16" t="str">
        <f ca="1">IFERROR(__xludf.DUMMYFUNCTION("""COMPUTED_VALUE"""),"")</f>
        <v/>
      </c>
      <c r="H154" s="17" t="str">
        <f ca="1">IFERROR(__xludf.DUMMYFUNCTION("""COMPUTED_VALUE"""),"")</f>
        <v/>
      </c>
      <c r="I154" s="17" t="str">
        <f ca="1">IFERROR(__xludf.DUMMYFUNCTION("""COMPUTED_VALUE"""),"")</f>
        <v/>
      </c>
      <c r="J154" s="17" t="str">
        <f ca="1">IFERROR(__xludf.DUMMYFUNCTION("""COMPUTED_VALUE"""),"")</f>
        <v/>
      </c>
      <c r="K154" s="18" t="str">
        <f ca="1">IFERROR(__xludf.DUMMYFUNCTION("""COMPUTED_VALUE"""),"")</f>
        <v/>
      </c>
      <c r="L154" s="19"/>
      <c r="M154" s="19"/>
      <c r="N154" s="19"/>
      <c r="O154" s="19"/>
      <c r="P154" s="19"/>
      <c r="Q154" s="19"/>
      <c r="R154" s="19"/>
      <c r="S154" s="19"/>
      <c r="T154" s="19"/>
      <c r="U154" s="19"/>
      <c r="V154" s="20"/>
      <c r="W154" s="20"/>
      <c r="X154" s="20"/>
      <c r="Y154" s="20"/>
      <c r="Z154" s="21"/>
      <c r="AA154" s="22"/>
      <c r="AB154" s="23"/>
    </row>
    <row r="155" spans="1:28" ht="13.5" customHeight="1" x14ac:dyDescent="0.35">
      <c r="A155" s="24" t="str">
        <f ca="1">IFERROR(__xludf.DUMMYFUNCTION("""COMPUTED_VALUE"""),"")</f>
        <v/>
      </c>
      <c r="B155" s="28" t="str">
        <f ca="1">IFERROR(__xludf.DUMMYFUNCTION("""COMPUTED_VALUE"""),"")</f>
        <v/>
      </c>
      <c r="C155" s="27" t="str">
        <f ca="1">IFERROR(__xludf.DUMMYFUNCTION("""COMPUTED_VALUE"""),"")</f>
        <v/>
      </c>
      <c r="D155" s="27" t="str">
        <f ca="1">IFERROR(__xludf.DUMMYFUNCTION("""COMPUTED_VALUE"""),"")</f>
        <v/>
      </c>
      <c r="E155" s="15" t="str">
        <f ca="1">IFERROR(__xludf.DUMMYFUNCTION("""COMPUTED_VALUE"""),"")</f>
        <v/>
      </c>
      <c r="F155" s="51" t="str">
        <f ca="1">IFERROR(__xludf.DUMMYFUNCTION("""COMPUTED_VALUE"""),"")</f>
        <v/>
      </c>
      <c r="G155" s="16" t="str">
        <f ca="1">IFERROR(__xludf.DUMMYFUNCTION("""COMPUTED_VALUE"""),"")</f>
        <v/>
      </c>
      <c r="H155" s="17" t="str">
        <f ca="1">IFERROR(__xludf.DUMMYFUNCTION("""COMPUTED_VALUE"""),"")</f>
        <v/>
      </c>
      <c r="I155" s="17" t="str">
        <f ca="1">IFERROR(__xludf.DUMMYFUNCTION("""COMPUTED_VALUE"""),"")</f>
        <v/>
      </c>
      <c r="J155" s="17" t="str">
        <f ca="1">IFERROR(__xludf.DUMMYFUNCTION("""COMPUTED_VALUE"""),"")</f>
        <v/>
      </c>
      <c r="K155" s="18" t="str">
        <f ca="1">IFERROR(__xludf.DUMMYFUNCTION("""COMPUTED_VALUE"""),"")</f>
        <v/>
      </c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20"/>
      <c r="W155" s="20"/>
      <c r="X155" s="20"/>
      <c r="Y155" s="20"/>
      <c r="Z155" s="21"/>
      <c r="AA155" s="22"/>
      <c r="AB155" s="23"/>
    </row>
    <row r="156" spans="1:28" ht="13.5" customHeight="1" x14ac:dyDescent="0.35">
      <c r="A156" s="24" t="str">
        <f ca="1">IFERROR(__xludf.DUMMYFUNCTION("""COMPUTED_VALUE"""),"")</f>
        <v/>
      </c>
      <c r="B156" s="28" t="str">
        <f ca="1">IFERROR(__xludf.DUMMYFUNCTION("""COMPUTED_VALUE"""),"")</f>
        <v/>
      </c>
      <c r="C156" s="27" t="str">
        <f ca="1">IFERROR(__xludf.DUMMYFUNCTION("""COMPUTED_VALUE"""),"")</f>
        <v/>
      </c>
      <c r="D156" s="27" t="str">
        <f ca="1">IFERROR(__xludf.DUMMYFUNCTION("""COMPUTED_VALUE"""),"")</f>
        <v/>
      </c>
      <c r="E156" s="15" t="str">
        <f ca="1">IFERROR(__xludf.DUMMYFUNCTION("""COMPUTED_VALUE"""),"")</f>
        <v/>
      </c>
      <c r="F156" s="51" t="str">
        <f ca="1">IFERROR(__xludf.DUMMYFUNCTION("""COMPUTED_VALUE"""),"")</f>
        <v/>
      </c>
      <c r="G156" s="16" t="str">
        <f ca="1">IFERROR(__xludf.DUMMYFUNCTION("""COMPUTED_VALUE"""),"")</f>
        <v/>
      </c>
      <c r="H156" s="17" t="str">
        <f ca="1">IFERROR(__xludf.DUMMYFUNCTION("""COMPUTED_VALUE"""),"")</f>
        <v/>
      </c>
      <c r="I156" s="17" t="str">
        <f ca="1">IFERROR(__xludf.DUMMYFUNCTION("""COMPUTED_VALUE"""),"")</f>
        <v/>
      </c>
      <c r="J156" s="17" t="str">
        <f ca="1">IFERROR(__xludf.DUMMYFUNCTION("""COMPUTED_VALUE"""),"")</f>
        <v/>
      </c>
      <c r="K156" s="18" t="str">
        <f ca="1">IFERROR(__xludf.DUMMYFUNCTION("""COMPUTED_VALUE"""),"")</f>
        <v/>
      </c>
      <c r="L156" s="19"/>
      <c r="M156" s="19"/>
      <c r="N156" s="19"/>
      <c r="O156" s="19"/>
      <c r="P156" s="19"/>
      <c r="Q156" s="19"/>
      <c r="R156" s="19"/>
      <c r="S156" s="19"/>
      <c r="T156" s="19"/>
      <c r="U156" s="19"/>
      <c r="V156" s="20"/>
      <c r="W156" s="20"/>
      <c r="X156" s="20"/>
      <c r="Y156" s="20"/>
      <c r="Z156" s="21"/>
      <c r="AA156" s="22"/>
      <c r="AB156" s="23"/>
    </row>
    <row r="157" spans="1:28" ht="13.5" customHeight="1" x14ac:dyDescent="0.35">
      <c r="A157" s="24" t="str">
        <f ca="1">IFERROR(__xludf.DUMMYFUNCTION("""COMPUTED_VALUE"""),"")</f>
        <v/>
      </c>
      <c r="B157" s="28" t="str">
        <f ca="1">IFERROR(__xludf.DUMMYFUNCTION("""COMPUTED_VALUE"""),"")</f>
        <v/>
      </c>
      <c r="C157" s="27" t="str">
        <f ca="1">IFERROR(__xludf.DUMMYFUNCTION("""COMPUTED_VALUE"""),"")</f>
        <v/>
      </c>
      <c r="D157" s="27" t="str">
        <f ca="1">IFERROR(__xludf.DUMMYFUNCTION("""COMPUTED_VALUE"""),"")</f>
        <v/>
      </c>
      <c r="E157" s="15" t="str">
        <f ca="1">IFERROR(__xludf.DUMMYFUNCTION("""COMPUTED_VALUE"""),"")</f>
        <v/>
      </c>
      <c r="F157" s="51" t="str">
        <f ca="1">IFERROR(__xludf.DUMMYFUNCTION("""COMPUTED_VALUE"""),"")</f>
        <v/>
      </c>
      <c r="G157" s="16" t="str">
        <f ca="1">IFERROR(__xludf.DUMMYFUNCTION("""COMPUTED_VALUE"""),"")</f>
        <v/>
      </c>
      <c r="H157" s="17" t="str">
        <f ca="1">IFERROR(__xludf.DUMMYFUNCTION("""COMPUTED_VALUE"""),"")</f>
        <v/>
      </c>
      <c r="I157" s="17" t="str">
        <f ca="1">IFERROR(__xludf.DUMMYFUNCTION("""COMPUTED_VALUE"""),"")</f>
        <v/>
      </c>
      <c r="J157" s="17" t="str">
        <f ca="1">IFERROR(__xludf.DUMMYFUNCTION("""COMPUTED_VALUE"""),"")</f>
        <v/>
      </c>
      <c r="K157" s="18" t="str">
        <f ca="1">IFERROR(__xludf.DUMMYFUNCTION("""COMPUTED_VALUE"""),"")</f>
        <v/>
      </c>
      <c r="L157" s="19"/>
      <c r="M157" s="19"/>
      <c r="N157" s="19"/>
      <c r="O157" s="19"/>
      <c r="P157" s="19"/>
      <c r="Q157" s="19"/>
      <c r="R157" s="19"/>
      <c r="S157" s="19"/>
      <c r="T157" s="19"/>
      <c r="U157" s="19"/>
      <c r="V157" s="20"/>
      <c r="W157" s="20"/>
      <c r="X157" s="20"/>
      <c r="Y157" s="20"/>
      <c r="Z157" s="21"/>
      <c r="AA157" s="22"/>
      <c r="AB157" s="23"/>
    </row>
    <row r="158" spans="1:28" ht="13.5" customHeight="1" x14ac:dyDescent="0.35">
      <c r="A158" s="24" t="str">
        <f ca="1">IFERROR(__xludf.DUMMYFUNCTION("""COMPUTED_VALUE"""),"")</f>
        <v/>
      </c>
      <c r="B158" s="28" t="str">
        <f ca="1">IFERROR(__xludf.DUMMYFUNCTION("""COMPUTED_VALUE"""),"")</f>
        <v/>
      </c>
      <c r="C158" s="27" t="str">
        <f ca="1">IFERROR(__xludf.DUMMYFUNCTION("""COMPUTED_VALUE"""),"")</f>
        <v/>
      </c>
      <c r="D158" s="27" t="str">
        <f ca="1">IFERROR(__xludf.DUMMYFUNCTION("""COMPUTED_VALUE"""),"")</f>
        <v/>
      </c>
      <c r="E158" s="15" t="str">
        <f ca="1">IFERROR(__xludf.DUMMYFUNCTION("""COMPUTED_VALUE"""),"")</f>
        <v/>
      </c>
      <c r="F158" s="51" t="str">
        <f ca="1">IFERROR(__xludf.DUMMYFUNCTION("""COMPUTED_VALUE"""),"")</f>
        <v/>
      </c>
      <c r="G158" s="16" t="str">
        <f ca="1">IFERROR(__xludf.DUMMYFUNCTION("""COMPUTED_VALUE"""),"")</f>
        <v/>
      </c>
      <c r="H158" s="17" t="str">
        <f ca="1">IFERROR(__xludf.DUMMYFUNCTION("""COMPUTED_VALUE"""),"")</f>
        <v/>
      </c>
      <c r="I158" s="17" t="str">
        <f ca="1">IFERROR(__xludf.DUMMYFUNCTION("""COMPUTED_VALUE"""),"")</f>
        <v/>
      </c>
      <c r="J158" s="17" t="str">
        <f ca="1">IFERROR(__xludf.DUMMYFUNCTION("""COMPUTED_VALUE"""),"")</f>
        <v/>
      </c>
      <c r="K158" s="18" t="str">
        <f ca="1">IFERROR(__xludf.DUMMYFUNCTION("""COMPUTED_VALUE"""),"")</f>
        <v/>
      </c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20"/>
      <c r="W158" s="20"/>
      <c r="X158" s="20"/>
      <c r="Y158" s="20"/>
      <c r="Z158" s="21"/>
      <c r="AA158" s="22"/>
      <c r="AB158" s="23"/>
    </row>
    <row r="159" spans="1:28" ht="13.5" customHeight="1" x14ac:dyDescent="0.35">
      <c r="A159" s="24" t="str">
        <f ca="1">IFERROR(__xludf.DUMMYFUNCTION("""COMPUTED_VALUE"""),"")</f>
        <v/>
      </c>
      <c r="B159" s="28" t="str">
        <f ca="1">IFERROR(__xludf.DUMMYFUNCTION("""COMPUTED_VALUE"""),"")</f>
        <v/>
      </c>
      <c r="C159" s="27" t="str">
        <f ca="1">IFERROR(__xludf.DUMMYFUNCTION("""COMPUTED_VALUE"""),"")</f>
        <v/>
      </c>
      <c r="D159" s="27" t="str">
        <f ca="1">IFERROR(__xludf.DUMMYFUNCTION("""COMPUTED_VALUE"""),"")</f>
        <v/>
      </c>
      <c r="E159" s="15" t="str">
        <f ca="1">IFERROR(__xludf.DUMMYFUNCTION("""COMPUTED_VALUE"""),"")</f>
        <v/>
      </c>
      <c r="F159" s="51" t="str">
        <f ca="1">IFERROR(__xludf.DUMMYFUNCTION("""COMPUTED_VALUE"""),"")</f>
        <v/>
      </c>
      <c r="G159" s="16" t="str">
        <f ca="1">IFERROR(__xludf.DUMMYFUNCTION("""COMPUTED_VALUE"""),"")</f>
        <v/>
      </c>
      <c r="H159" s="17" t="str">
        <f ca="1">IFERROR(__xludf.DUMMYFUNCTION("""COMPUTED_VALUE"""),"")</f>
        <v/>
      </c>
      <c r="I159" s="17" t="str">
        <f ca="1">IFERROR(__xludf.DUMMYFUNCTION("""COMPUTED_VALUE"""),"")</f>
        <v/>
      </c>
      <c r="J159" s="17" t="str">
        <f ca="1">IFERROR(__xludf.DUMMYFUNCTION("""COMPUTED_VALUE"""),"")</f>
        <v/>
      </c>
      <c r="K159" s="18" t="str">
        <f ca="1">IFERROR(__xludf.DUMMYFUNCTION("""COMPUTED_VALUE"""),"")</f>
        <v/>
      </c>
      <c r="L159" s="19"/>
      <c r="M159" s="19"/>
      <c r="N159" s="19"/>
      <c r="O159" s="19"/>
      <c r="P159" s="19"/>
      <c r="Q159" s="19"/>
      <c r="R159" s="19"/>
      <c r="S159" s="19"/>
      <c r="T159" s="19"/>
      <c r="U159" s="19"/>
      <c r="V159" s="20"/>
      <c r="W159" s="20"/>
      <c r="X159" s="20"/>
      <c r="Y159" s="20"/>
      <c r="Z159" s="21"/>
      <c r="AA159" s="22"/>
      <c r="AB159" s="23"/>
    </row>
    <row r="160" spans="1:28" ht="13.5" customHeight="1" x14ac:dyDescent="0.35">
      <c r="A160" s="24" t="str">
        <f ca="1">IFERROR(__xludf.DUMMYFUNCTION("""COMPUTED_VALUE"""),"")</f>
        <v/>
      </c>
      <c r="B160" s="28" t="str">
        <f ca="1">IFERROR(__xludf.DUMMYFUNCTION("""COMPUTED_VALUE"""),"")</f>
        <v/>
      </c>
      <c r="C160" s="27" t="str">
        <f ca="1">IFERROR(__xludf.DUMMYFUNCTION("""COMPUTED_VALUE"""),"")</f>
        <v/>
      </c>
      <c r="D160" s="27" t="str">
        <f ca="1">IFERROR(__xludf.DUMMYFUNCTION("""COMPUTED_VALUE"""),"")</f>
        <v/>
      </c>
      <c r="E160" s="15" t="str">
        <f ca="1">IFERROR(__xludf.DUMMYFUNCTION("""COMPUTED_VALUE"""),"")</f>
        <v/>
      </c>
      <c r="F160" s="51" t="str">
        <f ca="1">IFERROR(__xludf.DUMMYFUNCTION("""COMPUTED_VALUE"""),"")</f>
        <v/>
      </c>
      <c r="G160" s="16" t="str">
        <f ca="1">IFERROR(__xludf.DUMMYFUNCTION("""COMPUTED_VALUE"""),"")</f>
        <v/>
      </c>
      <c r="H160" s="17" t="str">
        <f ca="1">IFERROR(__xludf.DUMMYFUNCTION("""COMPUTED_VALUE"""),"")</f>
        <v/>
      </c>
      <c r="I160" s="17" t="str">
        <f ca="1">IFERROR(__xludf.DUMMYFUNCTION("""COMPUTED_VALUE"""),"")</f>
        <v/>
      </c>
      <c r="J160" s="17" t="str">
        <f ca="1">IFERROR(__xludf.DUMMYFUNCTION("""COMPUTED_VALUE"""),"")</f>
        <v/>
      </c>
      <c r="K160" s="18" t="str">
        <f ca="1">IFERROR(__xludf.DUMMYFUNCTION("""COMPUTED_VALUE"""),"")</f>
        <v/>
      </c>
      <c r="L160" s="19"/>
      <c r="M160" s="19"/>
      <c r="N160" s="19"/>
      <c r="O160" s="19"/>
      <c r="P160" s="19"/>
      <c r="Q160" s="19"/>
      <c r="R160" s="19"/>
      <c r="S160" s="19"/>
      <c r="T160" s="19"/>
      <c r="U160" s="19"/>
      <c r="V160" s="20"/>
      <c r="W160" s="20"/>
      <c r="X160" s="20"/>
      <c r="Y160" s="20"/>
      <c r="Z160" s="21"/>
      <c r="AA160" s="22"/>
      <c r="AB160" s="23"/>
    </row>
    <row r="161" spans="1:28" ht="13.5" customHeight="1" x14ac:dyDescent="0.35">
      <c r="A161" s="24" t="str">
        <f ca="1">IFERROR(__xludf.DUMMYFUNCTION("""COMPUTED_VALUE"""),"")</f>
        <v/>
      </c>
      <c r="B161" s="28" t="str">
        <f ca="1">IFERROR(__xludf.DUMMYFUNCTION("""COMPUTED_VALUE"""),"")</f>
        <v/>
      </c>
      <c r="C161" s="27" t="str">
        <f ca="1">IFERROR(__xludf.DUMMYFUNCTION("""COMPUTED_VALUE"""),"")</f>
        <v/>
      </c>
      <c r="D161" s="27" t="str">
        <f ca="1">IFERROR(__xludf.DUMMYFUNCTION("""COMPUTED_VALUE"""),"")</f>
        <v/>
      </c>
      <c r="E161" s="15" t="str">
        <f ca="1">IFERROR(__xludf.DUMMYFUNCTION("""COMPUTED_VALUE"""),"")</f>
        <v/>
      </c>
      <c r="F161" s="51" t="str">
        <f ca="1">IFERROR(__xludf.DUMMYFUNCTION("""COMPUTED_VALUE"""),"")</f>
        <v/>
      </c>
      <c r="G161" s="16" t="str">
        <f ca="1">IFERROR(__xludf.DUMMYFUNCTION("""COMPUTED_VALUE"""),"")</f>
        <v/>
      </c>
      <c r="H161" s="17" t="str">
        <f ca="1">IFERROR(__xludf.DUMMYFUNCTION("""COMPUTED_VALUE"""),"")</f>
        <v/>
      </c>
      <c r="I161" s="17" t="str">
        <f ca="1">IFERROR(__xludf.DUMMYFUNCTION("""COMPUTED_VALUE"""),"")</f>
        <v/>
      </c>
      <c r="J161" s="17" t="str">
        <f ca="1">IFERROR(__xludf.DUMMYFUNCTION("""COMPUTED_VALUE"""),"")</f>
        <v/>
      </c>
      <c r="K161" s="18" t="str">
        <f ca="1">IFERROR(__xludf.DUMMYFUNCTION("""COMPUTED_VALUE"""),"")</f>
        <v/>
      </c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V161" s="20"/>
      <c r="W161" s="20"/>
      <c r="X161" s="20"/>
      <c r="Y161" s="20"/>
      <c r="Z161" s="21"/>
      <c r="AA161" s="22"/>
      <c r="AB161" s="23"/>
    </row>
    <row r="162" spans="1:28" ht="13.5" customHeight="1" x14ac:dyDescent="0.35">
      <c r="A162" s="24" t="str">
        <f ca="1">IFERROR(__xludf.DUMMYFUNCTION("""COMPUTED_VALUE"""),"")</f>
        <v/>
      </c>
      <c r="B162" s="28" t="str">
        <f ca="1">IFERROR(__xludf.DUMMYFUNCTION("""COMPUTED_VALUE"""),"")</f>
        <v/>
      </c>
      <c r="C162" s="27" t="str">
        <f ca="1">IFERROR(__xludf.DUMMYFUNCTION("""COMPUTED_VALUE"""),"")</f>
        <v/>
      </c>
      <c r="D162" s="27" t="str">
        <f ca="1">IFERROR(__xludf.DUMMYFUNCTION("""COMPUTED_VALUE"""),"")</f>
        <v/>
      </c>
      <c r="E162" s="15" t="str">
        <f ca="1">IFERROR(__xludf.DUMMYFUNCTION("""COMPUTED_VALUE"""),"")</f>
        <v/>
      </c>
      <c r="F162" s="51" t="str">
        <f ca="1">IFERROR(__xludf.DUMMYFUNCTION("""COMPUTED_VALUE"""),"")</f>
        <v/>
      </c>
      <c r="G162" s="16" t="str">
        <f ca="1">IFERROR(__xludf.DUMMYFUNCTION("""COMPUTED_VALUE"""),"")</f>
        <v/>
      </c>
      <c r="H162" s="17" t="str">
        <f ca="1">IFERROR(__xludf.DUMMYFUNCTION("""COMPUTED_VALUE"""),"")</f>
        <v/>
      </c>
      <c r="I162" s="17" t="str">
        <f ca="1">IFERROR(__xludf.DUMMYFUNCTION("""COMPUTED_VALUE"""),"")</f>
        <v/>
      </c>
      <c r="J162" s="17" t="str">
        <f ca="1">IFERROR(__xludf.DUMMYFUNCTION("""COMPUTED_VALUE"""),"")</f>
        <v/>
      </c>
      <c r="K162" s="18" t="str">
        <f ca="1">IFERROR(__xludf.DUMMYFUNCTION("""COMPUTED_VALUE"""),"")</f>
        <v/>
      </c>
      <c r="L162" s="19"/>
      <c r="M162" s="19"/>
      <c r="N162" s="19"/>
      <c r="O162" s="19"/>
      <c r="P162" s="19"/>
      <c r="Q162" s="19"/>
      <c r="R162" s="19"/>
      <c r="S162" s="19"/>
      <c r="T162" s="19"/>
      <c r="U162" s="19"/>
      <c r="V162" s="20"/>
      <c r="W162" s="20"/>
      <c r="X162" s="20"/>
      <c r="Y162" s="20"/>
      <c r="Z162" s="21"/>
      <c r="AA162" s="22"/>
      <c r="AB162" s="23"/>
    </row>
    <row r="163" spans="1:28" ht="13.5" customHeight="1" x14ac:dyDescent="0.35">
      <c r="A163" s="24" t="str">
        <f ca="1">IFERROR(__xludf.DUMMYFUNCTION("""COMPUTED_VALUE"""),"")</f>
        <v/>
      </c>
      <c r="B163" s="28" t="str">
        <f ca="1">IFERROR(__xludf.DUMMYFUNCTION("""COMPUTED_VALUE"""),"")</f>
        <v/>
      </c>
      <c r="C163" s="27" t="str">
        <f ca="1">IFERROR(__xludf.DUMMYFUNCTION("""COMPUTED_VALUE"""),"")</f>
        <v/>
      </c>
      <c r="D163" s="27" t="str">
        <f ca="1">IFERROR(__xludf.DUMMYFUNCTION("""COMPUTED_VALUE"""),"")</f>
        <v/>
      </c>
      <c r="E163" s="15" t="str">
        <f ca="1">IFERROR(__xludf.DUMMYFUNCTION("""COMPUTED_VALUE"""),"")</f>
        <v/>
      </c>
      <c r="F163" s="51" t="str">
        <f ca="1">IFERROR(__xludf.DUMMYFUNCTION("""COMPUTED_VALUE"""),"")</f>
        <v/>
      </c>
      <c r="G163" s="16" t="str">
        <f ca="1">IFERROR(__xludf.DUMMYFUNCTION("""COMPUTED_VALUE"""),"")</f>
        <v/>
      </c>
      <c r="H163" s="17" t="str">
        <f ca="1">IFERROR(__xludf.DUMMYFUNCTION("""COMPUTED_VALUE"""),"")</f>
        <v/>
      </c>
      <c r="I163" s="17" t="str">
        <f ca="1">IFERROR(__xludf.DUMMYFUNCTION("""COMPUTED_VALUE"""),"")</f>
        <v/>
      </c>
      <c r="J163" s="17" t="str">
        <f ca="1">IFERROR(__xludf.DUMMYFUNCTION("""COMPUTED_VALUE"""),"")</f>
        <v/>
      </c>
      <c r="K163" s="18" t="str">
        <f ca="1">IFERROR(__xludf.DUMMYFUNCTION("""COMPUTED_VALUE"""),"")</f>
        <v/>
      </c>
      <c r="L163" s="19"/>
      <c r="M163" s="19"/>
      <c r="N163" s="19"/>
      <c r="O163" s="19"/>
      <c r="P163" s="19"/>
      <c r="Q163" s="19"/>
      <c r="R163" s="19"/>
      <c r="S163" s="19"/>
      <c r="T163" s="19"/>
      <c r="U163" s="19"/>
      <c r="V163" s="20"/>
      <c r="W163" s="20"/>
      <c r="X163" s="20"/>
      <c r="Y163" s="20"/>
      <c r="Z163" s="21"/>
      <c r="AA163" s="22"/>
      <c r="AB163" s="23"/>
    </row>
    <row r="164" spans="1:28" ht="13.5" customHeight="1" x14ac:dyDescent="0.35">
      <c r="A164" s="24" t="str">
        <f ca="1">IFERROR(__xludf.DUMMYFUNCTION("""COMPUTED_VALUE"""),"")</f>
        <v/>
      </c>
      <c r="B164" s="28" t="str">
        <f ca="1">IFERROR(__xludf.DUMMYFUNCTION("""COMPUTED_VALUE"""),"")</f>
        <v/>
      </c>
      <c r="C164" s="27" t="str">
        <f ca="1">IFERROR(__xludf.DUMMYFUNCTION("""COMPUTED_VALUE"""),"")</f>
        <v/>
      </c>
      <c r="D164" s="27" t="str">
        <f ca="1">IFERROR(__xludf.DUMMYFUNCTION("""COMPUTED_VALUE"""),"")</f>
        <v/>
      </c>
      <c r="E164" s="15" t="str">
        <f ca="1">IFERROR(__xludf.DUMMYFUNCTION("""COMPUTED_VALUE"""),"")</f>
        <v/>
      </c>
      <c r="F164" s="51" t="str">
        <f ca="1">IFERROR(__xludf.DUMMYFUNCTION("""COMPUTED_VALUE"""),"")</f>
        <v/>
      </c>
      <c r="G164" s="16" t="str">
        <f ca="1">IFERROR(__xludf.DUMMYFUNCTION("""COMPUTED_VALUE"""),"")</f>
        <v/>
      </c>
      <c r="H164" s="17" t="str">
        <f ca="1">IFERROR(__xludf.DUMMYFUNCTION("""COMPUTED_VALUE"""),"")</f>
        <v/>
      </c>
      <c r="I164" s="17" t="str">
        <f ca="1">IFERROR(__xludf.DUMMYFUNCTION("""COMPUTED_VALUE"""),"")</f>
        <v/>
      </c>
      <c r="J164" s="17" t="str">
        <f ca="1">IFERROR(__xludf.DUMMYFUNCTION("""COMPUTED_VALUE"""),"")</f>
        <v/>
      </c>
      <c r="K164" s="18" t="str">
        <f ca="1">IFERROR(__xludf.DUMMYFUNCTION("""COMPUTED_VALUE"""),"")</f>
        <v/>
      </c>
      <c r="L164" s="19"/>
      <c r="M164" s="19"/>
      <c r="N164" s="19"/>
      <c r="O164" s="19"/>
      <c r="P164" s="19"/>
      <c r="Q164" s="19"/>
      <c r="R164" s="19"/>
      <c r="S164" s="19"/>
      <c r="T164" s="19"/>
      <c r="U164" s="19"/>
      <c r="V164" s="20"/>
      <c r="W164" s="20"/>
      <c r="X164" s="20"/>
      <c r="Y164" s="20"/>
      <c r="Z164" s="21"/>
      <c r="AA164" s="22"/>
      <c r="AB164" s="23"/>
    </row>
    <row r="165" spans="1:28" ht="13.5" customHeight="1" x14ac:dyDescent="0.35">
      <c r="A165" s="24" t="str">
        <f ca="1">IFERROR(__xludf.DUMMYFUNCTION("""COMPUTED_VALUE"""),"")</f>
        <v/>
      </c>
      <c r="B165" s="28" t="str">
        <f ca="1">IFERROR(__xludf.DUMMYFUNCTION("""COMPUTED_VALUE"""),"")</f>
        <v/>
      </c>
      <c r="C165" s="27" t="str">
        <f ca="1">IFERROR(__xludf.DUMMYFUNCTION("""COMPUTED_VALUE"""),"")</f>
        <v/>
      </c>
      <c r="D165" s="27" t="str">
        <f ca="1">IFERROR(__xludf.DUMMYFUNCTION("""COMPUTED_VALUE"""),"")</f>
        <v/>
      </c>
      <c r="E165" s="15" t="str">
        <f ca="1">IFERROR(__xludf.DUMMYFUNCTION("""COMPUTED_VALUE"""),"")</f>
        <v/>
      </c>
      <c r="F165" s="51" t="str">
        <f ca="1">IFERROR(__xludf.DUMMYFUNCTION("""COMPUTED_VALUE"""),"")</f>
        <v/>
      </c>
      <c r="G165" s="16" t="str">
        <f ca="1">IFERROR(__xludf.DUMMYFUNCTION("""COMPUTED_VALUE"""),"")</f>
        <v/>
      </c>
      <c r="H165" s="17" t="str">
        <f ca="1">IFERROR(__xludf.DUMMYFUNCTION("""COMPUTED_VALUE"""),"")</f>
        <v/>
      </c>
      <c r="I165" s="17" t="str">
        <f ca="1">IFERROR(__xludf.DUMMYFUNCTION("""COMPUTED_VALUE"""),"")</f>
        <v/>
      </c>
      <c r="J165" s="17" t="str">
        <f ca="1">IFERROR(__xludf.DUMMYFUNCTION("""COMPUTED_VALUE"""),"")</f>
        <v/>
      </c>
      <c r="K165" s="18" t="str">
        <f ca="1">IFERROR(__xludf.DUMMYFUNCTION("""COMPUTED_VALUE"""),"")</f>
        <v/>
      </c>
      <c r="L165" s="19"/>
      <c r="M165" s="19"/>
      <c r="N165" s="19"/>
      <c r="O165" s="19"/>
      <c r="P165" s="19"/>
      <c r="Q165" s="19"/>
      <c r="R165" s="19"/>
      <c r="S165" s="19"/>
      <c r="T165" s="19"/>
      <c r="U165" s="19"/>
      <c r="V165" s="20"/>
      <c r="W165" s="20"/>
      <c r="X165" s="20"/>
      <c r="Y165" s="20"/>
      <c r="Z165" s="21"/>
      <c r="AA165" s="22"/>
      <c r="AB165" s="23"/>
    </row>
    <row r="166" spans="1:28" ht="13.5" customHeight="1" x14ac:dyDescent="0.35">
      <c r="A166" s="24" t="str">
        <f ca="1">IFERROR(__xludf.DUMMYFUNCTION("""COMPUTED_VALUE"""),"")</f>
        <v/>
      </c>
      <c r="B166" s="28" t="str">
        <f ca="1">IFERROR(__xludf.DUMMYFUNCTION("""COMPUTED_VALUE"""),"")</f>
        <v/>
      </c>
      <c r="C166" s="27" t="str">
        <f ca="1">IFERROR(__xludf.DUMMYFUNCTION("""COMPUTED_VALUE"""),"")</f>
        <v/>
      </c>
      <c r="D166" s="27" t="str">
        <f ca="1">IFERROR(__xludf.DUMMYFUNCTION("""COMPUTED_VALUE"""),"")</f>
        <v/>
      </c>
      <c r="E166" s="15" t="str">
        <f ca="1">IFERROR(__xludf.DUMMYFUNCTION("""COMPUTED_VALUE"""),"")</f>
        <v/>
      </c>
      <c r="F166" s="51" t="str">
        <f ca="1">IFERROR(__xludf.DUMMYFUNCTION("""COMPUTED_VALUE"""),"")</f>
        <v/>
      </c>
      <c r="G166" s="16" t="str">
        <f ca="1">IFERROR(__xludf.DUMMYFUNCTION("""COMPUTED_VALUE"""),"")</f>
        <v/>
      </c>
      <c r="H166" s="17" t="str">
        <f ca="1">IFERROR(__xludf.DUMMYFUNCTION("""COMPUTED_VALUE"""),"")</f>
        <v/>
      </c>
      <c r="I166" s="17" t="str">
        <f ca="1">IFERROR(__xludf.DUMMYFUNCTION("""COMPUTED_VALUE"""),"")</f>
        <v/>
      </c>
      <c r="J166" s="17" t="str">
        <f ca="1">IFERROR(__xludf.DUMMYFUNCTION("""COMPUTED_VALUE"""),"")</f>
        <v/>
      </c>
      <c r="K166" s="18" t="str">
        <f ca="1">IFERROR(__xludf.DUMMYFUNCTION("""COMPUTED_VALUE"""),"")</f>
        <v/>
      </c>
      <c r="L166" s="19"/>
      <c r="M166" s="19"/>
      <c r="N166" s="19"/>
      <c r="O166" s="19"/>
      <c r="P166" s="19"/>
      <c r="Q166" s="19"/>
      <c r="R166" s="19"/>
      <c r="S166" s="19"/>
      <c r="T166" s="19"/>
      <c r="U166" s="19"/>
      <c r="V166" s="20"/>
      <c r="W166" s="20"/>
      <c r="X166" s="20"/>
      <c r="Y166" s="20"/>
      <c r="Z166" s="21"/>
      <c r="AA166" s="22"/>
      <c r="AB166" s="23"/>
    </row>
    <row r="167" spans="1:28" ht="13.5" customHeight="1" x14ac:dyDescent="0.35">
      <c r="A167" s="24" t="str">
        <f ca="1">IFERROR(__xludf.DUMMYFUNCTION("""COMPUTED_VALUE"""),"")</f>
        <v/>
      </c>
      <c r="B167" s="28" t="str">
        <f ca="1">IFERROR(__xludf.DUMMYFUNCTION("""COMPUTED_VALUE"""),"")</f>
        <v/>
      </c>
      <c r="C167" s="27" t="str">
        <f ca="1">IFERROR(__xludf.DUMMYFUNCTION("""COMPUTED_VALUE"""),"")</f>
        <v/>
      </c>
      <c r="D167" s="27" t="str">
        <f ca="1">IFERROR(__xludf.DUMMYFUNCTION("""COMPUTED_VALUE"""),"")</f>
        <v/>
      </c>
      <c r="E167" s="15" t="str">
        <f ca="1">IFERROR(__xludf.DUMMYFUNCTION("""COMPUTED_VALUE"""),"")</f>
        <v/>
      </c>
      <c r="F167" s="51" t="str">
        <f ca="1">IFERROR(__xludf.DUMMYFUNCTION("""COMPUTED_VALUE"""),"")</f>
        <v/>
      </c>
      <c r="G167" s="16" t="str">
        <f ca="1">IFERROR(__xludf.DUMMYFUNCTION("""COMPUTED_VALUE"""),"")</f>
        <v/>
      </c>
      <c r="H167" s="17" t="str">
        <f ca="1">IFERROR(__xludf.DUMMYFUNCTION("""COMPUTED_VALUE"""),"")</f>
        <v/>
      </c>
      <c r="I167" s="17" t="str">
        <f ca="1">IFERROR(__xludf.DUMMYFUNCTION("""COMPUTED_VALUE"""),"")</f>
        <v/>
      </c>
      <c r="J167" s="17" t="str">
        <f ca="1">IFERROR(__xludf.DUMMYFUNCTION("""COMPUTED_VALUE"""),"")</f>
        <v/>
      </c>
      <c r="K167" s="18" t="str">
        <f ca="1">IFERROR(__xludf.DUMMYFUNCTION("""COMPUTED_VALUE"""),"")</f>
        <v/>
      </c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20"/>
      <c r="W167" s="20"/>
      <c r="X167" s="20"/>
      <c r="Y167" s="20"/>
      <c r="Z167" s="21"/>
      <c r="AA167" s="22"/>
      <c r="AB167" s="23"/>
    </row>
    <row r="168" spans="1:28" ht="13.5" customHeight="1" x14ac:dyDescent="0.35">
      <c r="A168" s="24" t="str">
        <f ca="1">IFERROR(__xludf.DUMMYFUNCTION("""COMPUTED_VALUE"""),"")</f>
        <v/>
      </c>
      <c r="B168" s="28" t="str">
        <f ca="1">IFERROR(__xludf.DUMMYFUNCTION("""COMPUTED_VALUE"""),"")</f>
        <v/>
      </c>
      <c r="C168" s="27" t="str">
        <f ca="1">IFERROR(__xludf.DUMMYFUNCTION("""COMPUTED_VALUE"""),"")</f>
        <v/>
      </c>
      <c r="D168" s="27" t="str">
        <f ca="1">IFERROR(__xludf.DUMMYFUNCTION("""COMPUTED_VALUE"""),"")</f>
        <v/>
      </c>
      <c r="E168" s="15" t="str">
        <f ca="1">IFERROR(__xludf.DUMMYFUNCTION("""COMPUTED_VALUE"""),"")</f>
        <v/>
      </c>
      <c r="F168" s="51" t="str">
        <f ca="1">IFERROR(__xludf.DUMMYFUNCTION("""COMPUTED_VALUE"""),"")</f>
        <v/>
      </c>
      <c r="G168" s="16" t="str">
        <f ca="1">IFERROR(__xludf.DUMMYFUNCTION("""COMPUTED_VALUE"""),"")</f>
        <v/>
      </c>
      <c r="H168" s="17" t="str">
        <f ca="1">IFERROR(__xludf.DUMMYFUNCTION("""COMPUTED_VALUE"""),"")</f>
        <v/>
      </c>
      <c r="I168" s="17" t="str">
        <f ca="1">IFERROR(__xludf.DUMMYFUNCTION("""COMPUTED_VALUE"""),"")</f>
        <v/>
      </c>
      <c r="J168" s="17" t="str">
        <f ca="1">IFERROR(__xludf.DUMMYFUNCTION("""COMPUTED_VALUE"""),"")</f>
        <v/>
      </c>
      <c r="K168" s="18" t="str">
        <f ca="1">IFERROR(__xludf.DUMMYFUNCTION("""COMPUTED_VALUE"""),"")</f>
        <v/>
      </c>
      <c r="L168" s="19"/>
      <c r="M168" s="19"/>
      <c r="N168" s="19"/>
      <c r="O168" s="19"/>
      <c r="P168" s="19"/>
      <c r="Q168" s="19"/>
      <c r="R168" s="19"/>
      <c r="S168" s="19"/>
      <c r="T168" s="19"/>
      <c r="U168" s="19"/>
      <c r="V168" s="20"/>
      <c r="W168" s="20"/>
      <c r="X168" s="20"/>
      <c r="Y168" s="20"/>
      <c r="Z168" s="21"/>
      <c r="AA168" s="22"/>
      <c r="AB168" s="23"/>
    </row>
    <row r="169" spans="1:28" ht="13.5" customHeight="1" x14ac:dyDescent="0.35">
      <c r="A169" s="24" t="str">
        <f ca="1">IFERROR(__xludf.DUMMYFUNCTION("""COMPUTED_VALUE"""),"")</f>
        <v/>
      </c>
      <c r="B169" s="28" t="str">
        <f ca="1">IFERROR(__xludf.DUMMYFUNCTION("""COMPUTED_VALUE"""),"")</f>
        <v/>
      </c>
      <c r="C169" s="27" t="str">
        <f ca="1">IFERROR(__xludf.DUMMYFUNCTION("""COMPUTED_VALUE"""),"")</f>
        <v/>
      </c>
      <c r="D169" s="27" t="str">
        <f ca="1">IFERROR(__xludf.DUMMYFUNCTION("""COMPUTED_VALUE"""),"")</f>
        <v/>
      </c>
      <c r="E169" s="15" t="str">
        <f ca="1">IFERROR(__xludf.DUMMYFUNCTION("""COMPUTED_VALUE"""),"")</f>
        <v/>
      </c>
      <c r="F169" s="51" t="str">
        <f ca="1">IFERROR(__xludf.DUMMYFUNCTION("""COMPUTED_VALUE"""),"")</f>
        <v/>
      </c>
      <c r="G169" s="16" t="str">
        <f ca="1">IFERROR(__xludf.DUMMYFUNCTION("""COMPUTED_VALUE"""),"")</f>
        <v/>
      </c>
      <c r="H169" s="17" t="str">
        <f ca="1">IFERROR(__xludf.DUMMYFUNCTION("""COMPUTED_VALUE"""),"")</f>
        <v/>
      </c>
      <c r="I169" s="17" t="str">
        <f ca="1">IFERROR(__xludf.DUMMYFUNCTION("""COMPUTED_VALUE"""),"")</f>
        <v/>
      </c>
      <c r="J169" s="17" t="str">
        <f ca="1">IFERROR(__xludf.DUMMYFUNCTION("""COMPUTED_VALUE"""),"")</f>
        <v/>
      </c>
      <c r="K169" s="18" t="str">
        <f ca="1">IFERROR(__xludf.DUMMYFUNCTION("""COMPUTED_VALUE"""),"")</f>
        <v/>
      </c>
      <c r="L169" s="19"/>
      <c r="M169" s="19"/>
      <c r="N169" s="19"/>
      <c r="O169" s="19"/>
      <c r="P169" s="19"/>
      <c r="Q169" s="19"/>
      <c r="R169" s="19"/>
      <c r="S169" s="19"/>
      <c r="T169" s="19"/>
      <c r="U169" s="19"/>
      <c r="V169" s="20"/>
      <c r="W169" s="20"/>
      <c r="X169" s="20"/>
      <c r="Y169" s="20"/>
      <c r="Z169" s="21"/>
      <c r="AA169" s="22"/>
      <c r="AB169" s="23"/>
    </row>
    <row r="170" spans="1:28" ht="13.5" customHeight="1" x14ac:dyDescent="0.35">
      <c r="A170" s="24" t="str">
        <f ca="1">IFERROR(__xludf.DUMMYFUNCTION("""COMPUTED_VALUE"""),"")</f>
        <v/>
      </c>
      <c r="B170" s="28" t="str">
        <f ca="1">IFERROR(__xludf.DUMMYFUNCTION("""COMPUTED_VALUE"""),"")</f>
        <v/>
      </c>
      <c r="C170" s="27" t="str">
        <f ca="1">IFERROR(__xludf.DUMMYFUNCTION("""COMPUTED_VALUE"""),"")</f>
        <v/>
      </c>
      <c r="D170" s="27" t="str">
        <f ca="1">IFERROR(__xludf.DUMMYFUNCTION("""COMPUTED_VALUE"""),"")</f>
        <v/>
      </c>
      <c r="E170" s="15" t="str">
        <f ca="1">IFERROR(__xludf.DUMMYFUNCTION("""COMPUTED_VALUE"""),"")</f>
        <v/>
      </c>
      <c r="F170" s="51" t="str">
        <f ca="1">IFERROR(__xludf.DUMMYFUNCTION("""COMPUTED_VALUE"""),"")</f>
        <v/>
      </c>
      <c r="G170" s="16" t="str">
        <f ca="1">IFERROR(__xludf.DUMMYFUNCTION("""COMPUTED_VALUE"""),"")</f>
        <v/>
      </c>
      <c r="H170" s="17" t="str">
        <f ca="1">IFERROR(__xludf.DUMMYFUNCTION("""COMPUTED_VALUE"""),"")</f>
        <v/>
      </c>
      <c r="I170" s="17" t="str">
        <f ca="1">IFERROR(__xludf.DUMMYFUNCTION("""COMPUTED_VALUE"""),"")</f>
        <v/>
      </c>
      <c r="J170" s="17" t="str">
        <f ca="1">IFERROR(__xludf.DUMMYFUNCTION("""COMPUTED_VALUE"""),"")</f>
        <v/>
      </c>
      <c r="K170" s="18" t="str">
        <f ca="1">IFERROR(__xludf.DUMMYFUNCTION("""COMPUTED_VALUE"""),"")</f>
        <v/>
      </c>
      <c r="L170" s="19"/>
      <c r="M170" s="19"/>
      <c r="N170" s="19"/>
      <c r="O170" s="19"/>
      <c r="P170" s="19"/>
      <c r="Q170" s="19"/>
      <c r="R170" s="19"/>
      <c r="S170" s="19"/>
      <c r="T170" s="19"/>
      <c r="U170" s="19"/>
      <c r="V170" s="20"/>
      <c r="W170" s="20"/>
      <c r="X170" s="20"/>
      <c r="Y170" s="20"/>
      <c r="Z170" s="21"/>
      <c r="AA170" s="22"/>
      <c r="AB170" s="22"/>
    </row>
    <row r="171" spans="1:28" ht="13.5" customHeight="1" x14ac:dyDescent="0.35">
      <c r="A171" s="24" t="str">
        <f ca="1">IFERROR(__xludf.DUMMYFUNCTION("""COMPUTED_VALUE"""),"")</f>
        <v/>
      </c>
      <c r="B171" s="28" t="str">
        <f ca="1">IFERROR(__xludf.DUMMYFUNCTION("""COMPUTED_VALUE"""),"")</f>
        <v/>
      </c>
      <c r="C171" s="27" t="str">
        <f ca="1">IFERROR(__xludf.DUMMYFUNCTION("""COMPUTED_VALUE"""),"")</f>
        <v/>
      </c>
      <c r="D171" s="27" t="str">
        <f ca="1">IFERROR(__xludf.DUMMYFUNCTION("""COMPUTED_VALUE"""),"")</f>
        <v/>
      </c>
      <c r="E171" s="15" t="str">
        <f ca="1">IFERROR(__xludf.DUMMYFUNCTION("""COMPUTED_VALUE"""),"")</f>
        <v/>
      </c>
      <c r="F171" s="51" t="str">
        <f ca="1">IFERROR(__xludf.DUMMYFUNCTION("""COMPUTED_VALUE"""),"")</f>
        <v/>
      </c>
      <c r="G171" s="16" t="str">
        <f ca="1">IFERROR(__xludf.DUMMYFUNCTION("""COMPUTED_VALUE"""),"")</f>
        <v/>
      </c>
      <c r="H171" s="17" t="str">
        <f ca="1">IFERROR(__xludf.DUMMYFUNCTION("""COMPUTED_VALUE"""),"")</f>
        <v/>
      </c>
      <c r="I171" s="17" t="str">
        <f ca="1">IFERROR(__xludf.DUMMYFUNCTION("""COMPUTED_VALUE"""),"")</f>
        <v/>
      </c>
      <c r="J171" s="17" t="str">
        <f ca="1">IFERROR(__xludf.DUMMYFUNCTION("""COMPUTED_VALUE"""),"")</f>
        <v/>
      </c>
      <c r="K171" s="18" t="str">
        <f ca="1">IFERROR(__xludf.DUMMYFUNCTION("""COMPUTED_VALUE"""),"")</f>
        <v/>
      </c>
      <c r="L171" s="19"/>
      <c r="M171" s="19"/>
      <c r="N171" s="19"/>
      <c r="O171" s="19"/>
      <c r="P171" s="19"/>
      <c r="Q171" s="19"/>
      <c r="R171" s="19"/>
      <c r="S171" s="19"/>
      <c r="T171" s="19"/>
      <c r="U171" s="19"/>
      <c r="V171" s="20"/>
      <c r="W171" s="20"/>
      <c r="X171" s="20"/>
      <c r="Y171" s="20"/>
      <c r="Z171" s="21"/>
      <c r="AA171" s="22"/>
      <c r="AB171" s="22"/>
    </row>
    <row r="172" spans="1:28" ht="13.5" customHeight="1" x14ac:dyDescent="0.35">
      <c r="A172" s="24" t="str">
        <f ca="1">IFERROR(__xludf.DUMMYFUNCTION("""COMPUTED_VALUE"""),"")</f>
        <v/>
      </c>
      <c r="B172" s="28" t="str">
        <f ca="1">IFERROR(__xludf.DUMMYFUNCTION("""COMPUTED_VALUE"""),"")</f>
        <v/>
      </c>
      <c r="C172" s="27" t="str">
        <f ca="1">IFERROR(__xludf.DUMMYFUNCTION("""COMPUTED_VALUE"""),"")</f>
        <v/>
      </c>
      <c r="D172" s="27" t="str">
        <f ca="1">IFERROR(__xludf.DUMMYFUNCTION("""COMPUTED_VALUE"""),"")</f>
        <v/>
      </c>
      <c r="E172" s="15" t="str">
        <f ca="1">IFERROR(__xludf.DUMMYFUNCTION("""COMPUTED_VALUE"""),"")</f>
        <v/>
      </c>
      <c r="F172" s="51" t="str">
        <f ca="1">IFERROR(__xludf.DUMMYFUNCTION("""COMPUTED_VALUE"""),"")</f>
        <v/>
      </c>
      <c r="G172" s="16" t="str">
        <f ca="1">IFERROR(__xludf.DUMMYFUNCTION("""COMPUTED_VALUE"""),"")</f>
        <v/>
      </c>
      <c r="H172" s="17" t="str">
        <f ca="1">IFERROR(__xludf.DUMMYFUNCTION("""COMPUTED_VALUE"""),"")</f>
        <v/>
      </c>
      <c r="I172" s="17" t="str">
        <f ca="1">IFERROR(__xludf.DUMMYFUNCTION("""COMPUTED_VALUE"""),"")</f>
        <v/>
      </c>
      <c r="J172" s="17" t="str">
        <f ca="1">IFERROR(__xludf.DUMMYFUNCTION("""COMPUTED_VALUE"""),"")</f>
        <v/>
      </c>
      <c r="K172" s="18" t="str">
        <f ca="1">IFERROR(__xludf.DUMMYFUNCTION("""COMPUTED_VALUE"""),"")</f>
        <v/>
      </c>
      <c r="L172" s="19"/>
      <c r="M172" s="19"/>
      <c r="N172" s="19"/>
      <c r="O172" s="19"/>
      <c r="P172" s="19"/>
      <c r="Q172" s="19"/>
      <c r="R172" s="19"/>
      <c r="S172" s="19"/>
      <c r="T172" s="19"/>
      <c r="U172" s="19"/>
      <c r="V172" s="20"/>
      <c r="W172" s="20"/>
      <c r="X172" s="20"/>
      <c r="Y172" s="20"/>
      <c r="Z172" s="21"/>
      <c r="AA172" s="22"/>
      <c r="AB172" s="22"/>
    </row>
    <row r="173" spans="1:28" ht="13.5" customHeight="1" x14ac:dyDescent="0.35">
      <c r="A173" s="24" t="str">
        <f ca="1">IFERROR(__xludf.DUMMYFUNCTION("""COMPUTED_VALUE"""),"")</f>
        <v/>
      </c>
      <c r="B173" s="28" t="str">
        <f ca="1">IFERROR(__xludf.DUMMYFUNCTION("""COMPUTED_VALUE"""),"")</f>
        <v/>
      </c>
      <c r="C173" s="27" t="str">
        <f ca="1">IFERROR(__xludf.DUMMYFUNCTION("""COMPUTED_VALUE"""),"")</f>
        <v/>
      </c>
      <c r="D173" s="27" t="str">
        <f ca="1">IFERROR(__xludf.DUMMYFUNCTION("""COMPUTED_VALUE"""),"")</f>
        <v/>
      </c>
      <c r="E173" s="15" t="str">
        <f ca="1">IFERROR(__xludf.DUMMYFUNCTION("""COMPUTED_VALUE"""),"")</f>
        <v/>
      </c>
      <c r="F173" s="51" t="str">
        <f ca="1">IFERROR(__xludf.DUMMYFUNCTION("""COMPUTED_VALUE"""),"")</f>
        <v/>
      </c>
      <c r="G173" s="16" t="str">
        <f ca="1">IFERROR(__xludf.DUMMYFUNCTION("""COMPUTED_VALUE"""),"")</f>
        <v/>
      </c>
      <c r="H173" s="17" t="str">
        <f ca="1">IFERROR(__xludf.DUMMYFUNCTION("""COMPUTED_VALUE"""),"")</f>
        <v/>
      </c>
      <c r="I173" s="17" t="str">
        <f ca="1">IFERROR(__xludf.DUMMYFUNCTION("""COMPUTED_VALUE"""),"")</f>
        <v/>
      </c>
      <c r="J173" s="17" t="str">
        <f ca="1">IFERROR(__xludf.DUMMYFUNCTION("""COMPUTED_VALUE"""),"")</f>
        <v/>
      </c>
      <c r="K173" s="18" t="str">
        <f ca="1">IFERROR(__xludf.DUMMYFUNCTION("""COMPUTED_VALUE"""),"")</f>
        <v/>
      </c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20"/>
      <c r="W173" s="20"/>
      <c r="X173" s="20"/>
      <c r="Y173" s="20"/>
      <c r="Z173" s="21"/>
      <c r="AA173" s="22"/>
      <c r="AB173" s="22"/>
    </row>
    <row r="174" spans="1:28" ht="13.5" customHeight="1" x14ac:dyDescent="0.35">
      <c r="A174" s="24" t="str">
        <f ca="1">IFERROR(__xludf.DUMMYFUNCTION("""COMPUTED_VALUE"""),"")</f>
        <v/>
      </c>
      <c r="B174" s="28" t="str">
        <f ca="1">IFERROR(__xludf.DUMMYFUNCTION("""COMPUTED_VALUE"""),"")</f>
        <v/>
      </c>
      <c r="C174" s="27" t="str">
        <f ca="1">IFERROR(__xludf.DUMMYFUNCTION("""COMPUTED_VALUE"""),"")</f>
        <v/>
      </c>
      <c r="D174" s="27" t="str">
        <f ca="1">IFERROR(__xludf.DUMMYFUNCTION("""COMPUTED_VALUE"""),"")</f>
        <v/>
      </c>
      <c r="E174" s="15" t="str">
        <f ca="1">IFERROR(__xludf.DUMMYFUNCTION("""COMPUTED_VALUE"""),"")</f>
        <v/>
      </c>
      <c r="F174" s="51" t="str">
        <f ca="1">IFERROR(__xludf.DUMMYFUNCTION("""COMPUTED_VALUE"""),"")</f>
        <v/>
      </c>
      <c r="G174" s="16" t="str">
        <f ca="1">IFERROR(__xludf.DUMMYFUNCTION("""COMPUTED_VALUE"""),"")</f>
        <v/>
      </c>
      <c r="H174" s="17" t="str">
        <f ca="1">IFERROR(__xludf.DUMMYFUNCTION("""COMPUTED_VALUE"""),"")</f>
        <v/>
      </c>
      <c r="I174" s="17" t="str">
        <f ca="1">IFERROR(__xludf.DUMMYFUNCTION("""COMPUTED_VALUE"""),"")</f>
        <v/>
      </c>
      <c r="J174" s="17" t="str">
        <f ca="1">IFERROR(__xludf.DUMMYFUNCTION("""COMPUTED_VALUE"""),"")</f>
        <v/>
      </c>
      <c r="K174" s="18" t="str">
        <f ca="1">IFERROR(__xludf.DUMMYFUNCTION("""COMPUTED_VALUE"""),"")</f>
        <v/>
      </c>
      <c r="L174" s="19"/>
      <c r="M174" s="19"/>
      <c r="N174" s="19"/>
      <c r="O174" s="19"/>
      <c r="P174" s="19"/>
      <c r="Q174" s="19"/>
      <c r="R174" s="19"/>
      <c r="S174" s="19"/>
      <c r="T174" s="19"/>
      <c r="U174" s="19"/>
      <c r="V174" s="20"/>
      <c r="W174" s="20"/>
      <c r="X174" s="20"/>
      <c r="Y174" s="20"/>
      <c r="Z174" s="21"/>
      <c r="AA174" s="22"/>
      <c r="AB174" s="22"/>
    </row>
    <row r="175" spans="1:28" ht="13.5" customHeight="1" x14ac:dyDescent="0.35">
      <c r="A175" s="24" t="str">
        <f ca="1">IFERROR(__xludf.DUMMYFUNCTION("""COMPUTED_VALUE"""),"")</f>
        <v/>
      </c>
      <c r="B175" s="28" t="str">
        <f ca="1">IFERROR(__xludf.DUMMYFUNCTION("""COMPUTED_VALUE"""),"")</f>
        <v/>
      </c>
      <c r="C175" s="27" t="str">
        <f ca="1">IFERROR(__xludf.DUMMYFUNCTION("""COMPUTED_VALUE"""),"")</f>
        <v/>
      </c>
      <c r="D175" s="27" t="str">
        <f ca="1">IFERROR(__xludf.DUMMYFUNCTION("""COMPUTED_VALUE"""),"")</f>
        <v/>
      </c>
      <c r="E175" s="15" t="str">
        <f ca="1">IFERROR(__xludf.DUMMYFUNCTION("""COMPUTED_VALUE"""),"")</f>
        <v/>
      </c>
      <c r="F175" s="51" t="str">
        <f ca="1">IFERROR(__xludf.DUMMYFUNCTION("""COMPUTED_VALUE"""),"")</f>
        <v/>
      </c>
      <c r="G175" s="16" t="str">
        <f ca="1">IFERROR(__xludf.DUMMYFUNCTION("""COMPUTED_VALUE"""),"")</f>
        <v/>
      </c>
      <c r="H175" s="17" t="str">
        <f ca="1">IFERROR(__xludf.DUMMYFUNCTION("""COMPUTED_VALUE"""),"")</f>
        <v/>
      </c>
      <c r="I175" s="17" t="str">
        <f ca="1">IFERROR(__xludf.DUMMYFUNCTION("""COMPUTED_VALUE"""),"")</f>
        <v/>
      </c>
      <c r="J175" s="17" t="str">
        <f ca="1">IFERROR(__xludf.DUMMYFUNCTION("""COMPUTED_VALUE"""),"")</f>
        <v/>
      </c>
      <c r="K175" s="18" t="str">
        <f ca="1">IFERROR(__xludf.DUMMYFUNCTION("""COMPUTED_VALUE"""),"")</f>
        <v/>
      </c>
      <c r="L175" s="19"/>
      <c r="M175" s="19"/>
      <c r="N175" s="19"/>
      <c r="O175" s="19"/>
      <c r="P175" s="19"/>
      <c r="Q175" s="19"/>
      <c r="R175" s="19"/>
      <c r="S175" s="19"/>
      <c r="T175" s="19"/>
      <c r="U175" s="19"/>
      <c r="V175" s="20"/>
      <c r="W175" s="20"/>
      <c r="X175" s="20"/>
      <c r="Y175" s="20"/>
      <c r="Z175" s="21"/>
      <c r="AA175" s="22"/>
      <c r="AB175" s="22"/>
    </row>
    <row r="176" spans="1:28" ht="13.5" customHeight="1" x14ac:dyDescent="0.35">
      <c r="A176" s="24" t="str">
        <f ca="1">IFERROR(__xludf.DUMMYFUNCTION("""COMPUTED_VALUE"""),"")</f>
        <v/>
      </c>
      <c r="B176" s="28" t="str">
        <f ca="1">IFERROR(__xludf.DUMMYFUNCTION("""COMPUTED_VALUE"""),"")</f>
        <v/>
      </c>
      <c r="C176" s="27" t="str">
        <f ca="1">IFERROR(__xludf.DUMMYFUNCTION("""COMPUTED_VALUE"""),"")</f>
        <v/>
      </c>
      <c r="D176" s="27" t="str">
        <f ca="1">IFERROR(__xludf.DUMMYFUNCTION("""COMPUTED_VALUE"""),"")</f>
        <v/>
      </c>
      <c r="E176" s="15" t="str">
        <f ca="1">IFERROR(__xludf.DUMMYFUNCTION("""COMPUTED_VALUE"""),"")</f>
        <v/>
      </c>
      <c r="F176" s="51" t="str">
        <f ca="1">IFERROR(__xludf.DUMMYFUNCTION("""COMPUTED_VALUE"""),"")</f>
        <v/>
      </c>
      <c r="G176" s="16" t="str">
        <f ca="1">IFERROR(__xludf.DUMMYFUNCTION("""COMPUTED_VALUE"""),"")</f>
        <v/>
      </c>
      <c r="H176" s="17" t="str">
        <f ca="1">IFERROR(__xludf.DUMMYFUNCTION("""COMPUTED_VALUE"""),"")</f>
        <v/>
      </c>
      <c r="I176" s="17" t="str">
        <f ca="1">IFERROR(__xludf.DUMMYFUNCTION("""COMPUTED_VALUE"""),"")</f>
        <v/>
      </c>
      <c r="J176" s="17" t="str">
        <f ca="1">IFERROR(__xludf.DUMMYFUNCTION("""COMPUTED_VALUE"""),"")</f>
        <v/>
      </c>
      <c r="K176" s="18" t="str">
        <f ca="1">IFERROR(__xludf.DUMMYFUNCTION("""COMPUTED_VALUE"""),"")</f>
        <v/>
      </c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V176" s="20"/>
      <c r="W176" s="20"/>
      <c r="X176" s="20"/>
      <c r="Y176" s="20"/>
      <c r="Z176" s="21"/>
      <c r="AA176" s="22"/>
      <c r="AB176" s="22"/>
    </row>
    <row r="177" spans="1:28" ht="13.5" customHeight="1" x14ac:dyDescent="0.35">
      <c r="A177" s="24" t="str">
        <f ca="1">IFERROR(__xludf.DUMMYFUNCTION("""COMPUTED_VALUE"""),"")</f>
        <v/>
      </c>
      <c r="B177" s="28" t="str">
        <f ca="1">IFERROR(__xludf.DUMMYFUNCTION("""COMPUTED_VALUE"""),"")</f>
        <v/>
      </c>
      <c r="C177" s="27" t="str">
        <f ca="1">IFERROR(__xludf.DUMMYFUNCTION("""COMPUTED_VALUE"""),"")</f>
        <v/>
      </c>
      <c r="D177" s="27" t="str">
        <f ca="1">IFERROR(__xludf.DUMMYFUNCTION("""COMPUTED_VALUE"""),"")</f>
        <v/>
      </c>
      <c r="E177" s="15" t="str">
        <f ca="1">IFERROR(__xludf.DUMMYFUNCTION("""COMPUTED_VALUE"""),"")</f>
        <v/>
      </c>
      <c r="F177" s="51" t="str">
        <f ca="1">IFERROR(__xludf.DUMMYFUNCTION("""COMPUTED_VALUE"""),"")</f>
        <v/>
      </c>
      <c r="G177" s="16" t="str">
        <f ca="1">IFERROR(__xludf.DUMMYFUNCTION("""COMPUTED_VALUE"""),"")</f>
        <v/>
      </c>
      <c r="H177" s="17" t="str">
        <f ca="1">IFERROR(__xludf.DUMMYFUNCTION("""COMPUTED_VALUE"""),"")</f>
        <v/>
      </c>
      <c r="I177" s="17" t="str">
        <f ca="1">IFERROR(__xludf.DUMMYFUNCTION("""COMPUTED_VALUE"""),"")</f>
        <v/>
      </c>
      <c r="J177" s="17" t="str">
        <f ca="1">IFERROR(__xludf.DUMMYFUNCTION("""COMPUTED_VALUE"""),"")</f>
        <v/>
      </c>
      <c r="K177" s="18" t="str">
        <f ca="1">IFERROR(__xludf.DUMMYFUNCTION("""COMPUTED_VALUE"""),"")</f>
        <v/>
      </c>
      <c r="L177" s="19"/>
      <c r="M177" s="19"/>
      <c r="N177" s="19"/>
      <c r="O177" s="19"/>
      <c r="P177" s="19"/>
      <c r="Q177" s="19"/>
      <c r="R177" s="19"/>
      <c r="S177" s="19"/>
      <c r="T177" s="19"/>
      <c r="U177" s="19"/>
      <c r="V177" s="20"/>
      <c r="W177" s="20"/>
      <c r="X177" s="20"/>
      <c r="Y177" s="20"/>
      <c r="Z177" s="21"/>
      <c r="AA177" s="22"/>
      <c r="AB177" s="22"/>
    </row>
    <row r="178" spans="1:28" ht="13.5" customHeight="1" x14ac:dyDescent="0.35">
      <c r="A178" s="24" t="str">
        <f ca="1">IFERROR(__xludf.DUMMYFUNCTION("""COMPUTED_VALUE"""),"")</f>
        <v/>
      </c>
      <c r="B178" s="28" t="str">
        <f ca="1">IFERROR(__xludf.DUMMYFUNCTION("""COMPUTED_VALUE"""),"")</f>
        <v/>
      </c>
      <c r="C178" s="27" t="str">
        <f ca="1">IFERROR(__xludf.DUMMYFUNCTION("""COMPUTED_VALUE"""),"")</f>
        <v/>
      </c>
      <c r="D178" s="27" t="str">
        <f ca="1">IFERROR(__xludf.DUMMYFUNCTION("""COMPUTED_VALUE"""),"")</f>
        <v/>
      </c>
      <c r="E178" s="15" t="str">
        <f ca="1">IFERROR(__xludf.DUMMYFUNCTION("""COMPUTED_VALUE"""),"")</f>
        <v/>
      </c>
      <c r="F178" s="51" t="str">
        <f ca="1">IFERROR(__xludf.DUMMYFUNCTION("""COMPUTED_VALUE"""),"")</f>
        <v/>
      </c>
      <c r="G178" s="16" t="str">
        <f ca="1">IFERROR(__xludf.DUMMYFUNCTION("""COMPUTED_VALUE"""),"")</f>
        <v/>
      </c>
      <c r="H178" s="17" t="str">
        <f ca="1">IFERROR(__xludf.DUMMYFUNCTION("""COMPUTED_VALUE"""),"")</f>
        <v/>
      </c>
      <c r="I178" s="17" t="str">
        <f ca="1">IFERROR(__xludf.DUMMYFUNCTION("""COMPUTED_VALUE"""),"")</f>
        <v/>
      </c>
      <c r="J178" s="17" t="str">
        <f ca="1">IFERROR(__xludf.DUMMYFUNCTION("""COMPUTED_VALUE"""),"")</f>
        <v/>
      </c>
      <c r="K178" s="18" t="str">
        <f ca="1">IFERROR(__xludf.DUMMYFUNCTION("""COMPUTED_VALUE"""),"")</f>
        <v/>
      </c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V178" s="20"/>
      <c r="W178" s="20"/>
      <c r="X178" s="20"/>
      <c r="Y178" s="20"/>
      <c r="Z178" s="21"/>
      <c r="AA178" s="22"/>
      <c r="AB178" s="22"/>
    </row>
    <row r="179" spans="1:28" ht="13.5" customHeight="1" x14ac:dyDescent="0.35">
      <c r="A179" s="24" t="str">
        <f ca="1">IFERROR(__xludf.DUMMYFUNCTION("""COMPUTED_VALUE"""),"")</f>
        <v/>
      </c>
      <c r="B179" s="28" t="str">
        <f ca="1">IFERROR(__xludf.DUMMYFUNCTION("""COMPUTED_VALUE"""),"")</f>
        <v/>
      </c>
      <c r="C179" s="27" t="str">
        <f ca="1">IFERROR(__xludf.DUMMYFUNCTION("""COMPUTED_VALUE"""),"")</f>
        <v/>
      </c>
      <c r="D179" s="27" t="str">
        <f ca="1">IFERROR(__xludf.DUMMYFUNCTION("""COMPUTED_VALUE"""),"")</f>
        <v/>
      </c>
      <c r="E179" s="15" t="str">
        <f ca="1">IFERROR(__xludf.DUMMYFUNCTION("""COMPUTED_VALUE"""),"")</f>
        <v/>
      </c>
      <c r="F179" s="51" t="str">
        <f ca="1">IFERROR(__xludf.DUMMYFUNCTION("""COMPUTED_VALUE"""),"")</f>
        <v/>
      </c>
      <c r="G179" s="16" t="str">
        <f ca="1">IFERROR(__xludf.DUMMYFUNCTION("""COMPUTED_VALUE"""),"")</f>
        <v/>
      </c>
      <c r="H179" s="17" t="str">
        <f ca="1">IFERROR(__xludf.DUMMYFUNCTION("""COMPUTED_VALUE"""),"")</f>
        <v/>
      </c>
      <c r="I179" s="17" t="str">
        <f ca="1">IFERROR(__xludf.DUMMYFUNCTION("""COMPUTED_VALUE"""),"")</f>
        <v/>
      </c>
      <c r="J179" s="17" t="str">
        <f ca="1">IFERROR(__xludf.DUMMYFUNCTION("""COMPUTED_VALUE"""),"")</f>
        <v/>
      </c>
      <c r="K179" s="18" t="str">
        <f ca="1">IFERROR(__xludf.DUMMYFUNCTION("""COMPUTED_VALUE"""),"")</f>
        <v/>
      </c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20"/>
      <c r="W179" s="20"/>
      <c r="X179" s="20"/>
      <c r="Y179" s="20"/>
      <c r="Z179" s="21"/>
      <c r="AA179" s="22"/>
      <c r="AB179" s="22"/>
    </row>
    <row r="180" spans="1:28" ht="13.5" customHeight="1" x14ac:dyDescent="0.35">
      <c r="A180" s="24" t="str">
        <f ca="1">IFERROR(__xludf.DUMMYFUNCTION("""COMPUTED_VALUE"""),"")</f>
        <v/>
      </c>
      <c r="B180" s="28" t="str">
        <f ca="1">IFERROR(__xludf.DUMMYFUNCTION("""COMPUTED_VALUE"""),"")</f>
        <v/>
      </c>
      <c r="C180" s="27" t="str">
        <f ca="1">IFERROR(__xludf.DUMMYFUNCTION("""COMPUTED_VALUE"""),"")</f>
        <v/>
      </c>
      <c r="D180" s="27" t="str">
        <f ca="1">IFERROR(__xludf.DUMMYFUNCTION("""COMPUTED_VALUE"""),"")</f>
        <v/>
      </c>
      <c r="E180" s="15" t="str">
        <f ca="1">IFERROR(__xludf.DUMMYFUNCTION("""COMPUTED_VALUE"""),"")</f>
        <v/>
      </c>
      <c r="F180" s="51" t="str">
        <f ca="1">IFERROR(__xludf.DUMMYFUNCTION("""COMPUTED_VALUE"""),"")</f>
        <v/>
      </c>
      <c r="G180" s="16" t="str">
        <f ca="1">IFERROR(__xludf.DUMMYFUNCTION("""COMPUTED_VALUE"""),"")</f>
        <v/>
      </c>
      <c r="H180" s="17" t="str">
        <f ca="1">IFERROR(__xludf.DUMMYFUNCTION("""COMPUTED_VALUE"""),"")</f>
        <v/>
      </c>
      <c r="I180" s="17" t="str">
        <f ca="1">IFERROR(__xludf.DUMMYFUNCTION("""COMPUTED_VALUE"""),"")</f>
        <v/>
      </c>
      <c r="J180" s="17" t="str">
        <f ca="1">IFERROR(__xludf.DUMMYFUNCTION("""COMPUTED_VALUE"""),"")</f>
        <v/>
      </c>
      <c r="K180" s="18" t="str">
        <f ca="1">IFERROR(__xludf.DUMMYFUNCTION("""COMPUTED_VALUE"""),"")</f>
        <v/>
      </c>
      <c r="L180" s="19"/>
      <c r="M180" s="19"/>
      <c r="N180" s="19"/>
      <c r="O180" s="19"/>
      <c r="P180" s="19"/>
      <c r="Q180" s="19"/>
      <c r="R180" s="19"/>
      <c r="S180" s="19"/>
      <c r="T180" s="19"/>
      <c r="U180" s="19"/>
      <c r="V180" s="20"/>
      <c r="W180" s="20"/>
      <c r="X180" s="20"/>
      <c r="Y180" s="20"/>
      <c r="Z180" s="21"/>
      <c r="AA180" s="22"/>
      <c r="AB180" s="22"/>
    </row>
    <row r="181" spans="1:28" ht="13.5" customHeight="1" x14ac:dyDescent="0.35">
      <c r="A181" s="29"/>
      <c r="B181" s="30"/>
      <c r="C181" s="31"/>
      <c r="D181" s="31"/>
      <c r="E181" s="30"/>
      <c r="F181" s="30"/>
      <c r="G181" s="33"/>
      <c r="H181" s="30"/>
      <c r="I181" s="30"/>
      <c r="J181" s="30"/>
      <c r="K181" s="34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20"/>
      <c r="W181" s="20"/>
      <c r="X181" s="20"/>
      <c r="Y181" s="20"/>
      <c r="Z181" s="21"/>
      <c r="AA181" s="22"/>
      <c r="AB181" s="22"/>
    </row>
    <row r="182" spans="1:28" ht="13.5" customHeight="1" x14ac:dyDescent="0.35">
      <c r="A182" s="29"/>
      <c r="B182" s="30"/>
      <c r="C182" s="31"/>
      <c r="D182" s="31"/>
      <c r="E182" s="30"/>
      <c r="F182" s="30"/>
      <c r="G182" s="33"/>
      <c r="H182" s="30"/>
      <c r="I182" s="30"/>
      <c r="J182" s="30"/>
      <c r="K182" s="34"/>
      <c r="L182" s="19"/>
      <c r="M182" s="19"/>
      <c r="N182" s="19"/>
      <c r="O182" s="19"/>
      <c r="P182" s="19"/>
      <c r="Q182" s="19"/>
      <c r="R182" s="19"/>
      <c r="S182" s="19"/>
      <c r="T182" s="19"/>
      <c r="U182" s="19"/>
      <c r="V182" s="20"/>
      <c r="W182" s="20"/>
      <c r="X182" s="20"/>
      <c r="Y182" s="20"/>
      <c r="Z182" s="21"/>
      <c r="AA182" s="22"/>
      <c r="AB182" s="22"/>
    </row>
    <row r="183" spans="1:28" ht="15.75" customHeight="1" x14ac:dyDescent="0.25">
      <c r="A183" s="29"/>
      <c r="B183" s="30"/>
      <c r="C183" s="31"/>
      <c r="D183" s="31"/>
      <c r="E183" s="30"/>
      <c r="F183" s="30"/>
      <c r="G183" s="33"/>
      <c r="H183" s="30"/>
      <c r="I183" s="30"/>
      <c r="J183" s="30"/>
      <c r="K183" s="34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1"/>
      <c r="AA183" s="22"/>
      <c r="AB183" s="22"/>
    </row>
    <row r="184" spans="1:28" ht="15.75" customHeight="1" x14ac:dyDescent="0.25">
      <c r="A184" s="29"/>
      <c r="B184" s="30"/>
      <c r="C184" s="31"/>
      <c r="D184" s="31"/>
      <c r="E184" s="30"/>
      <c r="F184" s="30"/>
      <c r="G184" s="33"/>
      <c r="H184" s="30"/>
      <c r="I184" s="30"/>
      <c r="J184" s="30"/>
      <c r="K184" s="34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1"/>
      <c r="AA184" s="22"/>
      <c r="AB184" s="22"/>
    </row>
    <row r="185" spans="1:28" ht="15.75" customHeight="1" x14ac:dyDescent="0.25">
      <c r="A185" s="29"/>
      <c r="B185" s="30"/>
      <c r="C185" s="31"/>
      <c r="D185" s="31"/>
      <c r="E185" s="30"/>
      <c r="F185" s="30"/>
      <c r="G185" s="33"/>
      <c r="H185" s="30"/>
      <c r="I185" s="30"/>
      <c r="J185" s="30"/>
      <c r="K185" s="34"/>
      <c r="L185" s="20"/>
      <c r="M185" s="20"/>
      <c r="N185" s="20"/>
      <c r="O185" s="20"/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1"/>
      <c r="AA185" s="22"/>
      <c r="AB185" s="22"/>
    </row>
    <row r="186" spans="1:28" ht="15.75" customHeight="1" x14ac:dyDescent="0.25">
      <c r="A186" s="29"/>
      <c r="B186" s="30"/>
      <c r="C186" s="31"/>
      <c r="D186" s="31"/>
      <c r="E186" s="30"/>
      <c r="F186" s="30"/>
      <c r="G186" s="33"/>
      <c r="H186" s="30"/>
      <c r="I186" s="30"/>
      <c r="J186" s="30"/>
      <c r="K186" s="34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1"/>
      <c r="AA186" s="22"/>
      <c r="AB186" s="22"/>
    </row>
    <row r="187" spans="1:28" ht="15.75" customHeight="1" x14ac:dyDescent="0.25">
      <c r="A187" s="29"/>
      <c r="B187" s="30"/>
      <c r="C187" s="31"/>
      <c r="D187" s="31"/>
      <c r="E187" s="30"/>
      <c r="F187" s="30"/>
      <c r="G187" s="33"/>
      <c r="H187" s="30"/>
      <c r="I187" s="30"/>
      <c r="J187" s="30"/>
      <c r="K187" s="34"/>
      <c r="L187" s="20"/>
      <c r="M187" s="20"/>
      <c r="N187" s="20"/>
      <c r="O187" s="20"/>
      <c r="P187" s="20"/>
      <c r="Q187" s="20"/>
      <c r="R187" s="20"/>
      <c r="S187" s="20"/>
      <c r="T187" s="20"/>
      <c r="U187" s="20"/>
      <c r="V187" s="20"/>
      <c r="W187" s="20"/>
      <c r="X187" s="20"/>
      <c r="Y187" s="20"/>
      <c r="Z187" s="21"/>
      <c r="AA187" s="22"/>
      <c r="AB187" s="22"/>
    </row>
    <row r="188" spans="1:28" ht="15.75" customHeight="1" x14ac:dyDescent="0.25">
      <c r="A188" s="29"/>
      <c r="B188" s="30"/>
      <c r="C188" s="31"/>
      <c r="D188" s="31"/>
      <c r="E188" s="30"/>
      <c r="F188" s="30"/>
      <c r="G188" s="33"/>
      <c r="H188" s="30"/>
      <c r="I188" s="30"/>
      <c r="J188" s="30"/>
      <c r="K188" s="34"/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1"/>
      <c r="AA188" s="22"/>
      <c r="AB188" s="22"/>
    </row>
    <row r="189" spans="1:28" ht="15.75" customHeight="1" x14ac:dyDescent="0.25">
      <c r="A189" s="29"/>
      <c r="B189" s="30"/>
      <c r="C189" s="31"/>
      <c r="D189" s="31"/>
      <c r="E189" s="30"/>
      <c r="F189" s="30"/>
      <c r="G189" s="33"/>
      <c r="H189" s="30"/>
      <c r="I189" s="30"/>
      <c r="J189" s="30"/>
      <c r="K189" s="34"/>
      <c r="L189" s="20"/>
      <c r="M189" s="20"/>
      <c r="N189" s="20"/>
      <c r="O189" s="20"/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1"/>
      <c r="AA189" s="22"/>
      <c r="AB189" s="22"/>
    </row>
    <row r="190" spans="1:28" ht="15.75" customHeight="1" x14ac:dyDescent="0.25">
      <c r="A190" s="29"/>
      <c r="B190" s="30"/>
      <c r="C190" s="31"/>
      <c r="D190" s="31"/>
      <c r="E190" s="30"/>
      <c r="F190" s="30"/>
      <c r="G190" s="33"/>
      <c r="H190" s="30"/>
      <c r="I190" s="30"/>
      <c r="J190" s="30"/>
      <c r="K190" s="34"/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1"/>
      <c r="AA190" s="22"/>
      <c r="AB190" s="22"/>
    </row>
    <row r="191" spans="1:28" ht="15.75" customHeight="1" x14ac:dyDescent="0.25">
      <c r="A191" s="29"/>
      <c r="B191" s="30"/>
      <c r="C191" s="31"/>
      <c r="D191" s="31"/>
      <c r="E191" s="30"/>
      <c r="F191" s="30"/>
      <c r="G191" s="33"/>
      <c r="H191" s="30"/>
      <c r="I191" s="30"/>
      <c r="J191" s="30"/>
      <c r="K191" s="34"/>
      <c r="L191" s="20"/>
      <c r="M191" s="20"/>
      <c r="N191" s="20"/>
      <c r="O191" s="20"/>
      <c r="P191" s="20"/>
      <c r="Q191" s="20"/>
      <c r="R191" s="20"/>
      <c r="S191" s="20"/>
      <c r="T191" s="20"/>
      <c r="U191" s="20"/>
      <c r="V191" s="20"/>
      <c r="W191" s="20"/>
      <c r="X191" s="20"/>
      <c r="Y191" s="20"/>
      <c r="Z191" s="21"/>
      <c r="AA191" s="22"/>
      <c r="AB191" s="22"/>
    </row>
    <row r="192" spans="1:28" ht="15.75" customHeight="1" x14ac:dyDescent="0.25">
      <c r="A192" s="29"/>
      <c r="B192" s="30"/>
      <c r="C192" s="31"/>
      <c r="D192" s="31"/>
      <c r="E192" s="30"/>
      <c r="F192" s="30"/>
      <c r="G192" s="33"/>
      <c r="H192" s="30"/>
      <c r="I192" s="30"/>
      <c r="J192" s="30"/>
      <c r="K192" s="34"/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1"/>
      <c r="AA192" s="22"/>
      <c r="AB192" s="22"/>
    </row>
    <row r="193" spans="1:28" ht="15.75" customHeight="1" x14ac:dyDescent="0.25">
      <c r="A193" s="29"/>
      <c r="B193" s="30"/>
      <c r="C193" s="31"/>
      <c r="D193" s="31"/>
      <c r="E193" s="30"/>
      <c r="F193" s="30"/>
      <c r="G193" s="33"/>
      <c r="H193" s="30"/>
      <c r="I193" s="30"/>
      <c r="J193" s="30"/>
      <c r="K193" s="34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1"/>
      <c r="AA193" s="22"/>
      <c r="AB193" s="22"/>
    </row>
    <row r="194" spans="1:28" ht="15.75" customHeight="1" x14ac:dyDescent="0.25">
      <c r="A194" s="29"/>
      <c r="B194" s="30"/>
      <c r="C194" s="31"/>
      <c r="D194" s="31"/>
      <c r="E194" s="30"/>
      <c r="F194" s="30"/>
      <c r="G194" s="33"/>
      <c r="H194" s="30"/>
      <c r="I194" s="30"/>
      <c r="J194" s="30"/>
      <c r="K194" s="34"/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1"/>
      <c r="AA194" s="22"/>
      <c r="AB194" s="22"/>
    </row>
    <row r="195" spans="1:28" ht="15.75" customHeight="1" x14ac:dyDescent="0.25">
      <c r="A195" s="29"/>
      <c r="B195" s="30"/>
      <c r="C195" s="31"/>
      <c r="D195" s="31"/>
      <c r="E195" s="30"/>
      <c r="F195" s="30"/>
      <c r="G195" s="33"/>
      <c r="H195" s="30"/>
      <c r="I195" s="30"/>
      <c r="J195" s="30"/>
      <c r="K195" s="34"/>
      <c r="L195" s="20"/>
      <c r="M195" s="20"/>
      <c r="N195" s="20"/>
      <c r="O195" s="20"/>
      <c r="P195" s="20"/>
      <c r="Q195" s="20"/>
      <c r="R195" s="20"/>
      <c r="S195" s="20"/>
      <c r="T195" s="20"/>
      <c r="U195" s="20"/>
      <c r="V195" s="20"/>
      <c r="W195" s="20"/>
      <c r="X195" s="20"/>
      <c r="Y195" s="20"/>
      <c r="Z195" s="21"/>
      <c r="AA195" s="22"/>
      <c r="AB195" s="22"/>
    </row>
    <row r="196" spans="1:28" ht="15.75" customHeight="1" x14ac:dyDescent="0.25">
      <c r="A196" s="29"/>
      <c r="B196" s="30"/>
      <c r="C196" s="31"/>
      <c r="D196" s="31"/>
      <c r="E196" s="30"/>
      <c r="F196" s="30"/>
      <c r="G196" s="33"/>
      <c r="H196" s="30"/>
      <c r="I196" s="30"/>
      <c r="J196" s="30"/>
      <c r="K196" s="34"/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1"/>
      <c r="AA196" s="22"/>
      <c r="AB196" s="22"/>
    </row>
    <row r="197" spans="1:28" ht="15.75" customHeight="1" x14ac:dyDescent="0.25">
      <c r="A197" s="29"/>
      <c r="B197" s="30"/>
      <c r="C197" s="31"/>
      <c r="D197" s="31"/>
      <c r="E197" s="30"/>
      <c r="F197" s="30"/>
      <c r="G197" s="33"/>
      <c r="H197" s="30"/>
      <c r="I197" s="30"/>
      <c r="J197" s="30"/>
      <c r="K197" s="34"/>
      <c r="L197" s="20"/>
      <c r="M197" s="20"/>
      <c r="N197" s="20"/>
      <c r="O197" s="20"/>
      <c r="P197" s="20"/>
      <c r="Q197" s="20"/>
      <c r="R197" s="20"/>
      <c r="S197" s="20"/>
      <c r="T197" s="20"/>
      <c r="U197" s="20"/>
      <c r="V197" s="20"/>
      <c r="W197" s="20"/>
      <c r="X197" s="20"/>
      <c r="Y197" s="20"/>
      <c r="Z197" s="21"/>
      <c r="AA197" s="22"/>
      <c r="AB197" s="22"/>
    </row>
    <row r="198" spans="1:28" ht="15.75" customHeight="1" x14ac:dyDescent="0.25">
      <c r="A198" s="29"/>
      <c r="B198" s="30"/>
      <c r="C198" s="31"/>
      <c r="D198" s="31"/>
      <c r="E198" s="30"/>
      <c r="F198" s="30"/>
      <c r="G198" s="33"/>
      <c r="H198" s="30"/>
      <c r="I198" s="30"/>
      <c r="J198" s="30"/>
      <c r="K198" s="34"/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1"/>
      <c r="AA198" s="22"/>
      <c r="AB198" s="22"/>
    </row>
    <row r="199" spans="1:28" ht="15.75" customHeight="1" x14ac:dyDescent="0.25">
      <c r="A199" s="29"/>
      <c r="B199" s="30"/>
      <c r="C199" s="31"/>
      <c r="D199" s="31"/>
      <c r="E199" s="30"/>
      <c r="F199" s="30"/>
      <c r="G199" s="33"/>
      <c r="H199" s="30"/>
      <c r="I199" s="30"/>
      <c r="J199" s="30"/>
      <c r="K199" s="34"/>
      <c r="L199" s="20"/>
      <c r="M199" s="20"/>
      <c r="N199" s="20"/>
      <c r="O199" s="20"/>
      <c r="P199" s="20"/>
      <c r="Q199" s="20"/>
      <c r="R199" s="20"/>
      <c r="S199" s="20"/>
      <c r="T199" s="20"/>
      <c r="U199" s="20"/>
      <c r="V199" s="20"/>
      <c r="W199" s="20"/>
      <c r="X199" s="20"/>
      <c r="Y199" s="20"/>
      <c r="Z199" s="21"/>
      <c r="AA199" s="22"/>
      <c r="AB199" s="22"/>
    </row>
    <row r="200" spans="1:28" ht="15.75" customHeight="1" x14ac:dyDescent="0.25">
      <c r="A200" s="29"/>
      <c r="B200" s="30"/>
      <c r="C200" s="31"/>
      <c r="D200" s="31"/>
      <c r="E200" s="30"/>
      <c r="F200" s="30"/>
      <c r="G200" s="33"/>
      <c r="H200" s="30"/>
      <c r="I200" s="30"/>
      <c r="J200" s="30"/>
      <c r="K200" s="34"/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1"/>
      <c r="AA200" s="22"/>
      <c r="AB200" s="22"/>
    </row>
    <row r="201" spans="1:28" ht="15.75" customHeight="1" x14ac:dyDescent="0.25">
      <c r="A201" s="29"/>
      <c r="B201" s="30"/>
      <c r="C201" s="31"/>
      <c r="D201" s="31"/>
      <c r="E201" s="30"/>
      <c r="F201" s="30"/>
      <c r="G201" s="33"/>
      <c r="H201" s="30"/>
      <c r="I201" s="30"/>
      <c r="J201" s="30"/>
      <c r="K201" s="34"/>
      <c r="L201" s="20"/>
      <c r="M201" s="20"/>
      <c r="N201" s="20"/>
      <c r="O201" s="20"/>
      <c r="P201" s="20"/>
      <c r="Q201" s="20"/>
      <c r="R201" s="20"/>
      <c r="S201" s="20"/>
      <c r="T201" s="20"/>
      <c r="U201" s="20"/>
      <c r="V201" s="20"/>
      <c r="W201" s="20"/>
      <c r="X201" s="20"/>
      <c r="Y201" s="20"/>
      <c r="Z201" s="21"/>
      <c r="AA201" s="22"/>
      <c r="AB201" s="22"/>
    </row>
    <row r="202" spans="1:28" ht="15.75" customHeight="1" x14ac:dyDescent="0.25">
      <c r="A202" s="29"/>
      <c r="B202" s="30"/>
      <c r="C202" s="31"/>
      <c r="D202" s="31"/>
      <c r="E202" s="30"/>
      <c r="F202" s="30"/>
      <c r="G202" s="33"/>
      <c r="H202" s="30"/>
      <c r="I202" s="30"/>
      <c r="J202" s="30"/>
      <c r="K202" s="34"/>
      <c r="L202" s="20"/>
      <c r="M202" s="20"/>
      <c r="N202" s="20"/>
      <c r="O202" s="20"/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1"/>
      <c r="AA202" s="22"/>
      <c r="AB202" s="22"/>
    </row>
    <row r="203" spans="1:28" ht="15.75" customHeight="1" x14ac:dyDescent="0.25">
      <c r="A203" s="29"/>
      <c r="B203" s="30"/>
      <c r="C203" s="31"/>
      <c r="D203" s="31"/>
      <c r="E203" s="30"/>
      <c r="F203" s="30"/>
      <c r="G203" s="33"/>
      <c r="H203" s="30"/>
      <c r="I203" s="30"/>
      <c r="J203" s="30"/>
      <c r="K203" s="34"/>
      <c r="L203" s="20"/>
      <c r="M203" s="20"/>
      <c r="N203" s="20"/>
      <c r="O203" s="20"/>
      <c r="P203" s="20"/>
      <c r="Q203" s="20"/>
      <c r="R203" s="20"/>
      <c r="S203" s="20"/>
      <c r="T203" s="20"/>
      <c r="U203" s="20"/>
      <c r="V203" s="20"/>
      <c r="W203" s="20"/>
      <c r="X203" s="20"/>
      <c r="Y203" s="20"/>
      <c r="Z203" s="21"/>
      <c r="AA203" s="22"/>
      <c r="AB203" s="22"/>
    </row>
    <row r="204" spans="1:28" ht="15.75" customHeight="1" x14ac:dyDescent="0.25">
      <c r="A204" s="29"/>
      <c r="B204" s="30"/>
      <c r="C204" s="31"/>
      <c r="D204" s="31"/>
      <c r="E204" s="30"/>
      <c r="F204" s="30"/>
      <c r="G204" s="33"/>
      <c r="H204" s="30"/>
      <c r="I204" s="30"/>
      <c r="J204" s="30"/>
      <c r="K204" s="34"/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1"/>
      <c r="AA204" s="22"/>
      <c r="AB204" s="22"/>
    </row>
    <row r="205" spans="1:28" ht="15.75" customHeight="1" x14ac:dyDescent="0.25">
      <c r="A205" s="29"/>
      <c r="B205" s="30"/>
      <c r="C205" s="31"/>
      <c r="D205" s="31"/>
      <c r="E205" s="30"/>
      <c r="F205" s="30"/>
      <c r="G205" s="33"/>
      <c r="H205" s="30"/>
      <c r="I205" s="30"/>
      <c r="J205" s="30"/>
      <c r="K205" s="34"/>
      <c r="L205" s="20"/>
      <c r="M205" s="20"/>
      <c r="N205" s="20"/>
      <c r="O205" s="20"/>
      <c r="P205" s="20"/>
      <c r="Q205" s="20"/>
      <c r="R205" s="20"/>
      <c r="S205" s="20"/>
      <c r="T205" s="20"/>
      <c r="U205" s="20"/>
      <c r="V205" s="20"/>
      <c r="W205" s="20"/>
      <c r="X205" s="20"/>
      <c r="Y205" s="20"/>
      <c r="Z205" s="21"/>
      <c r="AA205" s="22"/>
      <c r="AB205" s="22"/>
    </row>
    <row r="206" spans="1:28" ht="15.75" customHeight="1" x14ac:dyDescent="0.25">
      <c r="A206" s="29"/>
      <c r="B206" s="30"/>
      <c r="C206" s="31"/>
      <c r="D206" s="31"/>
      <c r="E206" s="30"/>
      <c r="F206" s="30"/>
      <c r="G206" s="33"/>
      <c r="H206" s="30"/>
      <c r="I206" s="30"/>
      <c r="J206" s="30"/>
      <c r="K206" s="34"/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1"/>
      <c r="AA206" s="22"/>
      <c r="AB206" s="22"/>
    </row>
    <row r="207" spans="1:28" ht="15.75" customHeight="1" x14ac:dyDescent="0.25">
      <c r="A207" s="29"/>
      <c r="B207" s="30"/>
      <c r="C207" s="31"/>
      <c r="D207" s="31"/>
      <c r="E207" s="30"/>
      <c r="F207" s="30"/>
      <c r="G207" s="33"/>
      <c r="H207" s="30"/>
      <c r="I207" s="30"/>
      <c r="J207" s="30"/>
      <c r="K207" s="34"/>
      <c r="L207" s="20"/>
      <c r="M207" s="20"/>
      <c r="N207" s="20"/>
      <c r="O207" s="20"/>
      <c r="P207" s="20"/>
      <c r="Q207" s="20"/>
      <c r="R207" s="20"/>
      <c r="S207" s="20"/>
      <c r="T207" s="20"/>
      <c r="U207" s="20"/>
      <c r="V207" s="20"/>
      <c r="W207" s="20"/>
      <c r="X207" s="20"/>
      <c r="Y207" s="20"/>
      <c r="Z207" s="21"/>
      <c r="AA207" s="22"/>
      <c r="AB207" s="22"/>
    </row>
    <row r="208" spans="1:28" ht="15.75" customHeight="1" x14ac:dyDescent="0.25">
      <c r="A208" s="29"/>
      <c r="B208" s="30"/>
      <c r="C208" s="31"/>
      <c r="D208" s="31"/>
      <c r="E208" s="30"/>
      <c r="F208" s="30"/>
      <c r="G208" s="33"/>
      <c r="H208" s="30"/>
      <c r="I208" s="30"/>
      <c r="J208" s="30"/>
      <c r="K208" s="34"/>
      <c r="L208" s="20"/>
      <c r="M208" s="20"/>
      <c r="N208" s="20"/>
      <c r="O208" s="20"/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1"/>
      <c r="AA208" s="22"/>
      <c r="AB208" s="22"/>
    </row>
    <row r="209" spans="1:28" ht="15.75" customHeight="1" x14ac:dyDescent="0.25">
      <c r="A209" s="29"/>
      <c r="B209" s="30"/>
      <c r="C209" s="31"/>
      <c r="D209" s="31"/>
      <c r="E209" s="30"/>
      <c r="F209" s="30"/>
      <c r="G209" s="33"/>
      <c r="H209" s="30"/>
      <c r="I209" s="30"/>
      <c r="J209" s="30"/>
      <c r="K209" s="34"/>
      <c r="L209" s="20"/>
      <c r="M209" s="20"/>
      <c r="N209" s="20"/>
      <c r="O209" s="20"/>
      <c r="P209" s="20"/>
      <c r="Q209" s="20"/>
      <c r="R209" s="20"/>
      <c r="S209" s="20"/>
      <c r="T209" s="20"/>
      <c r="U209" s="20"/>
      <c r="V209" s="20"/>
      <c r="W209" s="20"/>
      <c r="X209" s="20"/>
      <c r="Y209" s="20"/>
      <c r="Z209" s="21"/>
      <c r="AA209" s="22"/>
      <c r="AB209" s="22"/>
    </row>
    <row r="210" spans="1:28" ht="15.75" customHeight="1" x14ac:dyDescent="0.25">
      <c r="A210" s="29"/>
      <c r="B210" s="30"/>
      <c r="C210" s="31"/>
      <c r="D210" s="31"/>
      <c r="E210" s="30"/>
      <c r="F210" s="30"/>
      <c r="G210" s="33"/>
      <c r="H210" s="30"/>
      <c r="I210" s="30"/>
      <c r="J210" s="30"/>
      <c r="K210" s="34"/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1"/>
      <c r="AA210" s="22"/>
      <c r="AB210" s="22"/>
    </row>
    <row r="211" spans="1:28" ht="15.75" customHeight="1" x14ac:dyDescent="0.25">
      <c r="A211" s="29"/>
      <c r="B211" s="30"/>
      <c r="C211" s="31"/>
      <c r="D211" s="31"/>
      <c r="E211" s="30"/>
      <c r="F211" s="30"/>
      <c r="G211" s="33"/>
      <c r="H211" s="30"/>
      <c r="I211" s="30"/>
      <c r="J211" s="30"/>
      <c r="K211" s="34"/>
      <c r="L211" s="20"/>
      <c r="M211" s="20"/>
      <c r="N211" s="20"/>
      <c r="O211" s="20"/>
      <c r="P211" s="20"/>
      <c r="Q211" s="20"/>
      <c r="R211" s="20"/>
      <c r="S211" s="20"/>
      <c r="T211" s="20"/>
      <c r="U211" s="20"/>
      <c r="V211" s="20"/>
      <c r="W211" s="20"/>
      <c r="X211" s="20"/>
      <c r="Y211" s="20"/>
      <c r="Z211" s="21"/>
      <c r="AA211" s="22"/>
      <c r="AB211" s="22"/>
    </row>
    <row r="212" spans="1:28" ht="15.75" customHeight="1" x14ac:dyDescent="0.25">
      <c r="A212" s="29"/>
      <c r="B212" s="30"/>
      <c r="C212" s="31"/>
      <c r="D212" s="31"/>
      <c r="E212" s="30"/>
      <c r="F212" s="30"/>
      <c r="G212" s="33"/>
      <c r="H212" s="30"/>
      <c r="I212" s="30"/>
      <c r="J212" s="30"/>
      <c r="K212" s="34"/>
      <c r="L212" s="20"/>
      <c r="M212" s="20"/>
      <c r="N212" s="20"/>
      <c r="O212" s="20"/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1"/>
      <c r="AA212" s="22"/>
      <c r="AB212" s="22"/>
    </row>
    <row r="213" spans="1:28" ht="15.75" customHeight="1" x14ac:dyDescent="0.25">
      <c r="A213" s="29"/>
      <c r="B213" s="30"/>
      <c r="C213" s="31"/>
      <c r="D213" s="31"/>
      <c r="E213" s="30"/>
      <c r="F213" s="30"/>
      <c r="G213" s="33"/>
      <c r="H213" s="30"/>
      <c r="I213" s="30"/>
      <c r="J213" s="30"/>
      <c r="K213" s="34"/>
      <c r="L213" s="20"/>
      <c r="M213" s="20"/>
      <c r="N213" s="20"/>
      <c r="O213" s="20"/>
      <c r="P213" s="20"/>
      <c r="Q213" s="20"/>
      <c r="R213" s="20"/>
      <c r="S213" s="20"/>
      <c r="T213" s="20"/>
      <c r="U213" s="20"/>
      <c r="V213" s="20"/>
      <c r="W213" s="20"/>
      <c r="X213" s="20"/>
      <c r="Y213" s="20"/>
      <c r="Z213" s="21"/>
      <c r="AA213" s="22"/>
      <c r="AB213" s="22"/>
    </row>
    <row r="214" spans="1:28" ht="15.75" customHeight="1" x14ac:dyDescent="0.25">
      <c r="A214" s="29"/>
      <c r="B214" s="30"/>
      <c r="C214" s="31"/>
      <c r="D214" s="31"/>
      <c r="E214" s="30"/>
      <c r="F214" s="30"/>
      <c r="G214" s="33"/>
      <c r="H214" s="30"/>
      <c r="I214" s="30"/>
      <c r="J214" s="30"/>
      <c r="K214" s="34"/>
      <c r="L214" s="20"/>
      <c r="M214" s="20"/>
      <c r="N214" s="20"/>
      <c r="O214" s="20"/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1"/>
      <c r="AA214" s="22"/>
      <c r="AB214" s="22"/>
    </row>
    <row r="215" spans="1:28" ht="15.75" customHeight="1" x14ac:dyDescent="0.25">
      <c r="A215" s="29"/>
      <c r="B215" s="30"/>
      <c r="C215" s="31"/>
      <c r="D215" s="31"/>
      <c r="E215" s="30"/>
      <c r="F215" s="30"/>
      <c r="G215" s="33"/>
      <c r="H215" s="30"/>
      <c r="I215" s="30"/>
      <c r="J215" s="30"/>
      <c r="K215" s="34"/>
      <c r="L215" s="20"/>
      <c r="M215" s="20"/>
      <c r="N215" s="20"/>
      <c r="O215" s="20"/>
      <c r="P215" s="20"/>
      <c r="Q215" s="20"/>
      <c r="R215" s="20"/>
      <c r="S215" s="20"/>
      <c r="T215" s="20"/>
      <c r="U215" s="20"/>
      <c r="V215" s="20"/>
      <c r="W215" s="20"/>
      <c r="X215" s="20"/>
      <c r="Y215" s="20"/>
      <c r="Z215" s="21"/>
      <c r="AA215" s="22"/>
      <c r="AB215" s="22"/>
    </row>
    <row r="216" spans="1:28" ht="15.75" customHeight="1" x14ac:dyDescent="0.25">
      <c r="A216" s="29"/>
      <c r="B216" s="30"/>
      <c r="C216" s="31"/>
      <c r="D216" s="31"/>
      <c r="E216" s="30"/>
      <c r="F216" s="30"/>
      <c r="G216" s="33"/>
      <c r="H216" s="30"/>
      <c r="I216" s="30"/>
      <c r="J216" s="30"/>
      <c r="K216" s="34"/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1"/>
      <c r="AA216" s="22"/>
      <c r="AB216" s="22"/>
    </row>
    <row r="217" spans="1:28" ht="15.75" customHeight="1" x14ac:dyDescent="0.25">
      <c r="A217" s="29"/>
      <c r="B217" s="30"/>
      <c r="C217" s="31"/>
      <c r="D217" s="31"/>
      <c r="E217" s="30"/>
      <c r="F217" s="30"/>
      <c r="G217" s="33"/>
      <c r="H217" s="30"/>
      <c r="I217" s="30"/>
      <c r="J217" s="30"/>
      <c r="K217" s="34"/>
      <c r="L217" s="20"/>
      <c r="M217" s="20"/>
      <c r="N217" s="20"/>
      <c r="O217" s="20"/>
      <c r="P217" s="20"/>
      <c r="Q217" s="20"/>
      <c r="R217" s="20"/>
      <c r="S217" s="20"/>
      <c r="T217" s="20"/>
      <c r="U217" s="20"/>
      <c r="V217" s="20"/>
      <c r="W217" s="20"/>
      <c r="X217" s="20"/>
      <c r="Y217" s="20"/>
      <c r="Z217" s="21"/>
      <c r="AA217" s="22"/>
      <c r="AB217" s="22"/>
    </row>
    <row r="218" spans="1:28" ht="15.75" customHeight="1" x14ac:dyDescent="0.25">
      <c r="A218" s="29"/>
      <c r="B218" s="30"/>
      <c r="C218" s="31"/>
      <c r="D218" s="31"/>
      <c r="E218" s="30"/>
      <c r="F218" s="30"/>
      <c r="G218" s="33"/>
      <c r="H218" s="30"/>
      <c r="I218" s="30"/>
      <c r="J218" s="30"/>
      <c r="K218" s="34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1"/>
      <c r="AA218" s="22"/>
      <c r="AB218" s="22"/>
    </row>
    <row r="219" spans="1:28" ht="15.75" customHeight="1" x14ac:dyDescent="0.25">
      <c r="A219" s="29"/>
      <c r="B219" s="30"/>
      <c r="C219" s="31"/>
      <c r="D219" s="31"/>
      <c r="E219" s="30"/>
      <c r="F219" s="30"/>
      <c r="G219" s="33"/>
      <c r="H219" s="30"/>
      <c r="I219" s="30"/>
      <c r="J219" s="30"/>
      <c r="K219" s="34"/>
      <c r="L219" s="20"/>
      <c r="M219" s="20"/>
      <c r="N219" s="20"/>
      <c r="O219" s="20"/>
      <c r="P219" s="20"/>
      <c r="Q219" s="20"/>
      <c r="R219" s="20"/>
      <c r="S219" s="20"/>
      <c r="T219" s="20"/>
      <c r="U219" s="20"/>
      <c r="V219" s="20"/>
      <c r="W219" s="20"/>
      <c r="X219" s="20"/>
      <c r="Y219" s="20"/>
      <c r="Z219" s="21"/>
      <c r="AA219" s="22"/>
      <c r="AB219" s="22"/>
    </row>
    <row r="220" spans="1:28" ht="15.75" customHeight="1" x14ac:dyDescent="0.25">
      <c r="A220" s="29"/>
      <c r="B220" s="30"/>
      <c r="C220" s="31"/>
      <c r="D220" s="31"/>
      <c r="E220" s="30"/>
      <c r="F220" s="30"/>
      <c r="G220" s="33"/>
      <c r="H220" s="30"/>
      <c r="I220" s="30"/>
      <c r="J220" s="30"/>
      <c r="K220" s="34"/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1"/>
      <c r="AA220" s="22"/>
      <c r="AB220" s="22"/>
    </row>
    <row r="221" spans="1:28" ht="15.75" customHeight="1" x14ac:dyDescent="0.25">
      <c r="A221" s="29"/>
      <c r="B221" s="30"/>
      <c r="C221" s="31"/>
      <c r="D221" s="31"/>
      <c r="E221" s="30"/>
      <c r="F221" s="30"/>
      <c r="G221" s="33"/>
      <c r="H221" s="30"/>
      <c r="I221" s="30"/>
      <c r="J221" s="30"/>
      <c r="K221" s="34"/>
      <c r="L221" s="20"/>
      <c r="M221" s="20"/>
      <c r="N221" s="20"/>
      <c r="O221" s="20"/>
      <c r="P221" s="20"/>
      <c r="Q221" s="20"/>
      <c r="R221" s="20"/>
      <c r="S221" s="20"/>
      <c r="T221" s="20"/>
      <c r="U221" s="20"/>
      <c r="V221" s="20"/>
      <c r="W221" s="20"/>
      <c r="X221" s="20"/>
      <c r="Y221" s="20"/>
      <c r="Z221" s="21"/>
      <c r="AA221" s="22"/>
      <c r="AB221" s="22"/>
    </row>
    <row r="222" spans="1:28" ht="15.75" customHeight="1" x14ac:dyDescent="0.25">
      <c r="A222" s="29"/>
      <c r="B222" s="30"/>
      <c r="C222" s="31"/>
      <c r="D222" s="31"/>
      <c r="E222" s="30"/>
      <c r="F222" s="30"/>
      <c r="G222" s="33"/>
      <c r="H222" s="30"/>
      <c r="I222" s="30"/>
      <c r="J222" s="30"/>
      <c r="K222" s="34"/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1"/>
      <c r="AA222" s="22"/>
      <c r="AB222" s="22"/>
    </row>
    <row r="223" spans="1:28" ht="15.75" customHeight="1" x14ac:dyDescent="0.25">
      <c r="A223" s="29"/>
      <c r="B223" s="30"/>
      <c r="C223" s="31"/>
      <c r="D223" s="31"/>
      <c r="E223" s="30"/>
      <c r="F223" s="30"/>
      <c r="G223" s="33"/>
      <c r="H223" s="30"/>
      <c r="I223" s="30"/>
      <c r="J223" s="30"/>
      <c r="K223" s="34"/>
      <c r="L223" s="20"/>
      <c r="M223" s="20"/>
      <c r="N223" s="20"/>
      <c r="O223" s="20"/>
      <c r="P223" s="20"/>
      <c r="Q223" s="20"/>
      <c r="R223" s="20"/>
      <c r="S223" s="20"/>
      <c r="T223" s="20"/>
      <c r="U223" s="20"/>
      <c r="V223" s="20"/>
      <c r="W223" s="20"/>
      <c r="X223" s="20"/>
      <c r="Y223" s="20"/>
      <c r="Z223" s="21"/>
      <c r="AA223" s="22"/>
      <c r="AB223" s="22"/>
    </row>
    <row r="224" spans="1:28" ht="15.75" customHeight="1" x14ac:dyDescent="0.25">
      <c r="A224" s="29"/>
      <c r="B224" s="30"/>
      <c r="C224" s="31"/>
      <c r="D224" s="31"/>
      <c r="E224" s="30"/>
      <c r="F224" s="30"/>
      <c r="G224" s="33"/>
      <c r="H224" s="30"/>
      <c r="I224" s="30"/>
      <c r="J224" s="30"/>
      <c r="K224" s="34"/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1"/>
      <c r="AA224" s="22"/>
      <c r="AB224" s="22"/>
    </row>
    <row r="225" spans="1:28" ht="15.75" customHeight="1" x14ac:dyDescent="0.25">
      <c r="A225" s="29"/>
      <c r="B225" s="30"/>
      <c r="C225" s="31"/>
      <c r="D225" s="31"/>
      <c r="E225" s="30"/>
      <c r="F225" s="30"/>
      <c r="G225" s="33"/>
      <c r="H225" s="30"/>
      <c r="I225" s="30"/>
      <c r="J225" s="30"/>
      <c r="K225" s="34"/>
      <c r="L225" s="20"/>
      <c r="M225" s="20"/>
      <c r="N225" s="20"/>
      <c r="O225" s="20"/>
      <c r="P225" s="20"/>
      <c r="Q225" s="20"/>
      <c r="R225" s="20"/>
      <c r="S225" s="20"/>
      <c r="T225" s="20"/>
      <c r="U225" s="20"/>
      <c r="V225" s="20"/>
      <c r="W225" s="20"/>
      <c r="X225" s="20"/>
      <c r="Y225" s="20"/>
      <c r="Z225" s="21"/>
      <c r="AA225" s="22"/>
      <c r="AB225" s="22"/>
    </row>
    <row r="226" spans="1:28" ht="15.75" customHeight="1" x14ac:dyDescent="0.25">
      <c r="A226" s="29"/>
      <c r="B226" s="30"/>
      <c r="C226" s="31"/>
      <c r="D226" s="31"/>
      <c r="E226" s="30"/>
      <c r="F226" s="30"/>
      <c r="G226" s="33"/>
      <c r="H226" s="30"/>
      <c r="I226" s="30"/>
      <c r="J226" s="30"/>
      <c r="K226" s="34"/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1"/>
      <c r="AA226" s="22"/>
      <c r="AB226" s="22"/>
    </row>
    <row r="227" spans="1:28" ht="15.75" customHeight="1" x14ac:dyDescent="0.25">
      <c r="A227" s="29"/>
      <c r="B227" s="30"/>
      <c r="C227" s="31"/>
      <c r="D227" s="31"/>
      <c r="E227" s="30"/>
      <c r="F227" s="30"/>
      <c r="G227" s="33"/>
      <c r="H227" s="30"/>
      <c r="I227" s="30"/>
      <c r="J227" s="30"/>
      <c r="K227" s="34"/>
      <c r="L227" s="20"/>
      <c r="M227" s="20"/>
      <c r="N227" s="20"/>
      <c r="O227" s="20"/>
      <c r="P227" s="20"/>
      <c r="Q227" s="20"/>
      <c r="R227" s="20"/>
      <c r="S227" s="20"/>
      <c r="T227" s="20"/>
      <c r="U227" s="20"/>
      <c r="V227" s="20"/>
      <c r="W227" s="20"/>
      <c r="X227" s="20"/>
      <c r="Y227" s="20"/>
      <c r="Z227" s="21"/>
      <c r="AA227" s="22"/>
      <c r="AB227" s="22"/>
    </row>
    <row r="228" spans="1:28" ht="15.75" customHeight="1" x14ac:dyDescent="0.25">
      <c r="A228" s="29"/>
      <c r="B228" s="30"/>
      <c r="C228" s="31"/>
      <c r="D228" s="31"/>
      <c r="E228" s="30"/>
      <c r="F228" s="30"/>
      <c r="G228" s="33"/>
      <c r="H228" s="30"/>
      <c r="I228" s="30"/>
      <c r="J228" s="30"/>
      <c r="K228" s="34"/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1"/>
      <c r="AA228" s="22"/>
      <c r="AB228" s="22"/>
    </row>
    <row r="229" spans="1:28" ht="15.75" customHeight="1" x14ac:dyDescent="0.25">
      <c r="A229" s="29"/>
      <c r="B229" s="30"/>
      <c r="C229" s="31"/>
      <c r="D229" s="31"/>
      <c r="E229" s="30"/>
      <c r="F229" s="30"/>
      <c r="G229" s="33"/>
      <c r="H229" s="30"/>
      <c r="I229" s="30"/>
      <c r="J229" s="30"/>
      <c r="K229" s="34"/>
      <c r="L229" s="20"/>
      <c r="M229" s="20"/>
      <c r="N229" s="20"/>
      <c r="O229" s="20"/>
      <c r="P229" s="20"/>
      <c r="Q229" s="20"/>
      <c r="R229" s="20"/>
      <c r="S229" s="20"/>
      <c r="T229" s="20"/>
      <c r="U229" s="20"/>
      <c r="V229" s="20"/>
      <c r="W229" s="20"/>
      <c r="X229" s="20"/>
      <c r="Y229" s="20"/>
      <c r="Z229" s="21"/>
      <c r="AA229" s="22"/>
      <c r="AB229" s="22"/>
    </row>
    <row r="230" spans="1:28" ht="15.75" customHeight="1" x14ac:dyDescent="0.25">
      <c r="A230" s="29"/>
      <c r="B230" s="30"/>
      <c r="C230" s="31"/>
      <c r="D230" s="31"/>
      <c r="E230" s="30"/>
      <c r="F230" s="30"/>
      <c r="G230" s="33"/>
      <c r="H230" s="30"/>
      <c r="I230" s="30"/>
      <c r="J230" s="30"/>
      <c r="K230" s="34"/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1"/>
      <c r="AA230" s="22"/>
      <c r="AB230" s="22"/>
    </row>
    <row r="231" spans="1:28" ht="15.75" customHeight="1" x14ac:dyDescent="0.25">
      <c r="A231" s="29"/>
      <c r="B231" s="30"/>
      <c r="C231" s="31"/>
      <c r="D231" s="31"/>
      <c r="E231" s="30"/>
      <c r="F231" s="30"/>
      <c r="G231" s="33"/>
      <c r="H231" s="30"/>
      <c r="I231" s="30"/>
      <c r="J231" s="30"/>
      <c r="K231" s="34"/>
      <c r="L231" s="20"/>
      <c r="M231" s="20"/>
      <c r="N231" s="20"/>
      <c r="O231" s="20"/>
      <c r="P231" s="20"/>
      <c r="Q231" s="20"/>
      <c r="R231" s="20"/>
      <c r="S231" s="20"/>
      <c r="T231" s="20"/>
      <c r="U231" s="20"/>
      <c r="V231" s="20"/>
      <c r="W231" s="20"/>
      <c r="X231" s="20"/>
      <c r="Y231" s="20"/>
      <c r="Z231" s="21"/>
      <c r="AA231" s="22"/>
      <c r="AB231" s="22"/>
    </row>
    <row r="232" spans="1:28" ht="15.75" customHeight="1" x14ac:dyDescent="0.25">
      <c r="A232" s="29"/>
      <c r="B232" s="30"/>
      <c r="C232" s="31"/>
      <c r="D232" s="31"/>
      <c r="E232" s="30"/>
      <c r="F232" s="30"/>
      <c r="G232" s="33"/>
      <c r="H232" s="30"/>
      <c r="I232" s="30"/>
      <c r="J232" s="30"/>
      <c r="K232" s="34"/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1"/>
      <c r="AA232" s="22"/>
      <c r="AB232" s="22"/>
    </row>
    <row r="233" spans="1:28" ht="15.75" customHeight="1" x14ac:dyDescent="0.25">
      <c r="A233" s="29"/>
      <c r="B233" s="30"/>
      <c r="C233" s="31"/>
      <c r="D233" s="31"/>
      <c r="E233" s="30"/>
      <c r="F233" s="30"/>
      <c r="G233" s="33"/>
      <c r="H233" s="30"/>
      <c r="I233" s="30"/>
      <c r="J233" s="30"/>
      <c r="K233" s="34"/>
      <c r="L233" s="20"/>
      <c r="M233" s="20"/>
      <c r="N233" s="20"/>
      <c r="O233" s="20"/>
      <c r="P233" s="20"/>
      <c r="Q233" s="20"/>
      <c r="R233" s="20"/>
      <c r="S233" s="20"/>
      <c r="T233" s="20"/>
      <c r="U233" s="20"/>
      <c r="V233" s="20"/>
      <c r="W233" s="20"/>
      <c r="X233" s="20"/>
      <c r="Y233" s="20"/>
      <c r="Z233" s="21"/>
      <c r="AA233" s="22"/>
      <c r="AB233" s="22"/>
    </row>
    <row r="234" spans="1:28" ht="15.75" customHeight="1" x14ac:dyDescent="0.25">
      <c r="A234" s="29"/>
      <c r="B234" s="30"/>
      <c r="C234" s="31"/>
      <c r="D234" s="31"/>
      <c r="E234" s="30"/>
      <c r="F234" s="30"/>
      <c r="G234" s="33"/>
      <c r="H234" s="30"/>
      <c r="I234" s="30"/>
      <c r="J234" s="30"/>
      <c r="K234" s="34"/>
      <c r="L234" s="20"/>
      <c r="M234" s="20"/>
      <c r="N234" s="20"/>
      <c r="O234" s="20"/>
      <c r="P234" s="20"/>
      <c r="Q234" s="20"/>
      <c r="R234" s="20"/>
      <c r="S234" s="20"/>
      <c r="T234" s="20"/>
      <c r="U234" s="20"/>
      <c r="V234" s="20"/>
      <c r="W234" s="20"/>
      <c r="X234" s="20"/>
      <c r="Y234" s="20"/>
      <c r="Z234" s="21"/>
      <c r="AA234" s="22"/>
      <c r="AB234" s="22"/>
    </row>
    <row r="235" spans="1:28" ht="15.75" customHeight="1" x14ac:dyDescent="0.25">
      <c r="A235" s="29"/>
      <c r="B235" s="30"/>
      <c r="C235" s="31"/>
      <c r="D235" s="31"/>
      <c r="E235" s="30"/>
      <c r="F235" s="30"/>
      <c r="G235" s="33"/>
      <c r="H235" s="30"/>
      <c r="I235" s="30"/>
      <c r="J235" s="30"/>
      <c r="K235" s="34"/>
      <c r="L235" s="20"/>
      <c r="M235" s="20"/>
      <c r="N235" s="20"/>
      <c r="O235" s="20"/>
      <c r="P235" s="20"/>
      <c r="Q235" s="20"/>
      <c r="R235" s="20"/>
      <c r="S235" s="20"/>
      <c r="T235" s="20"/>
      <c r="U235" s="20"/>
      <c r="V235" s="20"/>
      <c r="W235" s="20"/>
      <c r="X235" s="20"/>
      <c r="Y235" s="20"/>
      <c r="Z235" s="21"/>
      <c r="AA235" s="22"/>
      <c r="AB235" s="22"/>
    </row>
    <row r="236" spans="1:28" ht="15.75" customHeight="1" x14ac:dyDescent="0.25">
      <c r="A236" s="29"/>
      <c r="B236" s="30"/>
      <c r="C236" s="31"/>
      <c r="D236" s="31"/>
      <c r="E236" s="30"/>
      <c r="F236" s="30"/>
      <c r="G236" s="33"/>
      <c r="H236" s="30"/>
      <c r="I236" s="30"/>
      <c r="J236" s="30"/>
      <c r="K236" s="34"/>
      <c r="L236" s="20"/>
      <c r="M236" s="20"/>
      <c r="N236" s="20"/>
      <c r="O236" s="20"/>
      <c r="P236" s="20"/>
      <c r="Q236" s="20"/>
      <c r="R236" s="20"/>
      <c r="S236" s="20"/>
      <c r="T236" s="20"/>
      <c r="U236" s="20"/>
      <c r="V236" s="20"/>
      <c r="W236" s="20"/>
      <c r="X236" s="20"/>
      <c r="Y236" s="20"/>
      <c r="Z236" s="21"/>
      <c r="AA236" s="22"/>
      <c r="AB236" s="22"/>
    </row>
    <row r="237" spans="1:28" ht="15.75" customHeight="1" x14ac:dyDescent="0.25">
      <c r="A237" s="29"/>
      <c r="B237" s="30"/>
      <c r="C237" s="31"/>
      <c r="D237" s="31"/>
      <c r="E237" s="30"/>
      <c r="F237" s="30"/>
      <c r="G237" s="33"/>
      <c r="H237" s="30"/>
      <c r="I237" s="30"/>
      <c r="J237" s="30"/>
      <c r="K237" s="34"/>
      <c r="L237" s="20"/>
      <c r="M237" s="20"/>
      <c r="N237" s="20"/>
      <c r="O237" s="20"/>
      <c r="P237" s="20"/>
      <c r="Q237" s="20"/>
      <c r="R237" s="20"/>
      <c r="S237" s="20"/>
      <c r="T237" s="20"/>
      <c r="U237" s="20"/>
      <c r="V237" s="20"/>
      <c r="W237" s="20"/>
      <c r="X237" s="20"/>
      <c r="Y237" s="20"/>
      <c r="Z237" s="21"/>
      <c r="AA237" s="22"/>
      <c r="AB237" s="22"/>
    </row>
    <row r="238" spans="1:28" ht="15.75" customHeight="1" x14ac:dyDescent="0.25">
      <c r="A238" s="29"/>
      <c r="B238" s="30"/>
      <c r="C238" s="31"/>
      <c r="D238" s="31"/>
      <c r="E238" s="30"/>
      <c r="F238" s="30"/>
      <c r="G238" s="33"/>
      <c r="H238" s="30"/>
      <c r="I238" s="30"/>
      <c r="J238" s="30"/>
      <c r="K238" s="34"/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1"/>
      <c r="AA238" s="22"/>
      <c r="AB238" s="22"/>
    </row>
    <row r="239" spans="1:28" ht="15.75" customHeight="1" x14ac:dyDescent="0.25">
      <c r="A239" s="29"/>
      <c r="B239" s="30"/>
      <c r="C239" s="31"/>
      <c r="D239" s="31"/>
      <c r="E239" s="30"/>
      <c r="F239" s="30"/>
      <c r="G239" s="33"/>
      <c r="H239" s="30"/>
      <c r="I239" s="30"/>
      <c r="J239" s="30"/>
      <c r="K239" s="34"/>
      <c r="L239" s="20"/>
      <c r="M239" s="20"/>
      <c r="N239" s="20"/>
      <c r="O239" s="20"/>
      <c r="P239" s="20"/>
      <c r="Q239" s="20"/>
      <c r="R239" s="20"/>
      <c r="S239" s="20"/>
      <c r="T239" s="20"/>
      <c r="U239" s="20"/>
      <c r="V239" s="20"/>
      <c r="W239" s="20"/>
      <c r="X239" s="20"/>
      <c r="Y239" s="20"/>
      <c r="Z239" s="21"/>
      <c r="AA239" s="22"/>
      <c r="AB239" s="22"/>
    </row>
    <row r="240" spans="1:28" ht="15.75" customHeight="1" x14ac:dyDescent="0.25">
      <c r="A240" s="29"/>
      <c r="B240" s="30"/>
      <c r="C240" s="31"/>
      <c r="D240" s="31"/>
      <c r="E240" s="30"/>
      <c r="F240" s="30"/>
      <c r="G240" s="33"/>
      <c r="H240" s="30"/>
      <c r="I240" s="30"/>
      <c r="J240" s="30"/>
      <c r="K240" s="34"/>
      <c r="L240" s="20"/>
      <c r="M240" s="20"/>
      <c r="N240" s="20"/>
      <c r="O240" s="20"/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1"/>
      <c r="AA240" s="22"/>
      <c r="AB240" s="22"/>
    </row>
    <row r="241" spans="1:28" ht="15.75" customHeight="1" x14ac:dyDescent="0.25">
      <c r="A241" s="29"/>
      <c r="B241" s="30"/>
      <c r="C241" s="31"/>
      <c r="D241" s="31"/>
      <c r="E241" s="30"/>
      <c r="F241" s="30"/>
      <c r="G241" s="33"/>
      <c r="H241" s="30"/>
      <c r="I241" s="30"/>
      <c r="J241" s="30"/>
      <c r="K241" s="34"/>
      <c r="L241" s="20"/>
      <c r="M241" s="20"/>
      <c r="N241" s="20"/>
      <c r="O241" s="20"/>
      <c r="P241" s="20"/>
      <c r="Q241" s="20"/>
      <c r="R241" s="20"/>
      <c r="S241" s="20"/>
      <c r="T241" s="20"/>
      <c r="U241" s="20"/>
      <c r="V241" s="20"/>
      <c r="W241" s="20"/>
      <c r="X241" s="20"/>
      <c r="Y241" s="20"/>
      <c r="Z241" s="21"/>
      <c r="AA241" s="22"/>
      <c r="AB241" s="22"/>
    </row>
    <row r="242" spans="1:28" ht="15.75" customHeight="1" x14ac:dyDescent="0.25">
      <c r="A242" s="29"/>
      <c r="B242" s="30"/>
      <c r="C242" s="31"/>
      <c r="D242" s="31"/>
      <c r="E242" s="30"/>
      <c r="F242" s="30"/>
      <c r="G242" s="33"/>
      <c r="H242" s="30"/>
      <c r="I242" s="30"/>
      <c r="J242" s="30"/>
      <c r="K242" s="34"/>
      <c r="L242" s="20"/>
      <c r="M242" s="20"/>
      <c r="N242" s="20"/>
      <c r="O242" s="20"/>
      <c r="P242" s="20"/>
      <c r="Q242" s="20"/>
      <c r="R242" s="20"/>
      <c r="S242" s="20"/>
      <c r="T242" s="20"/>
      <c r="U242" s="20"/>
      <c r="V242" s="20"/>
      <c r="W242" s="20"/>
      <c r="X242" s="20"/>
      <c r="Y242" s="20"/>
      <c r="Z242" s="21"/>
      <c r="AA242" s="22"/>
      <c r="AB242" s="22"/>
    </row>
    <row r="243" spans="1:28" ht="15.75" customHeight="1" x14ac:dyDescent="0.25">
      <c r="A243" s="29"/>
      <c r="B243" s="30"/>
      <c r="C243" s="31"/>
      <c r="D243" s="31"/>
      <c r="E243" s="30"/>
      <c r="F243" s="30"/>
      <c r="G243" s="33"/>
      <c r="H243" s="30"/>
      <c r="I243" s="30"/>
      <c r="J243" s="30"/>
      <c r="K243" s="34"/>
      <c r="L243" s="20"/>
      <c r="M243" s="20"/>
      <c r="N243" s="20"/>
      <c r="O243" s="20"/>
      <c r="P243" s="20"/>
      <c r="Q243" s="20"/>
      <c r="R243" s="20"/>
      <c r="S243" s="20"/>
      <c r="T243" s="20"/>
      <c r="U243" s="20"/>
      <c r="V243" s="20"/>
      <c r="W243" s="20"/>
      <c r="X243" s="20"/>
      <c r="Y243" s="20"/>
      <c r="Z243" s="21"/>
      <c r="AA243" s="22"/>
      <c r="AB243" s="22"/>
    </row>
    <row r="244" spans="1:28" ht="15.75" customHeight="1" x14ac:dyDescent="0.25">
      <c r="A244" s="29"/>
      <c r="B244" s="30"/>
      <c r="C244" s="31"/>
      <c r="D244" s="31"/>
      <c r="E244" s="30"/>
      <c r="F244" s="30"/>
      <c r="G244" s="33"/>
      <c r="H244" s="30"/>
      <c r="I244" s="30"/>
      <c r="J244" s="30"/>
      <c r="K244" s="34"/>
      <c r="L244" s="20"/>
      <c r="M244" s="20"/>
      <c r="N244" s="20"/>
      <c r="O244" s="20"/>
      <c r="P244" s="20"/>
      <c r="Q244" s="20"/>
      <c r="R244" s="20"/>
      <c r="S244" s="20"/>
      <c r="T244" s="20"/>
      <c r="U244" s="20"/>
      <c r="V244" s="20"/>
      <c r="W244" s="20"/>
      <c r="X244" s="20"/>
      <c r="Y244" s="20"/>
      <c r="Z244" s="21"/>
      <c r="AA244" s="22"/>
      <c r="AB244" s="22"/>
    </row>
    <row r="245" spans="1:28" ht="15.75" customHeight="1" x14ac:dyDescent="0.25">
      <c r="A245" s="29"/>
      <c r="B245" s="30"/>
      <c r="C245" s="31"/>
      <c r="D245" s="31"/>
      <c r="E245" s="30"/>
      <c r="F245" s="30"/>
      <c r="G245" s="33"/>
      <c r="H245" s="30"/>
      <c r="I245" s="30"/>
      <c r="J245" s="30"/>
      <c r="K245" s="34"/>
      <c r="L245" s="20"/>
      <c r="M245" s="20"/>
      <c r="N245" s="20"/>
      <c r="O245" s="20"/>
      <c r="P245" s="20"/>
      <c r="Q245" s="20"/>
      <c r="R245" s="20"/>
      <c r="S245" s="20"/>
      <c r="T245" s="20"/>
      <c r="U245" s="20"/>
      <c r="V245" s="20"/>
      <c r="W245" s="20"/>
      <c r="X245" s="20"/>
      <c r="Y245" s="20"/>
      <c r="Z245" s="21"/>
      <c r="AA245" s="22"/>
      <c r="AB245" s="22"/>
    </row>
    <row r="246" spans="1:28" ht="15.75" customHeight="1" x14ac:dyDescent="0.25">
      <c r="A246" s="29"/>
      <c r="B246" s="30"/>
      <c r="C246" s="31"/>
      <c r="D246" s="31"/>
      <c r="E246" s="30"/>
      <c r="F246" s="30"/>
      <c r="G246" s="33"/>
      <c r="H246" s="30"/>
      <c r="I246" s="30"/>
      <c r="J246" s="30"/>
      <c r="K246" s="34"/>
      <c r="L246" s="20"/>
      <c r="M246" s="20"/>
      <c r="N246" s="20"/>
      <c r="O246" s="20"/>
      <c r="P246" s="20"/>
      <c r="Q246" s="20"/>
      <c r="R246" s="20"/>
      <c r="S246" s="20"/>
      <c r="T246" s="20"/>
      <c r="U246" s="20"/>
      <c r="V246" s="20"/>
      <c r="W246" s="20"/>
      <c r="X246" s="20"/>
      <c r="Y246" s="20"/>
      <c r="Z246" s="21"/>
      <c r="AA246" s="22"/>
      <c r="AB246" s="22"/>
    </row>
    <row r="247" spans="1:28" ht="15.75" customHeight="1" x14ac:dyDescent="0.25">
      <c r="A247" s="29"/>
      <c r="B247" s="30"/>
      <c r="C247" s="31"/>
      <c r="D247" s="31"/>
      <c r="E247" s="30"/>
      <c r="F247" s="30"/>
      <c r="G247" s="33"/>
      <c r="H247" s="30"/>
      <c r="I247" s="30"/>
      <c r="J247" s="30"/>
      <c r="K247" s="34"/>
      <c r="L247" s="20"/>
      <c r="M247" s="20"/>
      <c r="N247" s="20"/>
      <c r="O247" s="20"/>
      <c r="P247" s="20"/>
      <c r="Q247" s="20"/>
      <c r="R247" s="20"/>
      <c r="S247" s="20"/>
      <c r="T247" s="20"/>
      <c r="U247" s="20"/>
      <c r="V247" s="20"/>
      <c r="W247" s="20"/>
      <c r="X247" s="20"/>
      <c r="Y247" s="20"/>
      <c r="Z247" s="21"/>
      <c r="AA247" s="22"/>
      <c r="AB247" s="22"/>
    </row>
    <row r="248" spans="1:28" ht="15.75" customHeight="1" x14ac:dyDescent="0.25">
      <c r="A248" s="29"/>
      <c r="B248" s="30"/>
      <c r="C248" s="31"/>
      <c r="D248" s="31"/>
      <c r="E248" s="30"/>
      <c r="F248" s="30"/>
      <c r="G248" s="33"/>
      <c r="H248" s="30"/>
      <c r="I248" s="30"/>
      <c r="J248" s="30"/>
      <c r="K248" s="34"/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0"/>
      <c r="W248" s="20"/>
      <c r="X248" s="20"/>
      <c r="Y248" s="20"/>
      <c r="Z248" s="21"/>
      <c r="AA248" s="22"/>
      <c r="AB248" s="22"/>
    </row>
    <row r="249" spans="1:28" ht="15.75" customHeight="1" x14ac:dyDescent="0.25">
      <c r="A249" s="29"/>
      <c r="B249" s="30"/>
      <c r="C249" s="31"/>
      <c r="D249" s="31"/>
      <c r="E249" s="30"/>
      <c r="F249" s="30"/>
      <c r="G249" s="33"/>
      <c r="H249" s="30"/>
      <c r="I249" s="30"/>
      <c r="J249" s="30"/>
      <c r="K249" s="34"/>
      <c r="L249" s="20"/>
      <c r="M249" s="20"/>
      <c r="N249" s="20"/>
      <c r="O249" s="20"/>
      <c r="P249" s="20"/>
      <c r="Q249" s="20"/>
      <c r="R249" s="20"/>
      <c r="S249" s="20"/>
      <c r="T249" s="20"/>
      <c r="U249" s="20"/>
      <c r="V249" s="20"/>
      <c r="W249" s="20"/>
      <c r="X249" s="20"/>
      <c r="Y249" s="20"/>
      <c r="Z249" s="21"/>
      <c r="AA249" s="22"/>
      <c r="AB249" s="22"/>
    </row>
    <row r="250" spans="1:28" ht="15.75" customHeight="1" x14ac:dyDescent="0.25">
      <c r="A250" s="29"/>
      <c r="B250" s="30"/>
      <c r="C250" s="31"/>
      <c r="D250" s="31"/>
      <c r="E250" s="30"/>
      <c r="F250" s="30"/>
      <c r="G250" s="33"/>
      <c r="H250" s="30"/>
      <c r="I250" s="30"/>
      <c r="J250" s="30"/>
      <c r="K250" s="34"/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1"/>
      <c r="AA250" s="22"/>
      <c r="AB250" s="22"/>
    </row>
    <row r="251" spans="1:28" ht="15.75" customHeight="1" x14ac:dyDescent="0.25">
      <c r="A251" s="29"/>
      <c r="B251" s="30"/>
      <c r="C251" s="31"/>
      <c r="D251" s="31"/>
      <c r="E251" s="30"/>
      <c r="F251" s="30"/>
      <c r="G251" s="33"/>
      <c r="H251" s="30"/>
      <c r="I251" s="30"/>
      <c r="J251" s="30"/>
      <c r="K251" s="34"/>
      <c r="L251" s="20"/>
      <c r="M251" s="20"/>
      <c r="N251" s="20"/>
      <c r="O251" s="20"/>
      <c r="P251" s="20"/>
      <c r="Q251" s="20"/>
      <c r="R251" s="20"/>
      <c r="S251" s="20"/>
      <c r="T251" s="20"/>
      <c r="U251" s="20"/>
      <c r="V251" s="20"/>
      <c r="W251" s="20"/>
      <c r="X251" s="20"/>
      <c r="Y251" s="20"/>
      <c r="Z251" s="21"/>
      <c r="AA251" s="22"/>
      <c r="AB251" s="22"/>
    </row>
    <row r="252" spans="1:28" ht="15.75" customHeight="1" x14ac:dyDescent="0.25">
      <c r="A252" s="29"/>
      <c r="B252" s="30"/>
      <c r="C252" s="31"/>
      <c r="D252" s="31"/>
      <c r="E252" s="30"/>
      <c r="F252" s="30"/>
      <c r="G252" s="33"/>
      <c r="H252" s="30"/>
      <c r="I252" s="30"/>
      <c r="J252" s="30"/>
      <c r="K252" s="34"/>
      <c r="L252" s="20"/>
      <c r="M252" s="20"/>
      <c r="N252" s="20"/>
      <c r="O252" s="20"/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1"/>
      <c r="AA252" s="22"/>
      <c r="AB252" s="22"/>
    </row>
    <row r="253" spans="1:28" ht="15.75" customHeight="1" x14ac:dyDescent="0.25">
      <c r="A253" s="29"/>
      <c r="B253" s="30"/>
      <c r="C253" s="31"/>
      <c r="D253" s="31"/>
      <c r="E253" s="30"/>
      <c r="F253" s="30"/>
      <c r="G253" s="33"/>
      <c r="H253" s="30"/>
      <c r="I253" s="30"/>
      <c r="J253" s="30"/>
      <c r="K253" s="34"/>
      <c r="L253" s="20"/>
      <c r="M253" s="20"/>
      <c r="N253" s="20"/>
      <c r="O253" s="20"/>
      <c r="P253" s="20"/>
      <c r="Q253" s="20"/>
      <c r="R253" s="20"/>
      <c r="S253" s="20"/>
      <c r="T253" s="20"/>
      <c r="U253" s="20"/>
      <c r="V253" s="20"/>
      <c r="W253" s="20"/>
      <c r="X253" s="20"/>
      <c r="Y253" s="20"/>
      <c r="Z253" s="21"/>
      <c r="AA253" s="22"/>
      <c r="AB253" s="22"/>
    </row>
    <row r="254" spans="1:28" ht="15.75" customHeight="1" x14ac:dyDescent="0.25">
      <c r="A254" s="29"/>
      <c r="B254" s="30"/>
      <c r="C254" s="31"/>
      <c r="D254" s="31"/>
      <c r="E254" s="30"/>
      <c r="F254" s="30"/>
      <c r="G254" s="33"/>
      <c r="H254" s="30"/>
      <c r="I254" s="30"/>
      <c r="J254" s="30"/>
      <c r="K254" s="34"/>
      <c r="L254" s="20"/>
      <c r="M254" s="20"/>
      <c r="N254" s="20"/>
      <c r="O254" s="20"/>
      <c r="P254" s="20"/>
      <c r="Q254" s="20"/>
      <c r="R254" s="20"/>
      <c r="S254" s="20"/>
      <c r="T254" s="20"/>
      <c r="U254" s="20"/>
      <c r="V254" s="20"/>
      <c r="W254" s="20"/>
      <c r="X254" s="20"/>
      <c r="Y254" s="20"/>
      <c r="Z254" s="21"/>
      <c r="AA254" s="22"/>
      <c r="AB254" s="22"/>
    </row>
    <row r="255" spans="1:28" ht="15.75" customHeight="1" x14ac:dyDescent="0.25">
      <c r="A255" s="29"/>
      <c r="B255" s="30"/>
      <c r="C255" s="31"/>
      <c r="D255" s="31"/>
      <c r="E255" s="30"/>
      <c r="F255" s="30"/>
      <c r="G255" s="33"/>
      <c r="H255" s="30"/>
      <c r="I255" s="30"/>
      <c r="J255" s="30"/>
      <c r="K255" s="34"/>
      <c r="L255" s="20"/>
      <c r="M255" s="20"/>
      <c r="N255" s="20"/>
      <c r="O255" s="20"/>
      <c r="P255" s="20"/>
      <c r="Q255" s="20"/>
      <c r="R255" s="20"/>
      <c r="S255" s="20"/>
      <c r="T255" s="20"/>
      <c r="U255" s="20"/>
      <c r="V255" s="20"/>
      <c r="W255" s="20"/>
      <c r="X255" s="20"/>
      <c r="Y255" s="20"/>
      <c r="Z255" s="21"/>
      <c r="AA255" s="22"/>
      <c r="AB255" s="22"/>
    </row>
    <row r="256" spans="1:28" ht="15.75" customHeight="1" x14ac:dyDescent="0.25">
      <c r="A256" s="29"/>
      <c r="B256" s="30"/>
      <c r="C256" s="31"/>
      <c r="D256" s="31"/>
      <c r="E256" s="30"/>
      <c r="F256" s="30"/>
      <c r="G256" s="33"/>
      <c r="H256" s="30"/>
      <c r="I256" s="30"/>
      <c r="J256" s="30"/>
      <c r="K256" s="34"/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0"/>
      <c r="W256" s="20"/>
      <c r="X256" s="20"/>
      <c r="Y256" s="20"/>
      <c r="Z256" s="21"/>
      <c r="AA256" s="22"/>
      <c r="AB256" s="22"/>
    </row>
    <row r="257" spans="1:28" ht="15.75" customHeight="1" x14ac:dyDescent="0.25">
      <c r="A257" s="29"/>
      <c r="B257" s="30"/>
      <c r="C257" s="31"/>
      <c r="D257" s="31"/>
      <c r="E257" s="30"/>
      <c r="F257" s="30"/>
      <c r="G257" s="33"/>
      <c r="H257" s="30"/>
      <c r="I257" s="30"/>
      <c r="J257" s="30"/>
      <c r="K257" s="34"/>
      <c r="L257" s="20"/>
      <c r="M257" s="20"/>
      <c r="N257" s="20"/>
      <c r="O257" s="20"/>
      <c r="P257" s="20"/>
      <c r="Q257" s="20"/>
      <c r="R257" s="20"/>
      <c r="S257" s="20"/>
      <c r="T257" s="20"/>
      <c r="U257" s="20"/>
      <c r="V257" s="20"/>
      <c r="W257" s="20"/>
      <c r="X257" s="20"/>
      <c r="Y257" s="20"/>
      <c r="Z257" s="21"/>
      <c r="AA257" s="22"/>
      <c r="AB257" s="22"/>
    </row>
    <row r="258" spans="1:28" ht="15.75" customHeight="1" x14ac:dyDescent="0.25">
      <c r="A258" s="29"/>
      <c r="B258" s="30"/>
      <c r="C258" s="31"/>
      <c r="D258" s="31"/>
      <c r="E258" s="30"/>
      <c r="F258" s="30"/>
      <c r="G258" s="33"/>
      <c r="H258" s="30"/>
      <c r="I258" s="30"/>
      <c r="J258" s="30"/>
      <c r="K258" s="34"/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0"/>
      <c r="W258" s="20"/>
      <c r="X258" s="20"/>
      <c r="Y258" s="20"/>
      <c r="Z258" s="21"/>
      <c r="AA258" s="22"/>
      <c r="AB258" s="22"/>
    </row>
    <row r="259" spans="1:28" ht="15.75" customHeight="1" x14ac:dyDescent="0.25">
      <c r="A259" s="29"/>
      <c r="B259" s="30"/>
      <c r="C259" s="31"/>
      <c r="D259" s="31"/>
      <c r="E259" s="30"/>
      <c r="F259" s="30"/>
      <c r="G259" s="33"/>
      <c r="H259" s="30"/>
      <c r="I259" s="30"/>
      <c r="J259" s="30"/>
      <c r="K259" s="34"/>
      <c r="L259" s="20"/>
      <c r="M259" s="20"/>
      <c r="N259" s="20"/>
      <c r="O259" s="20"/>
      <c r="P259" s="20"/>
      <c r="Q259" s="20"/>
      <c r="R259" s="20"/>
      <c r="S259" s="20"/>
      <c r="T259" s="20"/>
      <c r="U259" s="20"/>
      <c r="V259" s="20"/>
      <c r="W259" s="20"/>
      <c r="X259" s="20"/>
      <c r="Y259" s="20"/>
      <c r="Z259" s="21"/>
      <c r="AA259" s="22"/>
      <c r="AB259" s="22"/>
    </row>
    <row r="260" spans="1:28" ht="15.75" customHeight="1" x14ac:dyDescent="0.25">
      <c r="A260" s="29"/>
      <c r="B260" s="30"/>
      <c r="C260" s="31"/>
      <c r="D260" s="31"/>
      <c r="E260" s="30"/>
      <c r="F260" s="30"/>
      <c r="G260" s="33"/>
      <c r="H260" s="30"/>
      <c r="I260" s="30"/>
      <c r="J260" s="30"/>
      <c r="K260" s="34"/>
      <c r="L260" s="20"/>
      <c r="M260" s="20"/>
      <c r="N260" s="20"/>
      <c r="O260" s="20"/>
      <c r="P260" s="20"/>
      <c r="Q260" s="20"/>
      <c r="R260" s="20"/>
      <c r="S260" s="20"/>
      <c r="T260" s="20"/>
      <c r="U260" s="20"/>
      <c r="V260" s="20"/>
      <c r="W260" s="20"/>
      <c r="X260" s="20"/>
      <c r="Y260" s="20"/>
      <c r="Z260" s="21"/>
      <c r="AA260" s="22"/>
      <c r="AB260" s="22"/>
    </row>
    <row r="261" spans="1:28" ht="15.75" customHeight="1" x14ac:dyDescent="0.25">
      <c r="A261" s="29"/>
      <c r="B261" s="30"/>
      <c r="C261" s="31"/>
      <c r="D261" s="31"/>
      <c r="E261" s="30"/>
      <c r="F261" s="30"/>
      <c r="G261" s="33"/>
      <c r="H261" s="30"/>
      <c r="I261" s="30"/>
      <c r="J261" s="30"/>
      <c r="K261" s="34"/>
      <c r="L261" s="20"/>
      <c r="M261" s="20"/>
      <c r="N261" s="20"/>
      <c r="O261" s="20"/>
      <c r="P261" s="20"/>
      <c r="Q261" s="20"/>
      <c r="R261" s="20"/>
      <c r="S261" s="20"/>
      <c r="T261" s="20"/>
      <c r="U261" s="20"/>
      <c r="V261" s="20"/>
      <c r="W261" s="20"/>
      <c r="X261" s="20"/>
      <c r="Y261" s="20"/>
      <c r="Z261" s="21"/>
      <c r="AA261" s="22"/>
      <c r="AB261" s="22"/>
    </row>
    <row r="262" spans="1:28" ht="15.75" customHeight="1" x14ac:dyDescent="0.25">
      <c r="A262" s="29"/>
      <c r="B262" s="30"/>
      <c r="C262" s="31"/>
      <c r="D262" s="31"/>
      <c r="E262" s="30"/>
      <c r="F262" s="30"/>
      <c r="G262" s="33"/>
      <c r="H262" s="30"/>
      <c r="I262" s="30"/>
      <c r="J262" s="30"/>
      <c r="K262" s="34"/>
      <c r="L262" s="20"/>
      <c r="M262" s="20"/>
      <c r="N262" s="20"/>
      <c r="O262" s="20"/>
      <c r="P262" s="20"/>
      <c r="Q262" s="20"/>
      <c r="R262" s="20"/>
      <c r="S262" s="20"/>
      <c r="T262" s="20"/>
      <c r="U262" s="20"/>
      <c r="V262" s="20"/>
      <c r="W262" s="20"/>
      <c r="X262" s="20"/>
      <c r="Y262" s="20"/>
      <c r="Z262" s="21"/>
      <c r="AA262" s="22"/>
      <c r="AB262" s="22"/>
    </row>
    <row r="263" spans="1:28" ht="15.75" customHeight="1" x14ac:dyDescent="0.25">
      <c r="A263" s="29"/>
      <c r="B263" s="30"/>
      <c r="C263" s="31"/>
      <c r="D263" s="31"/>
      <c r="E263" s="30"/>
      <c r="F263" s="30"/>
      <c r="G263" s="33"/>
      <c r="H263" s="30"/>
      <c r="I263" s="30"/>
      <c r="J263" s="30"/>
      <c r="K263" s="34"/>
      <c r="L263" s="20"/>
      <c r="M263" s="20"/>
      <c r="N263" s="20"/>
      <c r="O263" s="20"/>
      <c r="P263" s="20"/>
      <c r="Q263" s="20"/>
      <c r="R263" s="20"/>
      <c r="S263" s="20"/>
      <c r="T263" s="20"/>
      <c r="U263" s="20"/>
      <c r="V263" s="20"/>
      <c r="W263" s="20"/>
      <c r="X263" s="20"/>
      <c r="Y263" s="20"/>
      <c r="Z263" s="21"/>
      <c r="AA263" s="22"/>
      <c r="AB263" s="22"/>
    </row>
    <row r="264" spans="1:28" ht="15.75" customHeight="1" x14ac:dyDescent="0.25">
      <c r="A264" s="29"/>
      <c r="B264" s="30"/>
      <c r="C264" s="31"/>
      <c r="D264" s="31"/>
      <c r="E264" s="30"/>
      <c r="F264" s="30"/>
      <c r="G264" s="33"/>
      <c r="H264" s="30"/>
      <c r="I264" s="30"/>
      <c r="J264" s="30"/>
      <c r="K264" s="34"/>
      <c r="L264" s="20"/>
      <c r="M264" s="20"/>
      <c r="N264" s="20"/>
      <c r="O264" s="20"/>
      <c r="P264" s="20"/>
      <c r="Q264" s="20"/>
      <c r="R264" s="20"/>
      <c r="S264" s="20"/>
      <c r="T264" s="20"/>
      <c r="U264" s="20"/>
      <c r="V264" s="20"/>
      <c r="W264" s="20"/>
      <c r="X264" s="20"/>
      <c r="Y264" s="20"/>
      <c r="Z264" s="21"/>
      <c r="AA264" s="22"/>
      <c r="AB264" s="22"/>
    </row>
    <row r="265" spans="1:28" ht="15.75" customHeight="1" x14ac:dyDescent="0.25">
      <c r="A265" s="29"/>
      <c r="B265" s="30"/>
      <c r="C265" s="31"/>
      <c r="D265" s="31"/>
      <c r="E265" s="30"/>
      <c r="F265" s="30"/>
      <c r="G265" s="33"/>
      <c r="H265" s="30"/>
      <c r="I265" s="30"/>
      <c r="J265" s="30"/>
      <c r="K265" s="34"/>
      <c r="L265" s="20"/>
      <c r="M265" s="20"/>
      <c r="N265" s="20"/>
      <c r="O265" s="20"/>
      <c r="P265" s="20"/>
      <c r="Q265" s="20"/>
      <c r="R265" s="20"/>
      <c r="S265" s="20"/>
      <c r="T265" s="20"/>
      <c r="U265" s="20"/>
      <c r="V265" s="20"/>
      <c r="W265" s="20"/>
      <c r="X265" s="20"/>
      <c r="Y265" s="20"/>
      <c r="Z265" s="21"/>
      <c r="AA265" s="22"/>
      <c r="AB265" s="22"/>
    </row>
    <row r="266" spans="1:28" ht="15.75" customHeight="1" x14ac:dyDescent="0.25">
      <c r="A266" s="29"/>
      <c r="B266" s="30"/>
      <c r="C266" s="31"/>
      <c r="D266" s="31"/>
      <c r="E266" s="30"/>
      <c r="F266" s="30"/>
      <c r="G266" s="33"/>
      <c r="H266" s="30"/>
      <c r="I266" s="30"/>
      <c r="J266" s="30"/>
      <c r="K266" s="34"/>
      <c r="L266" s="20"/>
      <c r="M266" s="20"/>
      <c r="N266" s="20"/>
      <c r="O266" s="20"/>
      <c r="P266" s="20"/>
      <c r="Q266" s="20"/>
      <c r="R266" s="20"/>
      <c r="S266" s="20"/>
      <c r="T266" s="20"/>
      <c r="U266" s="20"/>
      <c r="V266" s="20"/>
      <c r="W266" s="20"/>
      <c r="X266" s="20"/>
      <c r="Y266" s="20"/>
      <c r="Z266" s="21"/>
      <c r="AA266" s="22"/>
      <c r="AB266" s="22"/>
    </row>
    <row r="267" spans="1:28" ht="15.75" customHeight="1" x14ac:dyDescent="0.25">
      <c r="A267" s="29"/>
      <c r="B267" s="30"/>
      <c r="C267" s="31"/>
      <c r="D267" s="31"/>
      <c r="E267" s="30"/>
      <c r="F267" s="30"/>
      <c r="G267" s="33"/>
      <c r="H267" s="30"/>
      <c r="I267" s="30"/>
      <c r="J267" s="30"/>
      <c r="K267" s="34"/>
      <c r="L267" s="20"/>
      <c r="M267" s="20"/>
      <c r="N267" s="20"/>
      <c r="O267" s="20"/>
      <c r="P267" s="20"/>
      <c r="Q267" s="20"/>
      <c r="R267" s="20"/>
      <c r="S267" s="20"/>
      <c r="T267" s="20"/>
      <c r="U267" s="20"/>
      <c r="V267" s="20"/>
      <c r="W267" s="20"/>
      <c r="X267" s="20"/>
      <c r="Y267" s="20"/>
      <c r="Z267" s="21"/>
      <c r="AA267" s="22"/>
      <c r="AB267" s="22"/>
    </row>
    <row r="268" spans="1:28" ht="15.75" customHeight="1" x14ac:dyDescent="0.25">
      <c r="A268" s="29"/>
      <c r="B268" s="30"/>
      <c r="C268" s="31"/>
      <c r="D268" s="31"/>
      <c r="E268" s="30"/>
      <c r="F268" s="30"/>
      <c r="G268" s="33"/>
      <c r="H268" s="30"/>
      <c r="I268" s="30"/>
      <c r="J268" s="30"/>
      <c r="K268" s="34"/>
      <c r="L268" s="20"/>
      <c r="M268" s="20"/>
      <c r="N268" s="20"/>
      <c r="O268" s="20"/>
      <c r="P268" s="20"/>
      <c r="Q268" s="20"/>
      <c r="R268" s="20"/>
      <c r="S268" s="20"/>
      <c r="T268" s="20"/>
      <c r="U268" s="20"/>
      <c r="V268" s="20"/>
      <c r="W268" s="20"/>
      <c r="X268" s="20"/>
      <c r="Y268" s="20"/>
      <c r="Z268" s="21"/>
      <c r="AA268" s="22"/>
      <c r="AB268" s="22"/>
    </row>
    <row r="269" spans="1:28" ht="15.75" customHeight="1" x14ac:dyDescent="0.25">
      <c r="A269" s="29"/>
      <c r="B269" s="30"/>
      <c r="C269" s="31"/>
      <c r="D269" s="31"/>
      <c r="E269" s="30"/>
      <c r="F269" s="30"/>
      <c r="G269" s="33"/>
      <c r="H269" s="30"/>
      <c r="I269" s="30"/>
      <c r="J269" s="30"/>
      <c r="K269" s="34"/>
      <c r="L269" s="20"/>
      <c r="M269" s="20"/>
      <c r="N269" s="20"/>
      <c r="O269" s="20"/>
      <c r="P269" s="20"/>
      <c r="Q269" s="20"/>
      <c r="R269" s="20"/>
      <c r="S269" s="20"/>
      <c r="T269" s="20"/>
      <c r="U269" s="20"/>
      <c r="V269" s="20"/>
      <c r="W269" s="20"/>
      <c r="X269" s="20"/>
      <c r="Y269" s="20"/>
      <c r="Z269" s="21"/>
      <c r="AA269" s="22"/>
      <c r="AB269" s="22"/>
    </row>
    <row r="270" spans="1:28" ht="15.75" customHeight="1" x14ac:dyDescent="0.25">
      <c r="A270" s="29"/>
      <c r="B270" s="30"/>
      <c r="C270" s="31"/>
      <c r="D270" s="31"/>
      <c r="E270" s="30"/>
      <c r="F270" s="30"/>
      <c r="G270" s="33"/>
      <c r="H270" s="30"/>
      <c r="I270" s="30"/>
      <c r="J270" s="30"/>
      <c r="K270" s="34"/>
      <c r="L270" s="20"/>
      <c r="M270" s="20"/>
      <c r="N270" s="20"/>
      <c r="O270" s="20"/>
      <c r="P270" s="20"/>
      <c r="Q270" s="20"/>
      <c r="R270" s="20"/>
      <c r="S270" s="20"/>
      <c r="T270" s="20"/>
      <c r="U270" s="20"/>
      <c r="V270" s="20"/>
      <c r="W270" s="20"/>
      <c r="X270" s="20"/>
      <c r="Y270" s="20"/>
      <c r="Z270" s="21"/>
      <c r="AA270" s="22"/>
      <c r="AB270" s="22"/>
    </row>
    <row r="271" spans="1:28" ht="15.75" customHeight="1" x14ac:dyDescent="0.25">
      <c r="A271" s="36"/>
      <c r="B271" s="37"/>
      <c r="C271" s="38"/>
      <c r="D271" s="38"/>
      <c r="E271" s="37"/>
      <c r="F271" s="37"/>
      <c r="G271" s="40"/>
      <c r="H271" s="37"/>
      <c r="I271" s="37"/>
      <c r="J271" s="37"/>
      <c r="K271" s="41"/>
      <c r="L271" s="20"/>
      <c r="M271" s="20"/>
      <c r="N271" s="20"/>
      <c r="O271" s="20"/>
      <c r="P271" s="20"/>
      <c r="Q271" s="20"/>
      <c r="R271" s="20"/>
      <c r="S271" s="20"/>
      <c r="T271" s="20"/>
      <c r="U271" s="20"/>
      <c r="V271" s="20"/>
      <c r="W271" s="20"/>
      <c r="X271" s="20"/>
      <c r="Y271" s="20"/>
      <c r="Z271" s="21"/>
      <c r="AA271" s="22"/>
      <c r="AB271" s="22"/>
    </row>
    <row r="272" spans="1:28" ht="15.75" customHeight="1" x14ac:dyDescent="0.25">
      <c r="A272" s="42"/>
      <c r="B272" s="42"/>
      <c r="C272" s="43"/>
      <c r="D272" s="43"/>
      <c r="E272" s="42"/>
      <c r="F272" s="42"/>
      <c r="G272" s="44"/>
      <c r="H272" s="42"/>
      <c r="I272" s="42"/>
      <c r="J272" s="42"/>
      <c r="K272" s="42"/>
      <c r="L272" s="20"/>
      <c r="M272" s="20"/>
      <c r="N272" s="20"/>
      <c r="O272" s="20"/>
      <c r="P272" s="20"/>
      <c r="Q272" s="20"/>
      <c r="R272" s="20"/>
      <c r="S272" s="20"/>
      <c r="T272" s="20"/>
      <c r="U272" s="20"/>
      <c r="V272" s="20"/>
      <c r="W272" s="20"/>
      <c r="X272" s="20"/>
      <c r="Y272" s="20"/>
      <c r="Z272" s="21"/>
      <c r="AA272" s="22"/>
      <c r="AB272" s="22"/>
    </row>
    <row r="273" spans="1:28" ht="15.75" customHeight="1" x14ac:dyDescent="0.25">
      <c r="A273" s="42"/>
      <c r="B273" s="42"/>
      <c r="C273" s="43"/>
      <c r="D273" s="43"/>
      <c r="E273" s="42"/>
      <c r="F273" s="42"/>
      <c r="G273" s="44"/>
      <c r="H273" s="42"/>
      <c r="I273" s="42"/>
      <c r="J273" s="42"/>
      <c r="K273" s="42"/>
      <c r="L273" s="20"/>
      <c r="M273" s="20"/>
      <c r="N273" s="20"/>
      <c r="O273" s="20"/>
      <c r="P273" s="20"/>
      <c r="Q273" s="20"/>
      <c r="R273" s="20"/>
      <c r="S273" s="20"/>
      <c r="T273" s="20"/>
      <c r="U273" s="20"/>
      <c r="V273" s="20"/>
      <c r="W273" s="20"/>
      <c r="X273" s="20"/>
      <c r="Y273" s="20"/>
      <c r="Z273" s="21"/>
      <c r="AA273" s="22"/>
      <c r="AB273" s="22"/>
    </row>
    <row r="274" spans="1:28" ht="15.75" customHeight="1" x14ac:dyDescent="0.25">
      <c r="A274" s="42"/>
      <c r="B274" s="42"/>
      <c r="C274" s="43"/>
      <c r="D274" s="43"/>
      <c r="E274" s="42"/>
      <c r="F274" s="42"/>
      <c r="G274" s="44"/>
      <c r="H274" s="42"/>
      <c r="I274" s="42"/>
      <c r="J274" s="42"/>
      <c r="K274" s="42"/>
      <c r="L274" s="20"/>
      <c r="M274" s="20"/>
      <c r="N274" s="20"/>
      <c r="O274" s="20"/>
      <c r="P274" s="20"/>
      <c r="Q274" s="20"/>
      <c r="R274" s="20"/>
      <c r="S274" s="20"/>
      <c r="T274" s="20"/>
      <c r="U274" s="20"/>
      <c r="V274" s="20"/>
      <c r="W274" s="20"/>
      <c r="X274" s="20"/>
      <c r="Y274" s="20"/>
      <c r="Z274" s="21"/>
      <c r="AA274" s="22"/>
      <c r="AB274" s="22"/>
    </row>
    <row r="275" spans="1:28" ht="15.75" customHeight="1" x14ac:dyDescent="0.25">
      <c r="A275" s="42"/>
      <c r="B275" s="42"/>
      <c r="C275" s="43"/>
      <c r="D275" s="43"/>
      <c r="E275" s="42"/>
      <c r="F275" s="42"/>
      <c r="G275" s="44"/>
      <c r="H275" s="42"/>
      <c r="I275" s="42"/>
      <c r="J275" s="42"/>
      <c r="K275" s="42"/>
      <c r="L275" s="20"/>
      <c r="M275" s="20"/>
      <c r="N275" s="20"/>
      <c r="O275" s="20"/>
      <c r="P275" s="20"/>
      <c r="Q275" s="20"/>
      <c r="R275" s="20"/>
      <c r="S275" s="20"/>
      <c r="T275" s="20"/>
      <c r="U275" s="20"/>
      <c r="V275" s="20"/>
      <c r="W275" s="20"/>
      <c r="X275" s="20"/>
      <c r="Y275" s="20"/>
      <c r="Z275" s="21"/>
      <c r="AA275" s="22"/>
      <c r="AB275" s="22"/>
    </row>
    <row r="276" spans="1:28" ht="15.75" customHeight="1" x14ac:dyDescent="0.25">
      <c r="A276" s="42"/>
      <c r="B276" s="42"/>
      <c r="C276" s="43"/>
      <c r="D276" s="43"/>
      <c r="E276" s="42"/>
      <c r="F276" s="42"/>
      <c r="G276" s="44"/>
      <c r="H276" s="42"/>
      <c r="I276" s="42"/>
      <c r="J276" s="42"/>
      <c r="K276" s="42"/>
      <c r="L276" s="20"/>
      <c r="M276" s="20"/>
      <c r="N276" s="20"/>
      <c r="O276" s="20"/>
      <c r="P276" s="20"/>
      <c r="Q276" s="20"/>
      <c r="R276" s="20"/>
      <c r="S276" s="20"/>
      <c r="T276" s="20"/>
      <c r="U276" s="20"/>
      <c r="V276" s="20"/>
      <c r="W276" s="20"/>
      <c r="X276" s="20"/>
      <c r="Y276" s="20"/>
      <c r="Z276" s="21"/>
      <c r="AA276" s="22"/>
      <c r="AB276" s="22"/>
    </row>
    <row r="277" spans="1:28" ht="15.75" customHeight="1" x14ac:dyDescent="0.25">
      <c r="A277" s="42"/>
      <c r="B277" s="42"/>
      <c r="C277" s="43"/>
      <c r="D277" s="43"/>
      <c r="E277" s="42"/>
      <c r="F277" s="42"/>
      <c r="G277" s="44"/>
      <c r="H277" s="42"/>
      <c r="I277" s="42"/>
      <c r="J277" s="42"/>
      <c r="K277" s="42"/>
      <c r="L277" s="20"/>
      <c r="M277" s="20"/>
      <c r="N277" s="20"/>
      <c r="O277" s="20"/>
      <c r="P277" s="20"/>
      <c r="Q277" s="20"/>
      <c r="R277" s="20"/>
      <c r="S277" s="20"/>
      <c r="T277" s="20"/>
      <c r="U277" s="20"/>
      <c r="V277" s="20"/>
      <c r="W277" s="20"/>
      <c r="X277" s="20"/>
      <c r="Y277" s="20"/>
      <c r="Z277" s="21"/>
      <c r="AA277" s="22"/>
      <c r="AB277" s="22"/>
    </row>
    <row r="278" spans="1:28" ht="15.75" customHeight="1" x14ac:dyDescent="0.25">
      <c r="A278" s="42"/>
      <c r="B278" s="42"/>
      <c r="C278" s="43"/>
      <c r="D278" s="43"/>
      <c r="E278" s="42"/>
      <c r="F278" s="42"/>
      <c r="G278" s="44"/>
      <c r="H278" s="42"/>
      <c r="I278" s="42"/>
      <c r="J278" s="42"/>
      <c r="K278" s="42"/>
      <c r="L278" s="20"/>
      <c r="M278" s="20"/>
      <c r="N278" s="20"/>
      <c r="O278" s="20"/>
      <c r="P278" s="20"/>
      <c r="Q278" s="20"/>
      <c r="R278" s="20"/>
      <c r="S278" s="20"/>
      <c r="T278" s="20"/>
      <c r="U278" s="20"/>
      <c r="V278" s="20"/>
      <c r="W278" s="20"/>
      <c r="X278" s="20"/>
      <c r="Y278" s="20"/>
      <c r="Z278" s="21"/>
      <c r="AA278" s="22"/>
      <c r="AB278" s="22"/>
    </row>
    <row r="279" spans="1:28" ht="15.75" customHeight="1" x14ac:dyDescent="0.25">
      <c r="A279" s="42"/>
      <c r="B279" s="42"/>
      <c r="C279" s="43"/>
      <c r="D279" s="43"/>
      <c r="E279" s="42"/>
      <c r="F279" s="42"/>
      <c r="G279" s="44"/>
      <c r="H279" s="42"/>
      <c r="I279" s="42"/>
      <c r="J279" s="42"/>
      <c r="K279" s="42"/>
      <c r="L279" s="20"/>
      <c r="M279" s="20"/>
      <c r="N279" s="20"/>
      <c r="O279" s="20"/>
      <c r="P279" s="20"/>
      <c r="Q279" s="20"/>
      <c r="R279" s="20"/>
      <c r="S279" s="20"/>
      <c r="T279" s="20"/>
      <c r="U279" s="20"/>
      <c r="V279" s="20"/>
      <c r="W279" s="20"/>
      <c r="X279" s="20"/>
      <c r="Y279" s="20"/>
      <c r="Z279" s="21"/>
      <c r="AA279" s="22"/>
      <c r="AB279" s="22"/>
    </row>
    <row r="280" spans="1:28" ht="15.75" customHeight="1" x14ac:dyDescent="0.25">
      <c r="A280" s="42"/>
      <c r="B280" s="42"/>
      <c r="C280" s="43"/>
      <c r="D280" s="43"/>
      <c r="E280" s="42"/>
      <c r="F280" s="42"/>
      <c r="G280" s="44"/>
      <c r="H280" s="42"/>
      <c r="I280" s="42"/>
      <c r="J280" s="42"/>
      <c r="K280" s="42"/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0"/>
      <c r="W280" s="20"/>
      <c r="X280" s="20"/>
      <c r="Y280" s="20"/>
      <c r="Z280" s="21"/>
      <c r="AA280" s="22"/>
      <c r="AB280" s="22"/>
    </row>
    <row r="281" spans="1:28" ht="15.75" customHeight="1" x14ac:dyDescent="0.25">
      <c r="A281" s="42"/>
      <c r="B281" s="42"/>
      <c r="C281" s="43"/>
      <c r="D281" s="43"/>
      <c r="E281" s="42"/>
      <c r="F281" s="42"/>
      <c r="G281" s="44"/>
      <c r="H281" s="42"/>
      <c r="I281" s="42"/>
      <c r="J281" s="42"/>
      <c r="K281" s="42"/>
      <c r="L281" s="20"/>
      <c r="M281" s="20"/>
      <c r="N281" s="20"/>
      <c r="O281" s="20"/>
      <c r="P281" s="20"/>
      <c r="Q281" s="20"/>
      <c r="R281" s="20"/>
      <c r="S281" s="20"/>
      <c r="T281" s="20"/>
      <c r="U281" s="20"/>
      <c r="V281" s="20"/>
      <c r="W281" s="20"/>
      <c r="X281" s="20"/>
      <c r="Y281" s="20"/>
      <c r="Z281" s="21"/>
      <c r="AA281" s="22"/>
      <c r="AB281" s="22"/>
    </row>
    <row r="282" spans="1:28" ht="15.75" customHeight="1" x14ac:dyDescent="0.25">
      <c r="A282" s="42"/>
      <c r="B282" s="42"/>
      <c r="C282" s="43"/>
      <c r="D282" s="43"/>
      <c r="E282" s="42"/>
      <c r="F282" s="42"/>
      <c r="G282" s="44"/>
      <c r="H282" s="42"/>
      <c r="I282" s="42"/>
      <c r="J282" s="42"/>
      <c r="K282" s="42"/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0"/>
      <c r="W282" s="20"/>
      <c r="X282" s="20"/>
      <c r="Y282" s="20"/>
      <c r="Z282" s="21"/>
      <c r="AA282" s="22"/>
      <c r="AB282" s="22"/>
    </row>
    <row r="283" spans="1:28" ht="15.75" customHeight="1" x14ac:dyDescent="0.25">
      <c r="A283" s="42"/>
      <c r="B283" s="42"/>
      <c r="C283" s="43"/>
      <c r="D283" s="43"/>
      <c r="E283" s="42"/>
      <c r="F283" s="42"/>
      <c r="G283" s="44"/>
      <c r="H283" s="42"/>
      <c r="I283" s="42"/>
      <c r="J283" s="42"/>
      <c r="K283" s="42"/>
      <c r="L283" s="20"/>
      <c r="M283" s="20"/>
      <c r="N283" s="20"/>
      <c r="O283" s="20"/>
      <c r="P283" s="20"/>
      <c r="Q283" s="20"/>
      <c r="R283" s="20"/>
      <c r="S283" s="20"/>
      <c r="T283" s="20"/>
      <c r="U283" s="20"/>
      <c r="V283" s="20"/>
      <c r="W283" s="20"/>
      <c r="X283" s="20"/>
      <c r="Y283" s="20"/>
      <c r="Z283" s="21"/>
      <c r="AA283" s="22"/>
      <c r="AB283" s="22"/>
    </row>
    <row r="284" spans="1:28" ht="15.75" customHeight="1" x14ac:dyDescent="0.25">
      <c r="A284" s="42"/>
      <c r="B284" s="42"/>
      <c r="C284" s="43"/>
      <c r="D284" s="43"/>
      <c r="E284" s="42"/>
      <c r="F284" s="42"/>
      <c r="G284" s="44"/>
      <c r="H284" s="42"/>
      <c r="I284" s="42"/>
      <c r="J284" s="42"/>
      <c r="K284" s="42"/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0"/>
      <c r="W284" s="20"/>
      <c r="X284" s="20"/>
      <c r="Y284" s="20"/>
      <c r="Z284" s="21"/>
      <c r="AA284" s="22"/>
      <c r="AB284" s="22"/>
    </row>
    <row r="285" spans="1:28" ht="15.75" customHeight="1" x14ac:dyDescent="0.25">
      <c r="A285" s="42"/>
      <c r="B285" s="42"/>
      <c r="C285" s="43"/>
      <c r="D285" s="43"/>
      <c r="E285" s="42"/>
      <c r="F285" s="42"/>
      <c r="G285" s="44"/>
      <c r="H285" s="42"/>
      <c r="I285" s="42"/>
      <c r="J285" s="42"/>
      <c r="K285" s="42"/>
      <c r="L285" s="20"/>
      <c r="M285" s="20"/>
      <c r="N285" s="20"/>
      <c r="O285" s="20"/>
      <c r="P285" s="20"/>
      <c r="Q285" s="20"/>
      <c r="R285" s="20"/>
      <c r="S285" s="20"/>
      <c r="T285" s="20"/>
      <c r="U285" s="20"/>
      <c r="V285" s="20"/>
      <c r="W285" s="20"/>
      <c r="X285" s="20"/>
      <c r="Y285" s="20"/>
      <c r="Z285" s="21"/>
      <c r="AA285" s="22"/>
      <c r="AB285" s="22"/>
    </row>
    <row r="286" spans="1:28" ht="15.75" customHeight="1" x14ac:dyDescent="0.25">
      <c r="A286" s="42"/>
      <c r="B286" s="42"/>
      <c r="C286" s="43"/>
      <c r="D286" s="43"/>
      <c r="E286" s="42"/>
      <c r="F286" s="42"/>
      <c r="G286" s="44"/>
      <c r="H286" s="42"/>
      <c r="I286" s="42"/>
      <c r="J286" s="42"/>
      <c r="K286" s="42"/>
      <c r="L286" s="20"/>
      <c r="M286" s="20"/>
      <c r="N286" s="20"/>
      <c r="O286" s="20"/>
      <c r="P286" s="20"/>
      <c r="Q286" s="20"/>
      <c r="R286" s="20"/>
      <c r="S286" s="20"/>
      <c r="T286" s="20"/>
      <c r="U286" s="20"/>
      <c r="V286" s="20"/>
      <c r="W286" s="20"/>
      <c r="X286" s="20"/>
      <c r="Y286" s="20"/>
      <c r="Z286" s="21"/>
      <c r="AA286" s="22"/>
      <c r="AB286" s="22"/>
    </row>
    <row r="287" spans="1:28" ht="15.75" customHeight="1" x14ac:dyDescent="0.25">
      <c r="A287" s="42"/>
      <c r="B287" s="42"/>
      <c r="C287" s="43"/>
      <c r="D287" s="43"/>
      <c r="E287" s="42"/>
      <c r="F287" s="42"/>
      <c r="G287" s="44"/>
      <c r="H287" s="42"/>
      <c r="I287" s="42"/>
      <c r="J287" s="42"/>
      <c r="K287" s="42"/>
      <c r="L287" s="20"/>
      <c r="M287" s="20"/>
      <c r="N287" s="20"/>
      <c r="O287" s="20"/>
      <c r="P287" s="20"/>
      <c r="Q287" s="20"/>
      <c r="R287" s="20"/>
      <c r="S287" s="20"/>
      <c r="T287" s="20"/>
      <c r="U287" s="20"/>
      <c r="V287" s="20"/>
      <c r="W287" s="20"/>
      <c r="X287" s="20"/>
      <c r="Y287" s="20"/>
      <c r="Z287" s="21"/>
      <c r="AA287" s="22"/>
      <c r="AB287" s="22"/>
    </row>
    <row r="288" spans="1:28" ht="15.75" customHeight="1" x14ac:dyDescent="0.25">
      <c r="A288" s="42"/>
      <c r="B288" s="42"/>
      <c r="C288" s="43"/>
      <c r="D288" s="43"/>
      <c r="E288" s="42"/>
      <c r="F288" s="42"/>
      <c r="G288" s="44"/>
      <c r="H288" s="42"/>
      <c r="I288" s="42"/>
      <c r="J288" s="42"/>
      <c r="K288" s="42"/>
      <c r="L288" s="20"/>
      <c r="M288" s="20"/>
      <c r="N288" s="20"/>
      <c r="O288" s="20"/>
      <c r="P288" s="20"/>
      <c r="Q288" s="20"/>
      <c r="R288" s="20"/>
      <c r="S288" s="20"/>
      <c r="T288" s="20"/>
      <c r="U288" s="20"/>
      <c r="V288" s="20"/>
      <c r="W288" s="20"/>
      <c r="X288" s="20"/>
      <c r="Y288" s="20"/>
      <c r="Z288" s="21"/>
      <c r="AA288" s="22"/>
      <c r="AB288" s="22"/>
    </row>
    <row r="289" spans="1:28" ht="15.75" customHeight="1" x14ac:dyDescent="0.25">
      <c r="A289" s="42"/>
      <c r="B289" s="42"/>
      <c r="C289" s="43"/>
      <c r="D289" s="43"/>
      <c r="E289" s="42"/>
      <c r="F289" s="42"/>
      <c r="G289" s="44"/>
      <c r="H289" s="42"/>
      <c r="I289" s="42"/>
      <c r="J289" s="42"/>
      <c r="K289" s="42"/>
      <c r="L289" s="20"/>
      <c r="M289" s="20"/>
      <c r="N289" s="20"/>
      <c r="O289" s="20"/>
      <c r="P289" s="20"/>
      <c r="Q289" s="20"/>
      <c r="R289" s="20"/>
      <c r="S289" s="20"/>
      <c r="T289" s="20"/>
      <c r="U289" s="20"/>
      <c r="V289" s="20"/>
      <c r="W289" s="20"/>
      <c r="X289" s="20"/>
      <c r="Y289" s="20"/>
      <c r="Z289" s="21"/>
      <c r="AA289" s="22"/>
      <c r="AB289" s="22"/>
    </row>
    <row r="290" spans="1:28" ht="15.75" customHeight="1" x14ac:dyDescent="0.25">
      <c r="A290" s="42"/>
      <c r="B290" s="42"/>
      <c r="C290" s="43"/>
      <c r="D290" s="43"/>
      <c r="E290" s="42"/>
      <c r="F290" s="42"/>
      <c r="G290" s="44"/>
      <c r="H290" s="42"/>
      <c r="I290" s="42"/>
      <c r="J290" s="42"/>
      <c r="K290" s="42"/>
      <c r="L290" s="20"/>
      <c r="M290" s="20"/>
      <c r="N290" s="20"/>
      <c r="O290" s="20"/>
      <c r="P290" s="20"/>
      <c r="Q290" s="20"/>
      <c r="R290" s="20"/>
      <c r="S290" s="20"/>
      <c r="T290" s="20"/>
      <c r="U290" s="20"/>
      <c r="V290" s="20"/>
      <c r="W290" s="20"/>
      <c r="X290" s="20"/>
      <c r="Y290" s="20"/>
      <c r="Z290" s="21"/>
      <c r="AA290" s="22"/>
      <c r="AB290" s="22"/>
    </row>
    <row r="291" spans="1:28" ht="15.75" customHeight="1" x14ac:dyDescent="0.25">
      <c r="A291" s="42"/>
      <c r="B291" s="42"/>
      <c r="C291" s="43"/>
      <c r="D291" s="43"/>
      <c r="E291" s="42"/>
      <c r="F291" s="42"/>
      <c r="G291" s="44"/>
      <c r="H291" s="42"/>
      <c r="I291" s="42"/>
      <c r="J291" s="42"/>
      <c r="K291" s="42"/>
      <c r="L291" s="20"/>
      <c r="M291" s="20"/>
      <c r="N291" s="20"/>
      <c r="O291" s="20"/>
      <c r="P291" s="20"/>
      <c r="Q291" s="20"/>
      <c r="R291" s="20"/>
      <c r="S291" s="20"/>
      <c r="T291" s="20"/>
      <c r="U291" s="20"/>
      <c r="V291" s="20"/>
      <c r="W291" s="20"/>
      <c r="X291" s="20"/>
      <c r="Y291" s="20"/>
      <c r="Z291" s="21"/>
      <c r="AA291" s="22"/>
      <c r="AB291" s="22"/>
    </row>
    <row r="292" spans="1:28" ht="15.75" customHeight="1" x14ac:dyDescent="0.25">
      <c r="A292" s="42"/>
      <c r="B292" s="42"/>
      <c r="C292" s="43"/>
      <c r="D292" s="43"/>
      <c r="E292" s="42"/>
      <c r="F292" s="42"/>
      <c r="G292" s="44"/>
      <c r="H292" s="42"/>
      <c r="I292" s="42"/>
      <c r="J292" s="42"/>
      <c r="K292" s="42"/>
      <c r="L292" s="20"/>
      <c r="M292" s="20"/>
      <c r="N292" s="20"/>
      <c r="O292" s="20"/>
      <c r="P292" s="20"/>
      <c r="Q292" s="20"/>
      <c r="R292" s="20"/>
      <c r="S292" s="20"/>
      <c r="T292" s="20"/>
      <c r="U292" s="20"/>
      <c r="V292" s="20"/>
      <c r="W292" s="20"/>
      <c r="X292" s="20"/>
      <c r="Y292" s="20"/>
      <c r="Z292" s="21"/>
      <c r="AA292" s="22"/>
      <c r="AB292" s="22"/>
    </row>
    <row r="293" spans="1:28" ht="15.75" customHeight="1" x14ac:dyDescent="0.25">
      <c r="A293" s="42"/>
      <c r="B293" s="42"/>
      <c r="C293" s="43"/>
      <c r="D293" s="43"/>
      <c r="E293" s="42"/>
      <c r="F293" s="42"/>
      <c r="G293" s="44"/>
      <c r="H293" s="42"/>
      <c r="I293" s="42"/>
      <c r="J293" s="42"/>
      <c r="K293" s="42"/>
      <c r="L293" s="20"/>
      <c r="M293" s="20"/>
      <c r="N293" s="20"/>
      <c r="O293" s="20"/>
      <c r="P293" s="20"/>
      <c r="Q293" s="20"/>
      <c r="R293" s="20"/>
      <c r="S293" s="20"/>
      <c r="T293" s="20"/>
      <c r="U293" s="20"/>
      <c r="V293" s="20"/>
      <c r="W293" s="20"/>
      <c r="X293" s="20"/>
      <c r="Y293" s="20"/>
      <c r="Z293" s="21"/>
      <c r="AA293" s="22"/>
      <c r="AB293" s="22"/>
    </row>
    <row r="294" spans="1:28" ht="15.75" customHeight="1" x14ac:dyDescent="0.25">
      <c r="A294" s="42"/>
      <c r="B294" s="42"/>
      <c r="C294" s="43"/>
      <c r="D294" s="43"/>
      <c r="E294" s="42"/>
      <c r="F294" s="42"/>
      <c r="G294" s="44"/>
      <c r="H294" s="42"/>
      <c r="I294" s="42"/>
      <c r="J294" s="42"/>
      <c r="K294" s="42"/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0"/>
      <c r="W294" s="20"/>
      <c r="X294" s="20"/>
      <c r="Y294" s="20"/>
      <c r="Z294" s="21"/>
      <c r="AA294" s="22"/>
      <c r="AB294" s="22"/>
    </row>
    <row r="295" spans="1:28" ht="15.75" customHeight="1" x14ac:dyDescent="0.25">
      <c r="A295" s="42"/>
      <c r="B295" s="42"/>
      <c r="C295" s="43"/>
      <c r="D295" s="43"/>
      <c r="E295" s="42"/>
      <c r="F295" s="42"/>
      <c r="G295" s="44"/>
      <c r="H295" s="42"/>
      <c r="I295" s="42"/>
      <c r="J295" s="42"/>
      <c r="K295" s="42"/>
      <c r="L295" s="20"/>
      <c r="M295" s="20"/>
      <c r="N295" s="20"/>
      <c r="O295" s="20"/>
      <c r="P295" s="20"/>
      <c r="Q295" s="20"/>
      <c r="R295" s="20"/>
      <c r="S295" s="20"/>
      <c r="T295" s="20"/>
      <c r="U295" s="20"/>
      <c r="V295" s="20"/>
      <c r="W295" s="20"/>
      <c r="X295" s="20"/>
      <c r="Y295" s="20"/>
      <c r="Z295" s="21"/>
      <c r="AA295" s="22"/>
      <c r="AB295" s="22"/>
    </row>
    <row r="296" spans="1:28" ht="15.75" customHeight="1" x14ac:dyDescent="0.25">
      <c r="A296" s="42"/>
      <c r="B296" s="42"/>
      <c r="C296" s="43"/>
      <c r="D296" s="43"/>
      <c r="E296" s="42"/>
      <c r="F296" s="42"/>
      <c r="G296" s="44"/>
      <c r="H296" s="42"/>
      <c r="I296" s="42"/>
      <c r="J296" s="42"/>
      <c r="K296" s="42"/>
      <c r="L296" s="20"/>
      <c r="M296" s="20"/>
      <c r="N296" s="20"/>
      <c r="O296" s="20"/>
      <c r="P296" s="20"/>
      <c r="Q296" s="20"/>
      <c r="R296" s="20"/>
      <c r="S296" s="20"/>
      <c r="T296" s="20"/>
      <c r="U296" s="20"/>
      <c r="V296" s="20"/>
      <c r="W296" s="20"/>
      <c r="X296" s="20"/>
      <c r="Y296" s="20"/>
      <c r="Z296" s="21"/>
      <c r="AA296" s="22"/>
      <c r="AB296" s="22"/>
    </row>
    <row r="297" spans="1:28" ht="15.75" customHeight="1" x14ac:dyDescent="0.25">
      <c r="A297" s="42"/>
      <c r="B297" s="42"/>
      <c r="C297" s="43"/>
      <c r="D297" s="43"/>
      <c r="E297" s="42"/>
      <c r="F297" s="42"/>
      <c r="G297" s="44"/>
      <c r="H297" s="42"/>
      <c r="I297" s="42"/>
      <c r="J297" s="42"/>
      <c r="K297" s="42"/>
      <c r="L297" s="20"/>
      <c r="M297" s="20"/>
      <c r="N297" s="20"/>
      <c r="O297" s="20"/>
      <c r="P297" s="20"/>
      <c r="Q297" s="20"/>
      <c r="R297" s="20"/>
      <c r="S297" s="20"/>
      <c r="T297" s="20"/>
      <c r="U297" s="20"/>
      <c r="V297" s="20"/>
      <c r="W297" s="20"/>
      <c r="X297" s="20"/>
      <c r="Y297" s="20"/>
      <c r="Z297" s="21"/>
      <c r="AA297" s="22"/>
      <c r="AB297" s="22"/>
    </row>
    <row r="298" spans="1:28" ht="15.75" customHeight="1" x14ac:dyDescent="0.25">
      <c r="A298" s="42"/>
      <c r="B298" s="42"/>
      <c r="C298" s="43"/>
      <c r="D298" s="43"/>
      <c r="E298" s="42"/>
      <c r="F298" s="42"/>
      <c r="G298" s="44"/>
      <c r="H298" s="42"/>
      <c r="I298" s="42"/>
      <c r="J298" s="42"/>
      <c r="K298" s="42"/>
      <c r="L298" s="20"/>
      <c r="M298" s="20"/>
      <c r="N298" s="20"/>
      <c r="O298" s="20"/>
      <c r="P298" s="20"/>
      <c r="Q298" s="20"/>
      <c r="R298" s="20"/>
      <c r="S298" s="20"/>
      <c r="T298" s="20"/>
      <c r="U298" s="20"/>
      <c r="V298" s="20"/>
      <c r="W298" s="20"/>
      <c r="X298" s="20"/>
      <c r="Y298" s="20"/>
      <c r="Z298" s="21"/>
      <c r="AA298" s="22"/>
      <c r="AB298" s="22"/>
    </row>
    <row r="299" spans="1:28" ht="15.75" customHeight="1" x14ac:dyDescent="0.25">
      <c r="A299" s="42"/>
      <c r="B299" s="42"/>
      <c r="C299" s="43"/>
      <c r="D299" s="43"/>
      <c r="E299" s="42"/>
      <c r="F299" s="42"/>
      <c r="G299" s="44"/>
      <c r="H299" s="42"/>
      <c r="I299" s="42"/>
      <c r="J299" s="42"/>
      <c r="K299" s="42"/>
      <c r="L299" s="20"/>
      <c r="M299" s="20"/>
      <c r="N299" s="20"/>
      <c r="O299" s="20"/>
      <c r="P299" s="20"/>
      <c r="Q299" s="20"/>
      <c r="R299" s="20"/>
      <c r="S299" s="20"/>
      <c r="T299" s="20"/>
      <c r="U299" s="20"/>
      <c r="V299" s="20"/>
      <c r="W299" s="20"/>
      <c r="X299" s="20"/>
      <c r="Y299" s="20"/>
      <c r="Z299" s="21"/>
      <c r="AA299" s="22"/>
      <c r="AB299" s="22"/>
    </row>
    <row r="300" spans="1:28" ht="15.75" customHeight="1" x14ac:dyDescent="0.25">
      <c r="A300" s="42"/>
      <c r="B300" s="42"/>
      <c r="C300" s="43"/>
      <c r="D300" s="43"/>
      <c r="E300" s="42"/>
      <c r="F300" s="42"/>
      <c r="G300" s="44"/>
      <c r="H300" s="42"/>
      <c r="I300" s="42"/>
      <c r="J300" s="42"/>
      <c r="K300" s="42"/>
      <c r="L300" s="20"/>
      <c r="M300" s="20"/>
      <c r="N300" s="20"/>
      <c r="O300" s="20"/>
      <c r="P300" s="20"/>
      <c r="Q300" s="20"/>
      <c r="R300" s="20"/>
      <c r="S300" s="20"/>
      <c r="T300" s="20"/>
      <c r="U300" s="20"/>
      <c r="V300" s="20"/>
      <c r="W300" s="20"/>
      <c r="X300" s="20"/>
      <c r="Y300" s="20"/>
      <c r="Z300" s="21"/>
      <c r="AA300" s="22"/>
      <c r="AB300" s="22"/>
    </row>
    <row r="301" spans="1:28" ht="15.75" customHeight="1" x14ac:dyDescent="0.25">
      <c r="A301" s="42"/>
      <c r="B301" s="42"/>
      <c r="C301" s="43"/>
      <c r="D301" s="43"/>
      <c r="E301" s="42"/>
      <c r="F301" s="42"/>
      <c r="G301" s="44"/>
      <c r="H301" s="42"/>
      <c r="I301" s="42"/>
      <c r="J301" s="42"/>
      <c r="K301" s="42"/>
      <c r="L301" s="20"/>
      <c r="M301" s="20"/>
      <c r="N301" s="20"/>
      <c r="O301" s="20"/>
      <c r="P301" s="20"/>
      <c r="Q301" s="20"/>
      <c r="R301" s="20"/>
      <c r="S301" s="20"/>
      <c r="T301" s="20"/>
      <c r="U301" s="20"/>
      <c r="V301" s="20"/>
      <c r="W301" s="20"/>
      <c r="X301" s="20"/>
      <c r="Y301" s="20"/>
      <c r="Z301" s="21"/>
      <c r="AA301" s="22"/>
      <c r="AB301" s="22"/>
    </row>
    <row r="302" spans="1:28" ht="15.75" customHeight="1" x14ac:dyDescent="0.25">
      <c r="A302" s="42"/>
      <c r="B302" s="42"/>
      <c r="C302" s="43"/>
      <c r="D302" s="43"/>
      <c r="E302" s="42"/>
      <c r="F302" s="42"/>
      <c r="G302" s="44"/>
      <c r="H302" s="42"/>
      <c r="I302" s="42"/>
      <c r="J302" s="42"/>
      <c r="K302" s="42"/>
      <c r="L302" s="20"/>
      <c r="M302" s="20"/>
      <c r="N302" s="20"/>
      <c r="O302" s="20"/>
      <c r="P302" s="20"/>
      <c r="Q302" s="20"/>
      <c r="R302" s="20"/>
      <c r="S302" s="20"/>
      <c r="T302" s="20"/>
      <c r="U302" s="20"/>
      <c r="V302" s="20"/>
      <c r="W302" s="20"/>
      <c r="X302" s="20"/>
      <c r="Y302" s="20"/>
      <c r="Z302" s="21"/>
      <c r="AA302" s="22"/>
      <c r="AB302" s="22"/>
    </row>
    <row r="303" spans="1:28" ht="15.75" customHeight="1" x14ac:dyDescent="0.25">
      <c r="A303" s="42"/>
      <c r="B303" s="42"/>
      <c r="C303" s="43"/>
      <c r="D303" s="43"/>
      <c r="E303" s="42"/>
      <c r="F303" s="42"/>
      <c r="G303" s="44"/>
      <c r="H303" s="42"/>
      <c r="I303" s="42"/>
      <c r="J303" s="42"/>
      <c r="K303" s="42"/>
      <c r="L303" s="20"/>
      <c r="M303" s="20"/>
      <c r="N303" s="20"/>
      <c r="O303" s="20"/>
      <c r="P303" s="20"/>
      <c r="Q303" s="20"/>
      <c r="R303" s="20"/>
      <c r="S303" s="20"/>
      <c r="T303" s="20"/>
      <c r="U303" s="20"/>
      <c r="V303" s="20"/>
      <c r="W303" s="20"/>
      <c r="X303" s="20"/>
      <c r="Y303" s="20"/>
      <c r="Z303" s="21"/>
      <c r="AA303" s="22"/>
      <c r="AB303" s="22"/>
    </row>
    <row r="304" spans="1:28" ht="15.75" customHeight="1" x14ac:dyDescent="0.25">
      <c r="A304" s="42"/>
      <c r="B304" s="42"/>
      <c r="C304" s="43"/>
      <c r="D304" s="43"/>
      <c r="E304" s="42"/>
      <c r="F304" s="42"/>
      <c r="G304" s="44"/>
      <c r="H304" s="42"/>
      <c r="I304" s="42"/>
      <c r="J304" s="42"/>
      <c r="K304" s="42"/>
      <c r="L304" s="20"/>
      <c r="M304" s="20"/>
      <c r="N304" s="20"/>
      <c r="O304" s="20"/>
      <c r="P304" s="20"/>
      <c r="Q304" s="20"/>
      <c r="R304" s="20"/>
      <c r="S304" s="20"/>
      <c r="T304" s="20"/>
      <c r="U304" s="20"/>
      <c r="V304" s="20"/>
      <c r="W304" s="20"/>
      <c r="X304" s="20"/>
      <c r="Y304" s="20"/>
      <c r="Z304" s="21"/>
      <c r="AA304" s="22"/>
      <c r="AB304" s="22"/>
    </row>
    <row r="305" spans="1:28" ht="15.75" customHeight="1" x14ac:dyDescent="0.25">
      <c r="A305" s="42"/>
      <c r="B305" s="42"/>
      <c r="C305" s="43"/>
      <c r="D305" s="43"/>
      <c r="E305" s="42"/>
      <c r="F305" s="42"/>
      <c r="G305" s="44"/>
      <c r="H305" s="42"/>
      <c r="I305" s="42"/>
      <c r="J305" s="42"/>
      <c r="K305" s="42"/>
      <c r="L305" s="20"/>
      <c r="M305" s="20"/>
      <c r="N305" s="20"/>
      <c r="O305" s="20"/>
      <c r="P305" s="20"/>
      <c r="Q305" s="20"/>
      <c r="R305" s="20"/>
      <c r="S305" s="20"/>
      <c r="T305" s="20"/>
      <c r="U305" s="20"/>
      <c r="V305" s="20"/>
      <c r="W305" s="20"/>
      <c r="X305" s="20"/>
      <c r="Y305" s="20"/>
      <c r="Z305" s="21"/>
      <c r="AA305" s="22"/>
      <c r="AB305" s="22"/>
    </row>
    <row r="306" spans="1:28" ht="15.75" customHeight="1" x14ac:dyDescent="0.25">
      <c r="A306" s="42"/>
      <c r="B306" s="42"/>
      <c r="C306" s="43"/>
      <c r="D306" s="43"/>
      <c r="E306" s="42"/>
      <c r="F306" s="42"/>
      <c r="G306" s="44"/>
      <c r="H306" s="42"/>
      <c r="I306" s="42"/>
      <c r="J306" s="42"/>
      <c r="K306" s="42"/>
      <c r="L306" s="20"/>
      <c r="M306" s="20"/>
      <c r="N306" s="20"/>
      <c r="O306" s="20"/>
      <c r="P306" s="20"/>
      <c r="Q306" s="20"/>
      <c r="R306" s="20"/>
      <c r="S306" s="20"/>
      <c r="T306" s="20"/>
      <c r="U306" s="20"/>
      <c r="V306" s="20"/>
      <c r="W306" s="20"/>
      <c r="X306" s="20"/>
      <c r="Y306" s="20"/>
      <c r="Z306" s="21"/>
      <c r="AA306" s="22"/>
      <c r="AB306" s="22"/>
    </row>
    <row r="307" spans="1:28" ht="15.75" customHeight="1" x14ac:dyDescent="0.25">
      <c r="A307" s="42"/>
      <c r="B307" s="42"/>
      <c r="C307" s="43"/>
      <c r="D307" s="43"/>
      <c r="E307" s="42"/>
      <c r="F307" s="42"/>
      <c r="G307" s="44"/>
      <c r="H307" s="42"/>
      <c r="I307" s="42"/>
      <c r="J307" s="42"/>
      <c r="K307" s="42"/>
      <c r="L307" s="20"/>
      <c r="M307" s="20"/>
      <c r="N307" s="20"/>
      <c r="O307" s="20"/>
      <c r="P307" s="20"/>
      <c r="Q307" s="20"/>
      <c r="R307" s="20"/>
      <c r="S307" s="20"/>
      <c r="T307" s="20"/>
      <c r="U307" s="20"/>
      <c r="V307" s="20"/>
      <c r="W307" s="20"/>
      <c r="X307" s="20"/>
      <c r="Y307" s="20"/>
      <c r="Z307" s="21"/>
      <c r="AA307" s="22"/>
      <c r="AB307" s="22"/>
    </row>
    <row r="308" spans="1:28" ht="15.75" customHeight="1" x14ac:dyDescent="0.25">
      <c r="A308" s="42"/>
      <c r="B308" s="42"/>
      <c r="C308" s="43"/>
      <c r="D308" s="43"/>
      <c r="E308" s="42"/>
      <c r="F308" s="42"/>
      <c r="G308" s="44"/>
      <c r="H308" s="42"/>
      <c r="I308" s="42"/>
      <c r="J308" s="42"/>
      <c r="K308" s="42"/>
      <c r="L308" s="20"/>
      <c r="M308" s="20"/>
      <c r="N308" s="20"/>
      <c r="O308" s="20"/>
      <c r="P308" s="20"/>
      <c r="Q308" s="20"/>
      <c r="R308" s="20"/>
      <c r="S308" s="20"/>
      <c r="T308" s="20"/>
      <c r="U308" s="20"/>
      <c r="V308" s="20"/>
      <c r="W308" s="20"/>
      <c r="X308" s="20"/>
      <c r="Y308" s="20"/>
      <c r="Z308" s="21"/>
      <c r="AA308" s="22"/>
      <c r="AB308" s="22"/>
    </row>
    <row r="309" spans="1:28" ht="15.75" customHeight="1" x14ac:dyDescent="0.25">
      <c r="A309" s="45"/>
      <c r="B309" s="45"/>
      <c r="C309" s="46"/>
      <c r="D309" s="46"/>
      <c r="E309" s="45"/>
      <c r="F309" s="45"/>
      <c r="G309" s="47"/>
      <c r="H309" s="45"/>
      <c r="I309" s="45"/>
      <c r="J309" s="45"/>
      <c r="K309" s="45"/>
      <c r="L309" s="20"/>
      <c r="M309" s="20"/>
      <c r="N309" s="20"/>
      <c r="O309" s="20"/>
      <c r="P309" s="20"/>
      <c r="Q309" s="20"/>
      <c r="R309" s="20"/>
      <c r="S309" s="20"/>
      <c r="T309" s="20"/>
      <c r="U309" s="20"/>
      <c r="V309" s="20"/>
      <c r="W309" s="20"/>
      <c r="X309" s="20"/>
      <c r="Y309" s="20"/>
      <c r="Z309" s="21"/>
      <c r="AA309" s="22"/>
      <c r="AB309" s="23"/>
    </row>
    <row r="310" spans="1:28" ht="15.75" customHeight="1" x14ac:dyDescent="0.25">
      <c r="A310" s="45"/>
      <c r="B310" s="45"/>
      <c r="C310" s="46"/>
      <c r="D310" s="46"/>
      <c r="E310" s="45"/>
      <c r="F310" s="45"/>
      <c r="G310" s="47"/>
      <c r="H310" s="45"/>
      <c r="I310" s="45"/>
      <c r="J310" s="45"/>
      <c r="K310" s="45"/>
      <c r="L310" s="20"/>
      <c r="M310" s="20"/>
      <c r="N310" s="20"/>
      <c r="O310" s="20"/>
      <c r="P310" s="20"/>
      <c r="Q310" s="20"/>
      <c r="R310" s="20"/>
      <c r="S310" s="20"/>
      <c r="T310" s="20"/>
      <c r="U310" s="20"/>
      <c r="V310" s="20"/>
      <c r="W310" s="20"/>
      <c r="X310" s="20"/>
      <c r="Y310" s="20"/>
      <c r="Z310" s="21"/>
      <c r="AA310" s="22"/>
      <c r="AB310" s="23"/>
    </row>
    <row r="311" spans="1:28" ht="15.75" customHeight="1" x14ac:dyDescent="0.25">
      <c r="A311" s="45"/>
      <c r="B311" s="45"/>
      <c r="C311" s="46"/>
      <c r="D311" s="46"/>
      <c r="E311" s="45"/>
      <c r="F311" s="45"/>
      <c r="G311" s="47"/>
      <c r="H311" s="45"/>
      <c r="I311" s="45"/>
      <c r="J311" s="45"/>
      <c r="K311" s="45"/>
      <c r="L311" s="20"/>
      <c r="M311" s="20"/>
      <c r="N311" s="20"/>
      <c r="O311" s="20"/>
      <c r="P311" s="20"/>
      <c r="Q311" s="20"/>
      <c r="R311" s="20"/>
      <c r="S311" s="20"/>
      <c r="T311" s="20"/>
      <c r="U311" s="20"/>
      <c r="V311" s="20"/>
      <c r="W311" s="20"/>
      <c r="X311" s="20"/>
      <c r="Y311" s="20"/>
      <c r="Z311" s="21"/>
      <c r="AA311" s="22"/>
      <c r="AB311" s="23"/>
    </row>
    <row r="312" spans="1:28" ht="15.75" customHeight="1" x14ac:dyDescent="0.25">
      <c r="A312" s="45"/>
      <c r="B312" s="45"/>
      <c r="C312" s="46"/>
      <c r="D312" s="46"/>
      <c r="E312" s="45"/>
      <c r="F312" s="45"/>
      <c r="G312" s="47"/>
      <c r="H312" s="45"/>
      <c r="I312" s="45"/>
      <c r="J312" s="45"/>
      <c r="K312" s="45"/>
      <c r="L312" s="20"/>
      <c r="M312" s="20"/>
      <c r="N312" s="20"/>
      <c r="O312" s="20"/>
      <c r="P312" s="20"/>
      <c r="Q312" s="20"/>
      <c r="R312" s="20"/>
      <c r="S312" s="20"/>
      <c r="T312" s="20"/>
      <c r="U312" s="20"/>
      <c r="V312" s="20"/>
      <c r="W312" s="20"/>
      <c r="X312" s="20"/>
      <c r="Y312" s="20"/>
      <c r="Z312" s="21"/>
      <c r="AA312" s="22"/>
      <c r="AB312" s="23"/>
    </row>
    <row r="313" spans="1:28" ht="15.75" customHeight="1" x14ac:dyDescent="0.25">
      <c r="A313" s="45"/>
      <c r="B313" s="45"/>
      <c r="C313" s="46"/>
      <c r="D313" s="46"/>
      <c r="E313" s="45"/>
      <c r="F313" s="45"/>
      <c r="G313" s="47"/>
      <c r="H313" s="45"/>
      <c r="I313" s="45"/>
      <c r="J313" s="45"/>
      <c r="K313" s="45"/>
      <c r="L313" s="20"/>
      <c r="M313" s="20"/>
      <c r="N313" s="20"/>
      <c r="O313" s="20"/>
      <c r="P313" s="20"/>
      <c r="Q313" s="20"/>
      <c r="R313" s="20"/>
      <c r="S313" s="20"/>
      <c r="T313" s="20"/>
      <c r="U313" s="20"/>
      <c r="V313" s="20"/>
      <c r="W313" s="20"/>
      <c r="X313" s="20"/>
      <c r="Y313" s="20"/>
      <c r="Z313" s="21"/>
      <c r="AA313" s="22"/>
      <c r="AB313" s="23"/>
    </row>
    <row r="314" spans="1:28" ht="15.75" customHeight="1" x14ac:dyDescent="0.25">
      <c r="A314" s="45"/>
      <c r="B314" s="45"/>
      <c r="C314" s="46"/>
      <c r="D314" s="46"/>
      <c r="E314" s="45"/>
      <c r="F314" s="45"/>
      <c r="G314" s="47"/>
      <c r="H314" s="45"/>
      <c r="I314" s="45"/>
      <c r="J314" s="45"/>
      <c r="K314" s="45"/>
      <c r="L314" s="20"/>
      <c r="M314" s="20"/>
      <c r="N314" s="20"/>
      <c r="O314" s="20"/>
      <c r="P314" s="20"/>
      <c r="Q314" s="20"/>
      <c r="R314" s="20"/>
      <c r="S314" s="20"/>
      <c r="T314" s="20"/>
      <c r="U314" s="20"/>
      <c r="V314" s="20"/>
      <c r="W314" s="20"/>
      <c r="X314" s="20"/>
      <c r="Y314" s="20"/>
      <c r="Z314" s="21"/>
      <c r="AA314" s="22"/>
      <c r="AB314" s="23"/>
    </row>
    <row r="315" spans="1:28" ht="15.75" customHeight="1" x14ac:dyDescent="0.25">
      <c r="A315" s="45"/>
      <c r="B315" s="45"/>
      <c r="C315" s="46"/>
      <c r="D315" s="46"/>
      <c r="E315" s="45"/>
      <c r="F315" s="45"/>
      <c r="G315" s="47"/>
      <c r="H315" s="45"/>
      <c r="I315" s="45"/>
      <c r="J315" s="45"/>
      <c r="K315" s="45"/>
      <c r="L315" s="20"/>
      <c r="M315" s="20"/>
      <c r="N315" s="20"/>
      <c r="O315" s="20"/>
      <c r="P315" s="20"/>
      <c r="Q315" s="20"/>
      <c r="R315" s="20"/>
      <c r="S315" s="20"/>
      <c r="T315" s="20"/>
      <c r="U315" s="20"/>
      <c r="V315" s="20"/>
      <c r="W315" s="20"/>
      <c r="X315" s="20"/>
      <c r="Y315" s="20"/>
      <c r="Z315" s="21"/>
      <c r="AA315" s="22"/>
      <c r="AB315" s="23"/>
    </row>
    <row r="316" spans="1:28" ht="15.75" customHeight="1" x14ac:dyDescent="0.25">
      <c r="A316" s="45"/>
      <c r="B316" s="45"/>
      <c r="C316" s="46"/>
      <c r="D316" s="46"/>
      <c r="E316" s="45"/>
      <c r="F316" s="45"/>
      <c r="G316" s="47"/>
      <c r="H316" s="45"/>
      <c r="I316" s="45"/>
      <c r="J316" s="45"/>
      <c r="K316" s="45"/>
      <c r="L316" s="20"/>
      <c r="M316" s="20"/>
      <c r="N316" s="20"/>
      <c r="O316" s="20"/>
      <c r="P316" s="20"/>
      <c r="Q316" s="20"/>
      <c r="R316" s="20"/>
      <c r="S316" s="20"/>
      <c r="T316" s="20"/>
      <c r="U316" s="20"/>
      <c r="V316" s="20"/>
      <c r="W316" s="20"/>
      <c r="X316" s="20"/>
      <c r="Y316" s="20"/>
      <c r="Z316" s="21"/>
      <c r="AA316" s="22"/>
      <c r="AB316" s="23"/>
    </row>
    <row r="317" spans="1:28" ht="15.75" customHeight="1" x14ac:dyDescent="0.25">
      <c r="A317" s="45"/>
      <c r="B317" s="45"/>
      <c r="C317" s="46"/>
      <c r="D317" s="46"/>
      <c r="E317" s="45"/>
      <c r="F317" s="45"/>
      <c r="G317" s="47"/>
      <c r="H317" s="45"/>
      <c r="I317" s="45"/>
      <c r="J317" s="45"/>
      <c r="K317" s="45"/>
      <c r="L317" s="20"/>
      <c r="M317" s="20"/>
      <c r="N317" s="20"/>
      <c r="O317" s="20"/>
      <c r="P317" s="20"/>
      <c r="Q317" s="20"/>
      <c r="R317" s="20"/>
      <c r="S317" s="20"/>
      <c r="T317" s="20"/>
      <c r="U317" s="20"/>
      <c r="V317" s="20"/>
      <c r="W317" s="20"/>
      <c r="X317" s="20"/>
      <c r="Y317" s="20"/>
      <c r="Z317" s="21"/>
      <c r="AA317" s="22"/>
      <c r="AB317" s="23"/>
    </row>
    <row r="318" spans="1:28" ht="15.75" customHeight="1" x14ac:dyDescent="0.25">
      <c r="A318" s="45"/>
      <c r="B318" s="45"/>
      <c r="C318" s="46"/>
      <c r="D318" s="46"/>
      <c r="E318" s="45"/>
      <c r="F318" s="45"/>
      <c r="G318" s="47"/>
      <c r="H318" s="45"/>
      <c r="I318" s="45"/>
      <c r="J318" s="45"/>
      <c r="K318" s="45"/>
      <c r="L318" s="20"/>
      <c r="M318" s="20"/>
      <c r="N318" s="20"/>
      <c r="O318" s="20"/>
      <c r="P318" s="20"/>
      <c r="Q318" s="20"/>
      <c r="R318" s="20"/>
      <c r="S318" s="20"/>
      <c r="T318" s="20"/>
      <c r="U318" s="20"/>
      <c r="V318" s="20"/>
      <c r="W318" s="20"/>
      <c r="X318" s="20"/>
      <c r="Y318" s="20"/>
      <c r="Z318" s="21"/>
      <c r="AA318" s="22"/>
      <c r="AB318" s="23"/>
    </row>
    <row r="319" spans="1:28" ht="15.75" customHeight="1" x14ac:dyDescent="0.25">
      <c r="A319" s="45"/>
      <c r="B319" s="45"/>
      <c r="C319" s="46"/>
      <c r="D319" s="46"/>
      <c r="E319" s="45"/>
      <c r="F319" s="45"/>
      <c r="G319" s="47"/>
      <c r="H319" s="45"/>
      <c r="I319" s="45"/>
      <c r="J319" s="45"/>
      <c r="K319" s="45"/>
      <c r="L319" s="20"/>
      <c r="M319" s="20"/>
      <c r="N319" s="20"/>
      <c r="O319" s="20"/>
      <c r="P319" s="20"/>
      <c r="Q319" s="20"/>
      <c r="R319" s="20"/>
      <c r="S319" s="20"/>
      <c r="T319" s="20"/>
      <c r="U319" s="20"/>
      <c r="V319" s="20"/>
      <c r="W319" s="20"/>
      <c r="X319" s="20"/>
      <c r="Y319" s="20"/>
      <c r="Z319" s="21"/>
      <c r="AA319" s="22"/>
      <c r="AB319" s="23"/>
    </row>
    <row r="320" spans="1:28" ht="15.75" customHeight="1" x14ac:dyDescent="0.25">
      <c r="A320" s="45"/>
      <c r="B320" s="45"/>
      <c r="C320" s="46"/>
      <c r="D320" s="46"/>
      <c r="E320" s="45"/>
      <c r="F320" s="45"/>
      <c r="G320" s="47"/>
      <c r="H320" s="45"/>
      <c r="I320" s="45"/>
      <c r="J320" s="45"/>
      <c r="K320" s="45"/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1"/>
      <c r="AA320" s="22"/>
      <c r="AB320" s="23"/>
    </row>
    <row r="321" spans="1:28" ht="15.75" customHeight="1" x14ac:dyDescent="0.25">
      <c r="A321" s="45"/>
      <c r="B321" s="45"/>
      <c r="C321" s="46"/>
      <c r="D321" s="46"/>
      <c r="E321" s="45"/>
      <c r="F321" s="45"/>
      <c r="G321" s="47"/>
      <c r="H321" s="45"/>
      <c r="I321" s="45"/>
      <c r="J321" s="45"/>
      <c r="K321" s="45"/>
      <c r="L321" s="20"/>
      <c r="M321" s="20"/>
      <c r="N321" s="20"/>
      <c r="O321" s="20"/>
      <c r="P321" s="20"/>
      <c r="Q321" s="20"/>
      <c r="R321" s="20"/>
      <c r="S321" s="20"/>
      <c r="T321" s="20"/>
      <c r="U321" s="20"/>
      <c r="V321" s="20"/>
      <c r="W321" s="20"/>
      <c r="X321" s="20"/>
      <c r="Y321" s="20"/>
      <c r="Z321" s="21"/>
      <c r="AA321" s="22"/>
      <c r="AB321" s="23"/>
    </row>
    <row r="322" spans="1:28" ht="15.75" customHeight="1" x14ac:dyDescent="0.25">
      <c r="A322" s="45"/>
      <c r="B322" s="45"/>
      <c r="C322" s="46"/>
      <c r="D322" s="46"/>
      <c r="E322" s="45"/>
      <c r="F322" s="45"/>
      <c r="G322" s="47"/>
      <c r="H322" s="45"/>
      <c r="I322" s="45"/>
      <c r="J322" s="45"/>
      <c r="K322" s="45"/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0"/>
      <c r="W322" s="20"/>
      <c r="X322" s="20"/>
      <c r="Y322" s="20"/>
      <c r="Z322" s="21"/>
      <c r="AA322" s="22"/>
      <c r="AB322" s="23"/>
    </row>
    <row r="323" spans="1:28" ht="15.75" customHeight="1" x14ac:dyDescent="0.25">
      <c r="A323" s="45"/>
      <c r="B323" s="45"/>
      <c r="C323" s="46"/>
      <c r="D323" s="46"/>
      <c r="E323" s="45"/>
      <c r="F323" s="45"/>
      <c r="G323" s="47"/>
      <c r="H323" s="45"/>
      <c r="I323" s="45"/>
      <c r="J323" s="45"/>
      <c r="K323" s="45"/>
      <c r="L323" s="20"/>
      <c r="M323" s="20"/>
      <c r="N323" s="20"/>
      <c r="O323" s="20"/>
      <c r="P323" s="20"/>
      <c r="Q323" s="20"/>
      <c r="R323" s="20"/>
      <c r="S323" s="20"/>
      <c r="T323" s="20"/>
      <c r="U323" s="20"/>
      <c r="V323" s="20"/>
      <c r="W323" s="20"/>
      <c r="X323" s="20"/>
      <c r="Y323" s="20"/>
      <c r="Z323" s="21"/>
      <c r="AA323" s="22"/>
      <c r="AB323" s="23"/>
    </row>
    <row r="324" spans="1:28" ht="15.75" customHeight="1" x14ac:dyDescent="0.25">
      <c r="A324" s="45"/>
      <c r="B324" s="45"/>
      <c r="C324" s="46"/>
      <c r="D324" s="46"/>
      <c r="E324" s="45"/>
      <c r="F324" s="45"/>
      <c r="G324" s="47"/>
      <c r="H324" s="45"/>
      <c r="I324" s="45"/>
      <c r="J324" s="45"/>
      <c r="K324" s="45"/>
      <c r="L324" s="20"/>
      <c r="M324" s="20"/>
      <c r="N324" s="20"/>
      <c r="O324" s="20"/>
      <c r="P324" s="20"/>
      <c r="Q324" s="20"/>
      <c r="R324" s="20"/>
      <c r="S324" s="20"/>
      <c r="T324" s="20"/>
      <c r="U324" s="20"/>
      <c r="V324" s="20"/>
      <c r="W324" s="20"/>
      <c r="X324" s="20"/>
      <c r="Y324" s="20"/>
      <c r="Z324" s="21"/>
      <c r="AA324" s="22"/>
      <c r="AB324" s="23"/>
    </row>
    <row r="325" spans="1:28" ht="15.75" customHeight="1" x14ac:dyDescent="0.25">
      <c r="A325" s="45"/>
      <c r="B325" s="45"/>
      <c r="C325" s="46"/>
      <c r="D325" s="46"/>
      <c r="E325" s="45"/>
      <c r="F325" s="45"/>
      <c r="G325" s="47"/>
      <c r="H325" s="45"/>
      <c r="I325" s="45"/>
      <c r="J325" s="45"/>
      <c r="K325" s="45"/>
      <c r="L325" s="20"/>
      <c r="M325" s="20"/>
      <c r="N325" s="20"/>
      <c r="O325" s="20"/>
      <c r="P325" s="20"/>
      <c r="Q325" s="20"/>
      <c r="R325" s="20"/>
      <c r="S325" s="20"/>
      <c r="T325" s="20"/>
      <c r="U325" s="20"/>
      <c r="V325" s="20"/>
      <c r="W325" s="20"/>
      <c r="X325" s="20"/>
      <c r="Y325" s="20"/>
      <c r="Z325" s="21"/>
      <c r="AA325" s="22"/>
      <c r="AB325" s="23"/>
    </row>
    <row r="326" spans="1:28" ht="15.75" customHeight="1" x14ac:dyDescent="0.25">
      <c r="A326" s="45"/>
      <c r="B326" s="45"/>
      <c r="C326" s="46"/>
      <c r="D326" s="46"/>
      <c r="E326" s="45"/>
      <c r="F326" s="45"/>
      <c r="G326" s="47"/>
      <c r="H326" s="45"/>
      <c r="I326" s="45"/>
      <c r="J326" s="45"/>
      <c r="K326" s="45"/>
      <c r="L326" s="20"/>
      <c r="M326" s="20"/>
      <c r="N326" s="20"/>
      <c r="O326" s="20"/>
      <c r="P326" s="20"/>
      <c r="Q326" s="20"/>
      <c r="R326" s="20"/>
      <c r="S326" s="20"/>
      <c r="T326" s="20"/>
      <c r="U326" s="20"/>
      <c r="V326" s="20"/>
      <c r="W326" s="20"/>
      <c r="X326" s="20"/>
      <c r="Y326" s="20"/>
      <c r="Z326" s="21"/>
      <c r="AA326" s="22"/>
      <c r="AB326" s="23"/>
    </row>
    <row r="327" spans="1:28" ht="15.75" customHeight="1" x14ac:dyDescent="0.25">
      <c r="A327" s="45"/>
      <c r="B327" s="45"/>
      <c r="C327" s="46"/>
      <c r="D327" s="46"/>
      <c r="E327" s="45"/>
      <c r="F327" s="45"/>
      <c r="G327" s="47"/>
      <c r="H327" s="45"/>
      <c r="I327" s="45"/>
      <c r="J327" s="45"/>
      <c r="K327" s="45"/>
      <c r="L327" s="20"/>
      <c r="M327" s="20"/>
      <c r="N327" s="20"/>
      <c r="O327" s="20"/>
      <c r="P327" s="20"/>
      <c r="Q327" s="20"/>
      <c r="R327" s="20"/>
      <c r="S327" s="20"/>
      <c r="T327" s="20"/>
      <c r="U327" s="20"/>
      <c r="V327" s="20"/>
      <c r="W327" s="20"/>
      <c r="X327" s="20"/>
      <c r="Y327" s="20"/>
      <c r="Z327" s="21"/>
      <c r="AA327" s="22"/>
      <c r="AB327" s="23"/>
    </row>
    <row r="328" spans="1:28" ht="15.75" customHeight="1" x14ac:dyDescent="0.25">
      <c r="A328" s="45"/>
      <c r="B328" s="45"/>
      <c r="C328" s="46"/>
      <c r="D328" s="46"/>
      <c r="E328" s="45"/>
      <c r="F328" s="45"/>
      <c r="G328" s="47"/>
      <c r="H328" s="45"/>
      <c r="I328" s="45"/>
      <c r="J328" s="45"/>
      <c r="K328" s="45"/>
      <c r="L328" s="20"/>
      <c r="M328" s="20"/>
      <c r="N328" s="20"/>
      <c r="O328" s="20"/>
      <c r="P328" s="20"/>
      <c r="Q328" s="20"/>
      <c r="R328" s="20"/>
      <c r="S328" s="20"/>
      <c r="T328" s="20"/>
      <c r="U328" s="20"/>
      <c r="V328" s="20"/>
      <c r="W328" s="20"/>
      <c r="X328" s="20"/>
      <c r="Y328" s="20"/>
      <c r="Z328" s="21"/>
      <c r="AA328" s="22"/>
      <c r="AB328" s="23"/>
    </row>
    <row r="329" spans="1:28" ht="15.75" customHeight="1" x14ac:dyDescent="0.25">
      <c r="A329" s="45"/>
      <c r="B329" s="45"/>
      <c r="C329" s="46"/>
      <c r="D329" s="46"/>
      <c r="E329" s="45"/>
      <c r="F329" s="45"/>
      <c r="G329" s="47"/>
      <c r="H329" s="45"/>
      <c r="I329" s="45"/>
      <c r="J329" s="45"/>
      <c r="K329" s="45"/>
      <c r="L329" s="20"/>
      <c r="M329" s="20"/>
      <c r="N329" s="20"/>
      <c r="O329" s="20"/>
      <c r="P329" s="20"/>
      <c r="Q329" s="20"/>
      <c r="R329" s="20"/>
      <c r="S329" s="20"/>
      <c r="T329" s="20"/>
      <c r="U329" s="20"/>
      <c r="V329" s="20"/>
      <c r="W329" s="20"/>
      <c r="X329" s="20"/>
      <c r="Y329" s="20"/>
      <c r="Z329" s="21"/>
      <c r="AA329" s="22"/>
      <c r="AB329" s="23"/>
    </row>
    <row r="330" spans="1:28" ht="15.75" customHeight="1" x14ac:dyDescent="0.25">
      <c r="A330" s="45"/>
      <c r="B330" s="45"/>
      <c r="C330" s="46"/>
      <c r="D330" s="46"/>
      <c r="E330" s="45"/>
      <c r="F330" s="45"/>
      <c r="G330" s="47"/>
      <c r="H330" s="45"/>
      <c r="I330" s="45"/>
      <c r="J330" s="45"/>
      <c r="K330" s="45"/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0"/>
      <c r="W330" s="20"/>
      <c r="X330" s="20"/>
      <c r="Y330" s="20"/>
      <c r="Z330" s="21"/>
      <c r="AA330" s="22"/>
      <c r="AB330" s="23"/>
    </row>
    <row r="331" spans="1:28" ht="15.75" customHeight="1" x14ac:dyDescent="0.25">
      <c r="A331" s="45"/>
      <c r="B331" s="45"/>
      <c r="C331" s="46"/>
      <c r="D331" s="46"/>
      <c r="E331" s="45"/>
      <c r="F331" s="45"/>
      <c r="G331" s="47"/>
      <c r="H331" s="45"/>
      <c r="I331" s="45"/>
      <c r="J331" s="45"/>
      <c r="K331" s="45"/>
      <c r="L331" s="20"/>
      <c r="M331" s="20"/>
      <c r="N331" s="20"/>
      <c r="O331" s="20"/>
      <c r="P331" s="20"/>
      <c r="Q331" s="20"/>
      <c r="R331" s="20"/>
      <c r="S331" s="20"/>
      <c r="T331" s="20"/>
      <c r="U331" s="20"/>
      <c r="V331" s="20"/>
      <c r="W331" s="20"/>
      <c r="X331" s="20"/>
      <c r="Y331" s="20"/>
      <c r="Z331" s="21"/>
      <c r="AA331" s="22"/>
      <c r="AB331" s="23"/>
    </row>
    <row r="332" spans="1:28" ht="15.75" customHeight="1" x14ac:dyDescent="0.25">
      <c r="A332" s="45"/>
      <c r="B332" s="45"/>
      <c r="C332" s="46"/>
      <c r="D332" s="46"/>
      <c r="E332" s="45"/>
      <c r="F332" s="45"/>
      <c r="G332" s="47"/>
      <c r="H332" s="45"/>
      <c r="I332" s="45"/>
      <c r="J332" s="45"/>
      <c r="K332" s="45"/>
      <c r="L332" s="20"/>
      <c r="M332" s="20"/>
      <c r="N332" s="20"/>
      <c r="O332" s="20"/>
      <c r="P332" s="20"/>
      <c r="Q332" s="20"/>
      <c r="R332" s="20"/>
      <c r="S332" s="20"/>
      <c r="T332" s="20"/>
      <c r="U332" s="20"/>
      <c r="V332" s="20"/>
      <c r="W332" s="20"/>
      <c r="X332" s="20"/>
      <c r="Y332" s="20"/>
      <c r="Z332" s="21"/>
      <c r="AA332" s="22"/>
      <c r="AB332" s="23"/>
    </row>
    <row r="333" spans="1:28" ht="15.75" customHeight="1" x14ac:dyDescent="0.25">
      <c r="A333" s="45"/>
      <c r="B333" s="45"/>
      <c r="C333" s="46"/>
      <c r="D333" s="46"/>
      <c r="E333" s="45"/>
      <c r="F333" s="45"/>
      <c r="G333" s="47"/>
      <c r="H333" s="45"/>
      <c r="I333" s="45"/>
      <c r="J333" s="45"/>
      <c r="K333" s="45"/>
      <c r="L333" s="20"/>
      <c r="M333" s="20"/>
      <c r="N333" s="20"/>
      <c r="O333" s="20"/>
      <c r="P333" s="20"/>
      <c r="Q333" s="20"/>
      <c r="R333" s="20"/>
      <c r="S333" s="20"/>
      <c r="T333" s="20"/>
      <c r="U333" s="20"/>
      <c r="V333" s="20"/>
      <c r="W333" s="20"/>
      <c r="X333" s="20"/>
      <c r="Y333" s="20"/>
      <c r="Z333" s="21"/>
      <c r="AA333" s="22"/>
      <c r="AB333" s="23"/>
    </row>
    <row r="334" spans="1:28" ht="15.75" customHeight="1" x14ac:dyDescent="0.25">
      <c r="A334" s="45"/>
      <c r="B334" s="45"/>
      <c r="C334" s="46"/>
      <c r="D334" s="46"/>
      <c r="E334" s="45"/>
      <c r="F334" s="45"/>
      <c r="G334" s="47"/>
      <c r="H334" s="45"/>
      <c r="I334" s="45"/>
      <c r="J334" s="45"/>
      <c r="K334" s="45"/>
      <c r="L334" s="20"/>
      <c r="M334" s="20"/>
      <c r="N334" s="20"/>
      <c r="O334" s="20"/>
      <c r="P334" s="20"/>
      <c r="Q334" s="20"/>
      <c r="R334" s="20"/>
      <c r="S334" s="20"/>
      <c r="T334" s="20"/>
      <c r="U334" s="20"/>
      <c r="V334" s="20"/>
      <c r="W334" s="20"/>
      <c r="X334" s="20"/>
      <c r="Y334" s="20"/>
      <c r="Z334" s="21"/>
      <c r="AA334" s="22"/>
      <c r="AB334" s="23"/>
    </row>
    <row r="335" spans="1:28" ht="15.75" customHeight="1" x14ac:dyDescent="0.25">
      <c r="A335" s="45"/>
      <c r="B335" s="45"/>
      <c r="C335" s="46"/>
      <c r="D335" s="46"/>
      <c r="E335" s="45"/>
      <c r="F335" s="45"/>
      <c r="G335" s="47"/>
      <c r="H335" s="45"/>
      <c r="I335" s="45"/>
      <c r="J335" s="45"/>
      <c r="K335" s="45"/>
      <c r="L335" s="20"/>
      <c r="M335" s="20"/>
      <c r="N335" s="20"/>
      <c r="O335" s="20"/>
      <c r="P335" s="20"/>
      <c r="Q335" s="20"/>
      <c r="R335" s="20"/>
      <c r="S335" s="20"/>
      <c r="T335" s="20"/>
      <c r="U335" s="20"/>
      <c r="V335" s="20"/>
      <c r="W335" s="20"/>
      <c r="X335" s="20"/>
      <c r="Y335" s="20"/>
      <c r="Z335" s="21"/>
      <c r="AA335" s="22"/>
      <c r="AB335" s="23"/>
    </row>
    <row r="336" spans="1:28" ht="15.75" customHeight="1" x14ac:dyDescent="0.25">
      <c r="A336" s="45"/>
      <c r="B336" s="45"/>
      <c r="C336" s="46"/>
      <c r="D336" s="46"/>
      <c r="E336" s="45"/>
      <c r="F336" s="45"/>
      <c r="G336" s="47"/>
      <c r="H336" s="45"/>
      <c r="I336" s="45"/>
      <c r="J336" s="45"/>
      <c r="K336" s="45"/>
      <c r="L336" s="20"/>
      <c r="M336" s="20"/>
      <c r="N336" s="20"/>
      <c r="O336" s="20"/>
      <c r="P336" s="20"/>
      <c r="Q336" s="20"/>
      <c r="R336" s="20"/>
      <c r="S336" s="20"/>
      <c r="T336" s="20"/>
      <c r="U336" s="20"/>
      <c r="V336" s="20"/>
      <c r="W336" s="20"/>
      <c r="X336" s="20"/>
      <c r="Y336" s="20"/>
      <c r="Z336" s="21"/>
      <c r="AA336" s="22"/>
      <c r="AB336" s="23"/>
    </row>
    <row r="337" spans="1:28" ht="15.75" customHeight="1" x14ac:dyDescent="0.25">
      <c r="A337" s="45"/>
      <c r="B337" s="45"/>
      <c r="C337" s="46"/>
      <c r="D337" s="46"/>
      <c r="E337" s="45"/>
      <c r="F337" s="45"/>
      <c r="G337" s="47"/>
      <c r="H337" s="45"/>
      <c r="I337" s="45"/>
      <c r="J337" s="45"/>
      <c r="K337" s="45"/>
      <c r="L337" s="20"/>
      <c r="M337" s="20"/>
      <c r="N337" s="20"/>
      <c r="O337" s="20"/>
      <c r="P337" s="20"/>
      <c r="Q337" s="20"/>
      <c r="R337" s="20"/>
      <c r="S337" s="20"/>
      <c r="T337" s="20"/>
      <c r="U337" s="20"/>
      <c r="V337" s="20"/>
      <c r="W337" s="20"/>
      <c r="X337" s="20"/>
      <c r="Y337" s="20"/>
      <c r="Z337" s="21"/>
      <c r="AA337" s="22"/>
      <c r="AB337" s="23"/>
    </row>
    <row r="338" spans="1:28" ht="15.75" customHeight="1" x14ac:dyDescent="0.25">
      <c r="A338" s="45"/>
      <c r="B338" s="45"/>
      <c r="C338" s="46"/>
      <c r="D338" s="46"/>
      <c r="E338" s="45"/>
      <c r="F338" s="45"/>
      <c r="G338" s="47"/>
      <c r="H338" s="45"/>
      <c r="I338" s="45"/>
      <c r="J338" s="45"/>
      <c r="K338" s="45"/>
      <c r="L338" s="20"/>
      <c r="M338" s="20"/>
      <c r="N338" s="20"/>
      <c r="O338" s="20"/>
      <c r="P338" s="20"/>
      <c r="Q338" s="20"/>
      <c r="R338" s="20"/>
      <c r="S338" s="20"/>
      <c r="T338" s="20"/>
      <c r="U338" s="20"/>
      <c r="V338" s="20"/>
      <c r="W338" s="20"/>
      <c r="X338" s="20"/>
      <c r="Y338" s="20"/>
      <c r="Z338" s="21"/>
      <c r="AA338" s="22"/>
      <c r="AB338" s="23"/>
    </row>
    <row r="339" spans="1:28" ht="15.75" customHeight="1" x14ac:dyDescent="0.25">
      <c r="A339" s="45"/>
      <c r="B339" s="45"/>
      <c r="C339" s="46"/>
      <c r="D339" s="46"/>
      <c r="E339" s="45"/>
      <c r="F339" s="45"/>
      <c r="G339" s="47"/>
      <c r="H339" s="45"/>
      <c r="I339" s="45"/>
      <c r="J339" s="45"/>
      <c r="K339" s="45"/>
      <c r="L339" s="20"/>
      <c r="M339" s="20"/>
      <c r="N339" s="20"/>
      <c r="O339" s="20"/>
      <c r="P339" s="20"/>
      <c r="Q339" s="20"/>
      <c r="R339" s="20"/>
      <c r="S339" s="20"/>
      <c r="T339" s="20"/>
      <c r="U339" s="20"/>
      <c r="V339" s="20"/>
      <c r="W339" s="20"/>
      <c r="X339" s="20"/>
      <c r="Y339" s="20"/>
      <c r="Z339" s="21"/>
      <c r="AA339" s="22"/>
      <c r="AB339" s="23"/>
    </row>
    <row r="340" spans="1:28" ht="15.75" customHeight="1" x14ac:dyDescent="0.25">
      <c r="A340" s="45"/>
      <c r="B340" s="45"/>
      <c r="C340" s="46"/>
      <c r="D340" s="46"/>
      <c r="E340" s="45"/>
      <c r="F340" s="45"/>
      <c r="G340" s="47"/>
      <c r="H340" s="45"/>
      <c r="I340" s="45"/>
      <c r="J340" s="45"/>
      <c r="K340" s="45"/>
      <c r="L340" s="20"/>
      <c r="M340" s="20"/>
      <c r="N340" s="20"/>
      <c r="O340" s="20"/>
      <c r="P340" s="20"/>
      <c r="Q340" s="20"/>
      <c r="R340" s="20"/>
      <c r="S340" s="20"/>
      <c r="T340" s="20"/>
      <c r="U340" s="20"/>
      <c r="V340" s="20"/>
      <c r="W340" s="20"/>
      <c r="X340" s="20"/>
      <c r="Y340" s="20"/>
      <c r="Z340" s="21"/>
      <c r="AA340" s="22"/>
      <c r="AB340" s="23"/>
    </row>
    <row r="341" spans="1:28" ht="15.75" customHeight="1" x14ac:dyDescent="0.25">
      <c r="A341" s="45"/>
      <c r="B341" s="45"/>
      <c r="C341" s="46"/>
      <c r="D341" s="46"/>
      <c r="E341" s="45"/>
      <c r="F341" s="45"/>
      <c r="G341" s="47"/>
      <c r="H341" s="45"/>
      <c r="I341" s="45"/>
      <c r="J341" s="45"/>
      <c r="K341" s="45"/>
      <c r="L341" s="20"/>
      <c r="M341" s="20"/>
      <c r="N341" s="20"/>
      <c r="O341" s="20"/>
      <c r="P341" s="20"/>
      <c r="Q341" s="20"/>
      <c r="R341" s="20"/>
      <c r="S341" s="20"/>
      <c r="T341" s="20"/>
      <c r="U341" s="20"/>
      <c r="V341" s="20"/>
      <c r="W341" s="20"/>
      <c r="X341" s="20"/>
      <c r="Y341" s="20"/>
      <c r="Z341" s="21"/>
      <c r="AA341" s="22"/>
      <c r="AB341" s="23"/>
    </row>
    <row r="342" spans="1:28" ht="15.75" customHeight="1" x14ac:dyDescent="0.25">
      <c r="A342" s="45"/>
      <c r="B342" s="45"/>
      <c r="C342" s="46"/>
      <c r="D342" s="46"/>
      <c r="E342" s="45"/>
      <c r="F342" s="45"/>
      <c r="G342" s="47"/>
      <c r="H342" s="45"/>
      <c r="I342" s="45"/>
      <c r="J342" s="45"/>
      <c r="K342" s="45"/>
      <c r="L342" s="20"/>
      <c r="M342" s="20"/>
      <c r="N342" s="20"/>
      <c r="O342" s="20"/>
      <c r="P342" s="20"/>
      <c r="Q342" s="20"/>
      <c r="R342" s="20"/>
      <c r="S342" s="20"/>
      <c r="T342" s="20"/>
      <c r="U342" s="20"/>
      <c r="V342" s="20"/>
      <c r="W342" s="20"/>
      <c r="X342" s="20"/>
      <c r="Y342" s="20"/>
      <c r="Z342" s="21"/>
      <c r="AA342" s="22"/>
      <c r="AB342" s="23"/>
    </row>
    <row r="343" spans="1:28" ht="15.75" customHeight="1" x14ac:dyDescent="0.25">
      <c r="A343" s="45"/>
      <c r="B343" s="45"/>
      <c r="C343" s="46"/>
      <c r="D343" s="46"/>
      <c r="E343" s="45"/>
      <c r="F343" s="45"/>
      <c r="G343" s="47"/>
      <c r="H343" s="45"/>
      <c r="I343" s="45"/>
      <c r="J343" s="45"/>
      <c r="K343" s="45"/>
      <c r="L343" s="20"/>
      <c r="M343" s="20"/>
      <c r="N343" s="20"/>
      <c r="O343" s="20"/>
      <c r="P343" s="20"/>
      <c r="Q343" s="20"/>
      <c r="R343" s="20"/>
      <c r="S343" s="20"/>
      <c r="T343" s="20"/>
      <c r="U343" s="20"/>
      <c r="V343" s="20"/>
      <c r="W343" s="20"/>
      <c r="X343" s="20"/>
      <c r="Y343" s="20"/>
      <c r="Z343" s="21"/>
      <c r="AA343" s="22"/>
      <c r="AB343" s="23"/>
    </row>
    <row r="344" spans="1:28" ht="15.75" customHeight="1" x14ac:dyDescent="0.25">
      <c r="A344" s="45"/>
      <c r="B344" s="45"/>
      <c r="C344" s="46"/>
      <c r="D344" s="46"/>
      <c r="E344" s="45"/>
      <c r="F344" s="45"/>
      <c r="G344" s="47"/>
      <c r="H344" s="45"/>
      <c r="I344" s="45"/>
      <c r="J344" s="45"/>
      <c r="K344" s="45"/>
      <c r="L344" s="20"/>
      <c r="M344" s="20"/>
      <c r="N344" s="20"/>
      <c r="O344" s="20"/>
      <c r="P344" s="20"/>
      <c r="Q344" s="20"/>
      <c r="R344" s="20"/>
      <c r="S344" s="20"/>
      <c r="T344" s="20"/>
      <c r="U344" s="20"/>
      <c r="V344" s="20"/>
      <c r="W344" s="20"/>
      <c r="X344" s="20"/>
      <c r="Y344" s="20"/>
      <c r="Z344" s="21"/>
      <c r="AA344" s="22"/>
      <c r="AB344" s="23"/>
    </row>
    <row r="345" spans="1:28" ht="15.75" customHeight="1" x14ac:dyDescent="0.25">
      <c r="A345" s="45"/>
      <c r="B345" s="45"/>
      <c r="C345" s="46"/>
      <c r="D345" s="46"/>
      <c r="E345" s="45"/>
      <c r="F345" s="45"/>
      <c r="G345" s="47"/>
      <c r="H345" s="45"/>
      <c r="I345" s="45"/>
      <c r="J345" s="45"/>
      <c r="K345" s="45"/>
      <c r="L345" s="20"/>
      <c r="M345" s="20"/>
      <c r="N345" s="20"/>
      <c r="O345" s="20"/>
      <c r="P345" s="20"/>
      <c r="Q345" s="20"/>
      <c r="R345" s="20"/>
      <c r="S345" s="20"/>
      <c r="T345" s="20"/>
      <c r="U345" s="20"/>
      <c r="V345" s="20"/>
      <c r="W345" s="20"/>
      <c r="X345" s="20"/>
      <c r="Y345" s="20"/>
      <c r="Z345" s="21"/>
      <c r="AA345" s="22"/>
      <c r="AB345" s="23"/>
    </row>
    <row r="346" spans="1:28" ht="15.75" customHeight="1" x14ac:dyDescent="0.25">
      <c r="A346" s="45"/>
      <c r="B346" s="45"/>
      <c r="C346" s="46"/>
      <c r="D346" s="46"/>
      <c r="E346" s="45"/>
      <c r="F346" s="45"/>
      <c r="G346" s="47"/>
      <c r="H346" s="45"/>
      <c r="I346" s="45"/>
      <c r="J346" s="45"/>
      <c r="K346" s="45"/>
      <c r="L346" s="20"/>
      <c r="M346" s="20"/>
      <c r="N346" s="20"/>
      <c r="O346" s="20"/>
      <c r="P346" s="20"/>
      <c r="Q346" s="20"/>
      <c r="R346" s="20"/>
      <c r="S346" s="20"/>
      <c r="T346" s="20"/>
      <c r="U346" s="20"/>
      <c r="V346" s="20"/>
      <c r="W346" s="20"/>
      <c r="X346" s="20"/>
      <c r="Y346" s="20"/>
      <c r="Z346" s="21"/>
      <c r="AA346" s="22"/>
      <c r="AB346" s="23"/>
    </row>
    <row r="347" spans="1:28" ht="15.75" customHeight="1" x14ac:dyDescent="0.25">
      <c r="A347" s="45"/>
      <c r="B347" s="45"/>
      <c r="C347" s="46"/>
      <c r="D347" s="46"/>
      <c r="E347" s="45"/>
      <c r="F347" s="45"/>
      <c r="G347" s="47"/>
      <c r="H347" s="45"/>
      <c r="I347" s="45"/>
      <c r="J347" s="45"/>
      <c r="K347" s="45"/>
      <c r="L347" s="20"/>
      <c r="M347" s="20"/>
      <c r="N347" s="20"/>
      <c r="O347" s="20"/>
      <c r="P347" s="20"/>
      <c r="Q347" s="20"/>
      <c r="R347" s="20"/>
      <c r="S347" s="20"/>
      <c r="T347" s="20"/>
      <c r="U347" s="20"/>
      <c r="V347" s="20"/>
      <c r="W347" s="20"/>
      <c r="X347" s="20"/>
      <c r="Y347" s="20"/>
      <c r="Z347" s="21"/>
      <c r="AA347" s="22"/>
      <c r="AB347" s="23"/>
    </row>
    <row r="348" spans="1:28" ht="15.75" customHeight="1" x14ac:dyDescent="0.25">
      <c r="A348" s="45"/>
      <c r="B348" s="45"/>
      <c r="C348" s="46"/>
      <c r="D348" s="46"/>
      <c r="E348" s="45"/>
      <c r="F348" s="45"/>
      <c r="G348" s="47"/>
      <c r="H348" s="45"/>
      <c r="I348" s="45"/>
      <c r="J348" s="45"/>
      <c r="K348" s="45"/>
      <c r="L348" s="20"/>
      <c r="M348" s="20"/>
      <c r="N348" s="20"/>
      <c r="O348" s="20"/>
      <c r="P348" s="20"/>
      <c r="Q348" s="20"/>
      <c r="R348" s="20"/>
      <c r="S348" s="20"/>
      <c r="T348" s="20"/>
      <c r="U348" s="20"/>
      <c r="V348" s="20"/>
      <c r="W348" s="20"/>
      <c r="X348" s="20"/>
      <c r="Y348" s="20"/>
      <c r="Z348" s="21"/>
      <c r="AA348" s="22"/>
      <c r="AB348" s="23"/>
    </row>
    <row r="349" spans="1:28" ht="15.75" customHeight="1" x14ac:dyDescent="0.25">
      <c r="A349" s="45"/>
      <c r="B349" s="45"/>
      <c r="C349" s="46"/>
      <c r="D349" s="46"/>
      <c r="E349" s="45"/>
      <c r="F349" s="45"/>
      <c r="G349" s="47"/>
      <c r="H349" s="45"/>
      <c r="I349" s="45"/>
      <c r="J349" s="45"/>
      <c r="K349" s="45"/>
      <c r="L349" s="20"/>
      <c r="M349" s="20"/>
      <c r="N349" s="20"/>
      <c r="O349" s="20"/>
      <c r="P349" s="20"/>
      <c r="Q349" s="20"/>
      <c r="R349" s="20"/>
      <c r="S349" s="20"/>
      <c r="T349" s="20"/>
      <c r="U349" s="20"/>
      <c r="V349" s="20"/>
      <c r="W349" s="20"/>
      <c r="X349" s="20"/>
      <c r="Y349" s="20"/>
      <c r="Z349" s="21"/>
      <c r="AA349" s="22"/>
      <c r="AB349" s="23"/>
    </row>
    <row r="350" spans="1:28" ht="15.75" customHeight="1" x14ac:dyDescent="0.25">
      <c r="A350" s="45"/>
      <c r="B350" s="45"/>
      <c r="C350" s="46"/>
      <c r="D350" s="46"/>
      <c r="E350" s="45"/>
      <c r="F350" s="45"/>
      <c r="G350" s="47"/>
      <c r="H350" s="45"/>
      <c r="I350" s="45"/>
      <c r="J350" s="45"/>
      <c r="K350" s="45"/>
      <c r="L350" s="20"/>
      <c r="M350" s="20"/>
      <c r="N350" s="20"/>
      <c r="O350" s="20"/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1"/>
      <c r="AA350" s="22"/>
      <c r="AB350" s="23"/>
    </row>
    <row r="351" spans="1:28" ht="15.75" customHeight="1" x14ac:dyDescent="0.25">
      <c r="A351" s="45"/>
      <c r="B351" s="45"/>
      <c r="C351" s="46"/>
      <c r="D351" s="46"/>
      <c r="E351" s="45"/>
      <c r="F351" s="45"/>
      <c r="G351" s="47"/>
      <c r="H351" s="45"/>
      <c r="I351" s="45"/>
      <c r="J351" s="45"/>
      <c r="K351" s="45"/>
      <c r="L351" s="20"/>
      <c r="M351" s="20"/>
      <c r="N351" s="20"/>
      <c r="O351" s="20"/>
      <c r="P351" s="20"/>
      <c r="Q351" s="20"/>
      <c r="R351" s="20"/>
      <c r="S351" s="20"/>
      <c r="T351" s="20"/>
      <c r="U351" s="20"/>
      <c r="V351" s="20"/>
      <c r="W351" s="20"/>
      <c r="X351" s="20"/>
      <c r="Y351" s="20"/>
      <c r="Z351" s="21"/>
      <c r="AA351" s="22"/>
      <c r="AB351" s="23"/>
    </row>
    <row r="352" spans="1:28" ht="15.75" customHeight="1" x14ac:dyDescent="0.25">
      <c r="A352" s="45"/>
      <c r="B352" s="45"/>
      <c r="C352" s="46"/>
      <c r="D352" s="46"/>
      <c r="E352" s="45"/>
      <c r="F352" s="45"/>
      <c r="G352" s="47"/>
      <c r="H352" s="45"/>
      <c r="I352" s="45"/>
      <c r="J352" s="45"/>
      <c r="K352" s="45"/>
      <c r="L352" s="20"/>
      <c r="M352" s="20"/>
      <c r="N352" s="20"/>
      <c r="O352" s="20"/>
      <c r="P352" s="20"/>
      <c r="Q352" s="20"/>
      <c r="R352" s="20"/>
      <c r="S352" s="20"/>
      <c r="T352" s="20"/>
      <c r="U352" s="20"/>
      <c r="V352" s="20"/>
      <c r="W352" s="20"/>
      <c r="X352" s="20"/>
      <c r="Y352" s="20"/>
      <c r="Z352" s="21"/>
      <c r="AA352" s="22"/>
      <c r="AB352" s="23"/>
    </row>
    <row r="353" spans="1:28" ht="15.75" customHeight="1" x14ac:dyDescent="0.25">
      <c r="A353" s="45"/>
      <c r="B353" s="45"/>
      <c r="C353" s="46"/>
      <c r="D353" s="46"/>
      <c r="E353" s="45"/>
      <c r="F353" s="45"/>
      <c r="G353" s="47"/>
      <c r="H353" s="45"/>
      <c r="I353" s="45"/>
      <c r="J353" s="45"/>
      <c r="K353" s="45"/>
      <c r="L353" s="20"/>
      <c r="M353" s="20"/>
      <c r="N353" s="20"/>
      <c r="O353" s="20"/>
      <c r="P353" s="20"/>
      <c r="Q353" s="20"/>
      <c r="R353" s="20"/>
      <c r="S353" s="20"/>
      <c r="T353" s="20"/>
      <c r="U353" s="20"/>
      <c r="V353" s="20"/>
      <c r="W353" s="20"/>
      <c r="X353" s="20"/>
      <c r="Y353" s="20"/>
      <c r="Z353" s="21"/>
      <c r="AA353" s="22"/>
      <c r="AB353" s="23"/>
    </row>
    <row r="354" spans="1:28" ht="15.75" customHeight="1" x14ac:dyDescent="0.25">
      <c r="A354" s="45"/>
      <c r="B354" s="45"/>
      <c r="C354" s="46"/>
      <c r="D354" s="46"/>
      <c r="E354" s="45"/>
      <c r="F354" s="45"/>
      <c r="G354" s="47"/>
      <c r="H354" s="45"/>
      <c r="I354" s="45"/>
      <c r="J354" s="45"/>
      <c r="K354" s="45"/>
      <c r="L354" s="20"/>
      <c r="M354" s="20"/>
      <c r="N354" s="20"/>
      <c r="O354" s="20"/>
      <c r="P354" s="20"/>
      <c r="Q354" s="20"/>
      <c r="R354" s="20"/>
      <c r="S354" s="20"/>
      <c r="T354" s="20"/>
      <c r="U354" s="20"/>
      <c r="V354" s="20"/>
      <c r="W354" s="20"/>
      <c r="X354" s="20"/>
      <c r="Y354" s="20"/>
      <c r="Z354" s="21"/>
      <c r="AA354" s="22"/>
      <c r="AB354" s="23"/>
    </row>
    <row r="355" spans="1:28" ht="15.75" customHeight="1" x14ac:dyDescent="0.25">
      <c r="A355" s="45"/>
      <c r="B355" s="45"/>
      <c r="C355" s="46"/>
      <c r="D355" s="46"/>
      <c r="E355" s="45"/>
      <c r="F355" s="45"/>
      <c r="G355" s="47"/>
      <c r="H355" s="45"/>
      <c r="I355" s="45"/>
      <c r="J355" s="45"/>
      <c r="K355" s="45"/>
      <c r="L355" s="20"/>
      <c r="M355" s="20"/>
      <c r="N355" s="20"/>
      <c r="O355" s="20"/>
      <c r="P355" s="20"/>
      <c r="Q355" s="20"/>
      <c r="R355" s="20"/>
      <c r="S355" s="20"/>
      <c r="T355" s="20"/>
      <c r="U355" s="20"/>
      <c r="V355" s="20"/>
      <c r="W355" s="20"/>
      <c r="X355" s="20"/>
      <c r="Y355" s="20"/>
      <c r="Z355" s="21"/>
      <c r="AA355" s="22"/>
      <c r="AB355" s="23"/>
    </row>
    <row r="356" spans="1:28" ht="15.75" customHeight="1" x14ac:dyDescent="0.25">
      <c r="A356" s="45"/>
      <c r="B356" s="45"/>
      <c r="C356" s="46"/>
      <c r="D356" s="46"/>
      <c r="E356" s="45"/>
      <c r="F356" s="45"/>
      <c r="G356" s="47"/>
      <c r="H356" s="45"/>
      <c r="I356" s="45"/>
      <c r="J356" s="45"/>
      <c r="K356" s="45"/>
      <c r="L356" s="20"/>
      <c r="M356" s="20"/>
      <c r="N356" s="20"/>
      <c r="O356" s="20"/>
      <c r="P356" s="20"/>
      <c r="Q356" s="20"/>
      <c r="R356" s="20"/>
      <c r="S356" s="20"/>
      <c r="T356" s="20"/>
      <c r="U356" s="20"/>
      <c r="V356" s="20"/>
      <c r="W356" s="20"/>
      <c r="X356" s="20"/>
      <c r="Y356" s="20"/>
      <c r="Z356" s="21"/>
      <c r="AA356" s="22"/>
      <c r="AB356" s="23"/>
    </row>
    <row r="357" spans="1:28" ht="15.75" customHeight="1" x14ac:dyDescent="0.25">
      <c r="A357" s="45"/>
      <c r="B357" s="45"/>
      <c r="C357" s="46"/>
      <c r="D357" s="46"/>
      <c r="E357" s="45"/>
      <c r="F357" s="45"/>
      <c r="G357" s="47"/>
      <c r="H357" s="45"/>
      <c r="I357" s="45"/>
      <c r="J357" s="45"/>
      <c r="K357" s="45"/>
      <c r="L357" s="20"/>
      <c r="M357" s="20"/>
      <c r="N357" s="20"/>
      <c r="O357" s="20"/>
      <c r="P357" s="20"/>
      <c r="Q357" s="20"/>
      <c r="R357" s="20"/>
      <c r="S357" s="20"/>
      <c r="T357" s="20"/>
      <c r="U357" s="20"/>
      <c r="V357" s="20"/>
      <c r="W357" s="20"/>
      <c r="X357" s="20"/>
      <c r="Y357" s="20"/>
      <c r="Z357" s="21"/>
      <c r="AA357" s="22"/>
      <c r="AB357" s="23"/>
    </row>
    <row r="358" spans="1:28" ht="15.75" customHeight="1" x14ac:dyDescent="0.25">
      <c r="A358" s="45"/>
      <c r="B358" s="45"/>
      <c r="C358" s="46"/>
      <c r="D358" s="46"/>
      <c r="E358" s="45"/>
      <c r="F358" s="45"/>
      <c r="G358" s="47"/>
      <c r="H358" s="45"/>
      <c r="I358" s="45"/>
      <c r="J358" s="45"/>
      <c r="K358" s="45"/>
      <c r="L358" s="20"/>
      <c r="M358" s="20"/>
      <c r="N358" s="20"/>
      <c r="O358" s="20"/>
      <c r="P358" s="20"/>
      <c r="Q358" s="20"/>
      <c r="R358" s="20"/>
      <c r="S358" s="20"/>
      <c r="T358" s="20"/>
      <c r="U358" s="20"/>
      <c r="V358" s="20"/>
      <c r="W358" s="20"/>
      <c r="X358" s="20"/>
      <c r="Y358" s="20"/>
      <c r="Z358" s="21"/>
      <c r="AA358" s="22"/>
      <c r="AB358" s="23"/>
    </row>
    <row r="359" spans="1:28" ht="15.75" customHeight="1" x14ac:dyDescent="0.25">
      <c r="A359" s="45"/>
      <c r="B359" s="45"/>
      <c r="C359" s="46"/>
      <c r="D359" s="46"/>
      <c r="E359" s="45"/>
      <c r="F359" s="45"/>
      <c r="G359" s="47"/>
      <c r="H359" s="45"/>
      <c r="I359" s="45"/>
      <c r="J359" s="45"/>
      <c r="K359" s="45"/>
      <c r="L359" s="20"/>
      <c r="M359" s="20"/>
      <c r="N359" s="20"/>
      <c r="O359" s="20"/>
      <c r="P359" s="20"/>
      <c r="Q359" s="20"/>
      <c r="R359" s="20"/>
      <c r="S359" s="20"/>
      <c r="T359" s="20"/>
      <c r="U359" s="20"/>
      <c r="V359" s="20"/>
      <c r="W359" s="20"/>
      <c r="X359" s="20"/>
      <c r="Y359" s="20"/>
      <c r="Z359" s="21"/>
      <c r="AA359" s="22"/>
      <c r="AB359" s="23"/>
    </row>
    <row r="360" spans="1:28" ht="15.75" customHeight="1" x14ac:dyDescent="0.25">
      <c r="A360" s="45"/>
      <c r="B360" s="45"/>
      <c r="C360" s="46"/>
      <c r="D360" s="46"/>
      <c r="E360" s="45"/>
      <c r="F360" s="45"/>
      <c r="G360" s="47"/>
      <c r="H360" s="45"/>
      <c r="I360" s="45"/>
      <c r="J360" s="45"/>
      <c r="K360" s="45"/>
      <c r="L360" s="20"/>
      <c r="M360" s="20"/>
      <c r="N360" s="20"/>
      <c r="O360" s="20"/>
      <c r="P360" s="20"/>
      <c r="Q360" s="20"/>
      <c r="R360" s="20"/>
      <c r="S360" s="20"/>
      <c r="T360" s="20"/>
      <c r="U360" s="20"/>
      <c r="V360" s="20"/>
      <c r="W360" s="20"/>
      <c r="X360" s="20"/>
      <c r="Y360" s="20"/>
      <c r="Z360" s="21"/>
      <c r="AA360" s="22"/>
      <c r="AB360" s="23"/>
    </row>
    <row r="361" spans="1:28" ht="15.75" customHeight="1" x14ac:dyDescent="0.25">
      <c r="A361" s="45"/>
      <c r="B361" s="45"/>
      <c r="C361" s="46"/>
      <c r="D361" s="46"/>
      <c r="E361" s="45"/>
      <c r="F361" s="45"/>
      <c r="G361" s="47"/>
      <c r="H361" s="45"/>
      <c r="I361" s="45"/>
      <c r="J361" s="45"/>
      <c r="K361" s="45"/>
      <c r="L361" s="20"/>
      <c r="M361" s="20"/>
      <c r="N361" s="20"/>
      <c r="O361" s="20"/>
      <c r="P361" s="20"/>
      <c r="Q361" s="20"/>
      <c r="R361" s="20"/>
      <c r="S361" s="20"/>
      <c r="T361" s="20"/>
      <c r="U361" s="20"/>
      <c r="V361" s="20"/>
      <c r="W361" s="20"/>
      <c r="X361" s="20"/>
      <c r="Y361" s="20"/>
      <c r="Z361" s="21"/>
      <c r="AA361" s="22"/>
      <c r="AB361" s="23"/>
    </row>
    <row r="362" spans="1:28" ht="15.75" customHeight="1" x14ac:dyDescent="0.25">
      <c r="A362" s="45"/>
      <c r="B362" s="45"/>
      <c r="C362" s="46"/>
      <c r="D362" s="46"/>
      <c r="E362" s="45"/>
      <c r="F362" s="45"/>
      <c r="G362" s="47"/>
      <c r="H362" s="45"/>
      <c r="I362" s="45"/>
      <c r="J362" s="45"/>
      <c r="K362" s="45"/>
      <c r="L362" s="20"/>
      <c r="M362" s="20"/>
      <c r="N362" s="20"/>
      <c r="O362" s="20"/>
      <c r="P362" s="20"/>
      <c r="Q362" s="20"/>
      <c r="R362" s="20"/>
      <c r="S362" s="20"/>
      <c r="T362" s="20"/>
      <c r="U362" s="20"/>
      <c r="V362" s="20"/>
      <c r="W362" s="20"/>
      <c r="X362" s="20"/>
      <c r="Y362" s="20"/>
      <c r="Z362" s="21"/>
      <c r="AA362" s="22"/>
      <c r="AB362" s="23"/>
    </row>
    <row r="363" spans="1:28" ht="15.75" customHeight="1" x14ac:dyDescent="0.25">
      <c r="A363" s="45"/>
      <c r="B363" s="45"/>
      <c r="C363" s="46"/>
      <c r="D363" s="46"/>
      <c r="E363" s="45"/>
      <c r="F363" s="45"/>
      <c r="G363" s="47"/>
      <c r="H363" s="45"/>
      <c r="I363" s="45"/>
      <c r="J363" s="45"/>
      <c r="K363" s="45"/>
      <c r="L363" s="20"/>
      <c r="M363" s="20"/>
      <c r="N363" s="20"/>
      <c r="O363" s="20"/>
      <c r="P363" s="20"/>
      <c r="Q363" s="20"/>
      <c r="R363" s="20"/>
      <c r="S363" s="20"/>
      <c r="T363" s="20"/>
      <c r="U363" s="20"/>
      <c r="V363" s="20"/>
      <c r="W363" s="20"/>
      <c r="X363" s="20"/>
      <c r="Y363" s="20"/>
      <c r="Z363" s="21"/>
      <c r="AA363" s="22"/>
      <c r="AB363" s="23"/>
    </row>
    <row r="364" spans="1:28" ht="15.75" customHeight="1" x14ac:dyDescent="0.25">
      <c r="A364" s="45"/>
      <c r="B364" s="45"/>
      <c r="C364" s="46"/>
      <c r="D364" s="46"/>
      <c r="E364" s="45"/>
      <c r="F364" s="45"/>
      <c r="G364" s="47"/>
      <c r="H364" s="45"/>
      <c r="I364" s="45"/>
      <c r="J364" s="45"/>
      <c r="K364" s="45"/>
      <c r="L364" s="20"/>
      <c r="M364" s="20"/>
      <c r="N364" s="20"/>
      <c r="O364" s="20"/>
      <c r="P364" s="20"/>
      <c r="Q364" s="20"/>
      <c r="R364" s="20"/>
      <c r="S364" s="20"/>
      <c r="T364" s="20"/>
      <c r="U364" s="20"/>
      <c r="V364" s="20"/>
      <c r="W364" s="20"/>
      <c r="X364" s="20"/>
      <c r="Y364" s="20"/>
      <c r="Z364" s="21"/>
      <c r="AA364" s="22"/>
      <c r="AB364" s="23"/>
    </row>
    <row r="365" spans="1:28" ht="15.75" customHeight="1" x14ac:dyDescent="0.25">
      <c r="A365" s="45"/>
      <c r="B365" s="45"/>
      <c r="C365" s="46"/>
      <c r="D365" s="46"/>
      <c r="E365" s="45"/>
      <c r="F365" s="45"/>
      <c r="G365" s="47"/>
      <c r="H365" s="45"/>
      <c r="I365" s="45"/>
      <c r="J365" s="45"/>
      <c r="K365" s="45"/>
      <c r="L365" s="20"/>
      <c r="M365" s="20"/>
      <c r="N365" s="20"/>
      <c r="O365" s="20"/>
      <c r="P365" s="20"/>
      <c r="Q365" s="20"/>
      <c r="R365" s="20"/>
      <c r="S365" s="20"/>
      <c r="T365" s="20"/>
      <c r="U365" s="20"/>
      <c r="V365" s="20"/>
      <c r="W365" s="20"/>
      <c r="X365" s="20"/>
      <c r="Y365" s="20"/>
      <c r="Z365" s="21"/>
      <c r="AA365" s="22"/>
      <c r="AB365" s="23"/>
    </row>
    <row r="366" spans="1:28" ht="15.75" customHeight="1" x14ac:dyDescent="0.25">
      <c r="A366" s="45"/>
      <c r="B366" s="45"/>
      <c r="C366" s="46"/>
      <c r="D366" s="46"/>
      <c r="E366" s="45"/>
      <c r="F366" s="45"/>
      <c r="G366" s="47"/>
      <c r="H366" s="45"/>
      <c r="I366" s="45"/>
      <c r="J366" s="45"/>
      <c r="K366" s="45"/>
      <c r="L366" s="20"/>
      <c r="M366" s="20"/>
      <c r="N366" s="20"/>
      <c r="O366" s="20"/>
      <c r="P366" s="20"/>
      <c r="Q366" s="20"/>
      <c r="R366" s="20"/>
      <c r="S366" s="20"/>
      <c r="T366" s="20"/>
      <c r="U366" s="20"/>
      <c r="V366" s="20"/>
      <c r="W366" s="20"/>
      <c r="X366" s="20"/>
      <c r="Y366" s="20"/>
      <c r="Z366" s="21"/>
      <c r="AA366" s="22"/>
      <c r="AB366" s="23"/>
    </row>
    <row r="367" spans="1:28" ht="15.75" customHeight="1" x14ac:dyDescent="0.25">
      <c r="A367" s="45"/>
      <c r="B367" s="45"/>
      <c r="C367" s="46"/>
      <c r="D367" s="46"/>
      <c r="E367" s="45"/>
      <c r="F367" s="45"/>
      <c r="G367" s="47"/>
      <c r="H367" s="45"/>
      <c r="I367" s="45"/>
      <c r="J367" s="45"/>
      <c r="K367" s="45"/>
      <c r="L367" s="20"/>
      <c r="M367" s="20"/>
      <c r="N367" s="20"/>
      <c r="O367" s="20"/>
      <c r="P367" s="20"/>
      <c r="Q367" s="20"/>
      <c r="R367" s="20"/>
      <c r="S367" s="20"/>
      <c r="T367" s="20"/>
      <c r="U367" s="20"/>
      <c r="V367" s="20"/>
      <c r="W367" s="20"/>
      <c r="X367" s="20"/>
      <c r="Y367" s="20"/>
      <c r="Z367" s="21"/>
      <c r="AA367" s="22"/>
      <c r="AB367" s="23"/>
    </row>
    <row r="368" spans="1:28" ht="15.75" customHeight="1" x14ac:dyDescent="0.25">
      <c r="A368" s="45"/>
      <c r="B368" s="45"/>
      <c r="C368" s="46"/>
      <c r="D368" s="46"/>
      <c r="E368" s="45"/>
      <c r="F368" s="45"/>
      <c r="G368" s="47"/>
      <c r="H368" s="45"/>
      <c r="I368" s="45"/>
      <c r="J368" s="45"/>
      <c r="K368" s="45"/>
      <c r="L368" s="20"/>
      <c r="M368" s="20"/>
      <c r="N368" s="20"/>
      <c r="O368" s="20"/>
      <c r="P368" s="20"/>
      <c r="Q368" s="20"/>
      <c r="R368" s="20"/>
      <c r="S368" s="20"/>
      <c r="T368" s="20"/>
      <c r="U368" s="20"/>
      <c r="V368" s="20"/>
      <c r="W368" s="20"/>
      <c r="X368" s="20"/>
      <c r="Y368" s="20"/>
      <c r="Z368" s="21"/>
      <c r="AA368" s="22"/>
      <c r="AB368" s="23"/>
    </row>
    <row r="369" spans="1:28" ht="15.75" customHeight="1" x14ac:dyDescent="0.25">
      <c r="A369" s="45"/>
      <c r="B369" s="45"/>
      <c r="C369" s="46"/>
      <c r="D369" s="46"/>
      <c r="E369" s="45"/>
      <c r="F369" s="45"/>
      <c r="G369" s="47"/>
      <c r="H369" s="45"/>
      <c r="I369" s="45"/>
      <c r="J369" s="45"/>
      <c r="K369" s="45"/>
      <c r="L369" s="20"/>
      <c r="M369" s="20"/>
      <c r="N369" s="20"/>
      <c r="O369" s="20"/>
      <c r="P369" s="20"/>
      <c r="Q369" s="20"/>
      <c r="R369" s="20"/>
      <c r="S369" s="20"/>
      <c r="T369" s="20"/>
      <c r="U369" s="20"/>
      <c r="V369" s="20"/>
      <c r="W369" s="20"/>
      <c r="X369" s="20"/>
      <c r="Y369" s="20"/>
      <c r="Z369" s="21"/>
      <c r="AA369" s="22"/>
      <c r="AB369" s="23"/>
    </row>
    <row r="370" spans="1:28" ht="15.75" customHeight="1" x14ac:dyDescent="0.25">
      <c r="A370" s="45"/>
      <c r="B370" s="45"/>
      <c r="C370" s="46"/>
      <c r="D370" s="46"/>
      <c r="E370" s="45"/>
      <c r="F370" s="45"/>
      <c r="G370" s="47"/>
      <c r="H370" s="45"/>
      <c r="I370" s="45"/>
      <c r="J370" s="45"/>
      <c r="K370" s="45"/>
      <c r="L370" s="20"/>
      <c r="M370" s="20"/>
      <c r="N370" s="20"/>
      <c r="O370" s="20"/>
      <c r="P370" s="20"/>
      <c r="Q370" s="20"/>
      <c r="R370" s="20"/>
      <c r="S370" s="20"/>
      <c r="T370" s="20"/>
      <c r="U370" s="20"/>
      <c r="V370" s="20"/>
      <c r="W370" s="20"/>
      <c r="X370" s="20"/>
      <c r="Y370" s="20"/>
      <c r="Z370" s="21"/>
      <c r="AA370" s="22"/>
      <c r="AB370" s="23"/>
    </row>
    <row r="371" spans="1:28" ht="15.75" customHeight="1" x14ac:dyDescent="0.25">
      <c r="A371" s="45"/>
      <c r="B371" s="45"/>
      <c r="C371" s="46"/>
      <c r="D371" s="46"/>
      <c r="E371" s="45"/>
      <c r="F371" s="45"/>
      <c r="G371" s="47"/>
      <c r="H371" s="45"/>
      <c r="I371" s="45"/>
      <c r="J371" s="45"/>
      <c r="K371" s="45"/>
      <c r="L371" s="20"/>
      <c r="M371" s="20"/>
      <c r="N371" s="20"/>
      <c r="O371" s="20"/>
      <c r="P371" s="20"/>
      <c r="Q371" s="20"/>
      <c r="R371" s="20"/>
      <c r="S371" s="20"/>
      <c r="T371" s="20"/>
      <c r="U371" s="20"/>
      <c r="V371" s="20"/>
      <c r="W371" s="20"/>
      <c r="X371" s="20"/>
      <c r="Y371" s="20"/>
      <c r="Z371" s="21"/>
      <c r="AA371" s="22"/>
      <c r="AB371" s="23"/>
    </row>
    <row r="372" spans="1:28" ht="15.75" customHeight="1" x14ac:dyDescent="0.25">
      <c r="A372" s="45"/>
      <c r="B372" s="45"/>
      <c r="C372" s="46"/>
      <c r="D372" s="46"/>
      <c r="E372" s="45"/>
      <c r="F372" s="45"/>
      <c r="G372" s="47"/>
      <c r="H372" s="45"/>
      <c r="I372" s="45"/>
      <c r="J372" s="45"/>
      <c r="K372" s="45"/>
      <c r="L372" s="20"/>
      <c r="M372" s="20"/>
      <c r="N372" s="20"/>
      <c r="O372" s="20"/>
      <c r="P372" s="20"/>
      <c r="Q372" s="20"/>
      <c r="R372" s="20"/>
      <c r="S372" s="20"/>
      <c r="T372" s="20"/>
      <c r="U372" s="20"/>
      <c r="V372" s="20"/>
      <c r="W372" s="20"/>
      <c r="X372" s="20"/>
      <c r="Y372" s="20"/>
      <c r="Z372" s="21"/>
      <c r="AA372" s="22"/>
      <c r="AB372" s="23"/>
    </row>
    <row r="373" spans="1:28" ht="15.75" customHeight="1" x14ac:dyDescent="0.25">
      <c r="A373" s="45"/>
      <c r="B373" s="45"/>
      <c r="C373" s="46"/>
      <c r="D373" s="46"/>
      <c r="E373" s="45"/>
      <c r="F373" s="45"/>
      <c r="G373" s="47"/>
      <c r="H373" s="45"/>
      <c r="I373" s="45"/>
      <c r="J373" s="45"/>
      <c r="K373" s="45"/>
      <c r="L373" s="20"/>
      <c r="M373" s="20"/>
      <c r="N373" s="20"/>
      <c r="O373" s="20"/>
      <c r="P373" s="20"/>
      <c r="Q373" s="20"/>
      <c r="R373" s="20"/>
      <c r="S373" s="20"/>
      <c r="T373" s="20"/>
      <c r="U373" s="20"/>
      <c r="V373" s="20"/>
      <c r="W373" s="20"/>
      <c r="X373" s="20"/>
      <c r="Y373" s="20"/>
      <c r="Z373" s="21"/>
      <c r="AA373" s="22"/>
      <c r="AB373" s="23"/>
    </row>
    <row r="374" spans="1:28" ht="15.75" customHeight="1" x14ac:dyDescent="0.25">
      <c r="A374" s="45"/>
      <c r="B374" s="45"/>
      <c r="C374" s="46"/>
      <c r="D374" s="46"/>
      <c r="E374" s="45"/>
      <c r="F374" s="45"/>
      <c r="G374" s="47"/>
      <c r="H374" s="45"/>
      <c r="I374" s="45"/>
      <c r="J374" s="45"/>
      <c r="K374" s="45"/>
      <c r="L374" s="20"/>
      <c r="M374" s="20"/>
      <c r="N374" s="20"/>
      <c r="O374" s="20"/>
      <c r="P374" s="20"/>
      <c r="Q374" s="20"/>
      <c r="R374" s="20"/>
      <c r="S374" s="20"/>
      <c r="T374" s="20"/>
      <c r="U374" s="20"/>
      <c r="V374" s="20"/>
      <c r="W374" s="20"/>
      <c r="X374" s="20"/>
      <c r="Y374" s="20"/>
      <c r="Z374" s="21"/>
      <c r="AA374" s="22"/>
      <c r="AB374" s="23"/>
    </row>
    <row r="375" spans="1:28" ht="15.75" customHeight="1" x14ac:dyDescent="0.25">
      <c r="A375" s="45"/>
      <c r="B375" s="45"/>
      <c r="C375" s="46"/>
      <c r="D375" s="46"/>
      <c r="E375" s="45"/>
      <c r="F375" s="45"/>
      <c r="G375" s="47"/>
      <c r="H375" s="45"/>
      <c r="I375" s="45"/>
      <c r="J375" s="45"/>
      <c r="K375" s="45"/>
      <c r="L375" s="20"/>
      <c r="M375" s="20"/>
      <c r="N375" s="20"/>
      <c r="O375" s="20"/>
      <c r="P375" s="20"/>
      <c r="Q375" s="20"/>
      <c r="R375" s="20"/>
      <c r="S375" s="20"/>
      <c r="T375" s="20"/>
      <c r="U375" s="20"/>
      <c r="V375" s="20"/>
      <c r="W375" s="20"/>
      <c r="X375" s="20"/>
      <c r="Y375" s="20"/>
      <c r="Z375" s="21"/>
      <c r="AA375" s="22"/>
      <c r="AB375" s="23"/>
    </row>
    <row r="376" spans="1:28" ht="15.75" customHeight="1" x14ac:dyDescent="0.25">
      <c r="A376" s="45"/>
      <c r="B376" s="45"/>
      <c r="C376" s="46"/>
      <c r="D376" s="46"/>
      <c r="E376" s="45"/>
      <c r="F376" s="45"/>
      <c r="G376" s="47"/>
      <c r="H376" s="45"/>
      <c r="I376" s="45"/>
      <c r="J376" s="45"/>
      <c r="K376" s="45"/>
      <c r="L376" s="20"/>
      <c r="M376" s="20"/>
      <c r="N376" s="20"/>
      <c r="O376" s="20"/>
      <c r="P376" s="20"/>
      <c r="Q376" s="20"/>
      <c r="R376" s="20"/>
      <c r="S376" s="20"/>
      <c r="T376" s="20"/>
      <c r="U376" s="20"/>
      <c r="V376" s="20"/>
      <c r="W376" s="20"/>
      <c r="X376" s="20"/>
      <c r="Y376" s="20"/>
      <c r="Z376" s="21"/>
      <c r="AA376" s="22"/>
      <c r="AB376" s="23"/>
    </row>
    <row r="377" spans="1:28" ht="15.75" customHeight="1" x14ac:dyDescent="0.25">
      <c r="A377" s="45"/>
      <c r="B377" s="45"/>
      <c r="C377" s="46"/>
      <c r="D377" s="46"/>
      <c r="E377" s="45"/>
      <c r="F377" s="45"/>
      <c r="G377" s="47"/>
      <c r="H377" s="45"/>
      <c r="I377" s="45"/>
      <c r="J377" s="45"/>
      <c r="K377" s="45"/>
      <c r="L377" s="20"/>
      <c r="M377" s="20"/>
      <c r="N377" s="20"/>
      <c r="O377" s="20"/>
      <c r="P377" s="20"/>
      <c r="Q377" s="20"/>
      <c r="R377" s="20"/>
      <c r="S377" s="20"/>
      <c r="T377" s="20"/>
      <c r="U377" s="20"/>
      <c r="V377" s="20"/>
      <c r="W377" s="20"/>
      <c r="X377" s="20"/>
      <c r="Y377" s="20"/>
      <c r="Z377" s="21"/>
      <c r="AA377" s="22"/>
      <c r="AB377" s="23"/>
    </row>
    <row r="378" spans="1:28" ht="15.75" customHeight="1" x14ac:dyDescent="0.25">
      <c r="A378" s="45"/>
      <c r="B378" s="45"/>
      <c r="C378" s="46"/>
      <c r="D378" s="46"/>
      <c r="E378" s="45"/>
      <c r="F378" s="45"/>
      <c r="G378" s="47"/>
      <c r="H378" s="45"/>
      <c r="I378" s="45"/>
      <c r="J378" s="45"/>
      <c r="K378" s="45"/>
      <c r="L378" s="20"/>
      <c r="M378" s="20"/>
      <c r="N378" s="20"/>
      <c r="O378" s="20"/>
      <c r="P378" s="20"/>
      <c r="Q378" s="20"/>
      <c r="R378" s="20"/>
      <c r="S378" s="20"/>
      <c r="T378" s="20"/>
      <c r="U378" s="20"/>
      <c r="V378" s="20"/>
      <c r="W378" s="20"/>
      <c r="X378" s="20"/>
      <c r="Y378" s="20"/>
      <c r="Z378" s="21"/>
      <c r="AA378" s="22"/>
      <c r="AB378" s="23"/>
    </row>
    <row r="379" spans="1:28" ht="15.75" customHeight="1" x14ac:dyDescent="0.25">
      <c r="A379" s="45"/>
      <c r="B379" s="45"/>
      <c r="C379" s="46"/>
      <c r="D379" s="46"/>
      <c r="E379" s="45"/>
      <c r="F379" s="45"/>
      <c r="G379" s="47"/>
      <c r="H379" s="45"/>
      <c r="I379" s="45"/>
      <c r="J379" s="45"/>
      <c r="K379" s="45"/>
      <c r="L379" s="20"/>
      <c r="M379" s="20"/>
      <c r="N379" s="20"/>
      <c r="O379" s="20"/>
      <c r="P379" s="20"/>
      <c r="Q379" s="20"/>
      <c r="R379" s="20"/>
      <c r="S379" s="20"/>
      <c r="T379" s="20"/>
      <c r="U379" s="20"/>
      <c r="V379" s="20"/>
      <c r="W379" s="20"/>
      <c r="X379" s="20"/>
      <c r="Y379" s="20"/>
      <c r="Z379" s="21"/>
      <c r="AA379" s="22"/>
      <c r="AB379" s="23"/>
    </row>
    <row r="380" spans="1:28" ht="15.75" customHeight="1" x14ac:dyDescent="0.25">
      <c r="A380" s="45"/>
      <c r="B380" s="45"/>
      <c r="C380" s="46"/>
      <c r="D380" s="46"/>
      <c r="E380" s="45"/>
      <c r="F380" s="45"/>
      <c r="G380" s="47"/>
      <c r="H380" s="45"/>
      <c r="I380" s="45"/>
      <c r="J380" s="45"/>
      <c r="K380" s="45"/>
      <c r="L380" s="20"/>
      <c r="M380" s="20"/>
      <c r="N380" s="20"/>
      <c r="O380" s="20"/>
      <c r="P380" s="20"/>
      <c r="Q380" s="20"/>
      <c r="R380" s="20"/>
      <c r="S380" s="20"/>
      <c r="T380" s="20"/>
      <c r="U380" s="20"/>
      <c r="V380" s="20"/>
      <c r="W380" s="20"/>
      <c r="X380" s="20"/>
      <c r="Y380" s="20"/>
      <c r="Z380" s="21"/>
      <c r="AA380" s="22"/>
      <c r="AB380" s="23"/>
    </row>
    <row r="381" spans="1:28" ht="15.75" customHeight="1" x14ac:dyDescent="0.25">
      <c r="G381" s="1"/>
    </row>
    <row r="382" spans="1:28" ht="15.75" customHeight="1" x14ac:dyDescent="0.25">
      <c r="G382" s="1"/>
    </row>
    <row r="383" spans="1:28" ht="15.75" customHeight="1" x14ac:dyDescent="0.25">
      <c r="G383" s="1"/>
    </row>
    <row r="384" spans="1:28" ht="15.75" customHeight="1" x14ac:dyDescent="0.25">
      <c r="G384" s="1"/>
    </row>
    <row r="385" spans="7:7" ht="15.75" customHeight="1" x14ac:dyDescent="0.25">
      <c r="G385" s="1"/>
    </row>
    <row r="386" spans="7:7" ht="15.75" customHeight="1" x14ac:dyDescent="0.25">
      <c r="G386" s="1"/>
    </row>
    <row r="387" spans="7:7" ht="15.75" customHeight="1" x14ac:dyDescent="0.25">
      <c r="G387" s="1"/>
    </row>
    <row r="388" spans="7:7" ht="15.75" customHeight="1" x14ac:dyDescent="0.25">
      <c r="G388" s="1"/>
    </row>
    <row r="389" spans="7:7" ht="15.75" customHeight="1" x14ac:dyDescent="0.25">
      <c r="G389" s="1"/>
    </row>
    <row r="390" spans="7:7" ht="15.75" customHeight="1" x14ac:dyDescent="0.25">
      <c r="G390" s="1"/>
    </row>
    <row r="391" spans="7:7" ht="15.75" customHeight="1" x14ac:dyDescent="0.25">
      <c r="G391" s="1"/>
    </row>
    <row r="392" spans="7:7" ht="15.75" customHeight="1" x14ac:dyDescent="0.25">
      <c r="G392" s="1"/>
    </row>
    <row r="393" spans="7:7" ht="15.75" customHeight="1" x14ac:dyDescent="0.25">
      <c r="G393" s="1"/>
    </row>
    <row r="394" spans="7:7" ht="15.75" customHeight="1" x14ac:dyDescent="0.25">
      <c r="G394" s="1"/>
    </row>
    <row r="395" spans="7:7" ht="15.75" customHeight="1" x14ac:dyDescent="0.25">
      <c r="G395" s="1"/>
    </row>
    <row r="396" spans="7:7" ht="15.75" customHeight="1" x14ac:dyDescent="0.25">
      <c r="G396" s="1"/>
    </row>
    <row r="397" spans="7:7" ht="15.75" customHeight="1" x14ac:dyDescent="0.25">
      <c r="G397" s="1"/>
    </row>
    <row r="398" spans="7:7" ht="15.75" customHeight="1" x14ac:dyDescent="0.25">
      <c r="G398" s="1"/>
    </row>
    <row r="399" spans="7:7" ht="15.75" customHeight="1" x14ac:dyDescent="0.25">
      <c r="G399" s="1"/>
    </row>
    <row r="400" spans="7:7" ht="15.75" customHeight="1" x14ac:dyDescent="0.25">
      <c r="G400" s="1"/>
    </row>
    <row r="401" spans="7:7" ht="15.75" customHeight="1" x14ac:dyDescent="0.25">
      <c r="G401" s="1"/>
    </row>
    <row r="402" spans="7:7" ht="15.75" customHeight="1" x14ac:dyDescent="0.25">
      <c r="G402" s="1"/>
    </row>
    <row r="403" spans="7:7" ht="15.75" customHeight="1" x14ac:dyDescent="0.25">
      <c r="G403" s="1"/>
    </row>
    <row r="404" spans="7:7" ht="15.75" customHeight="1" x14ac:dyDescent="0.25">
      <c r="G404" s="1"/>
    </row>
    <row r="405" spans="7:7" ht="15.75" customHeight="1" x14ac:dyDescent="0.25">
      <c r="G405" s="1"/>
    </row>
    <row r="406" spans="7:7" ht="15.75" customHeight="1" x14ac:dyDescent="0.25">
      <c r="G406" s="1"/>
    </row>
    <row r="407" spans="7:7" ht="15.75" customHeight="1" x14ac:dyDescent="0.25">
      <c r="G407" s="1"/>
    </row>
    <row r="408" spans="7:7" ht="15.75" customHeight="1" x14ac:dyDescent="0.25">
      <c r="G408" s="1"/>
    </row>
    <row r="409" spans="7:7" ht="15.75" customHeight="1" x14ac:dyDescent="0.25">
      <c r="G409" s="1"/>
    </row>
    <row r="410" spans="7:7" ht="15.75" customHeight="1" x14ac:dyDescent="0.25">
      <c r="G410" s="1"/>
    </row>
    <row r="411" spans="7:7" ht="15.75" customHeight="1" x14ac:dyDescent="0.25">
      <c r="G411" s="1"/>
    </row>
    <row r="412" spans="7:7" ht="15.75" customHeight="1" x14ac:dyDescent="0.25">
      <c r="G412" s="1"/>
    </row>
    <row r="413" spans="7:7" ht="15.75" customHeight="1" x14ac:dyDescent="0.25">
      <c r="G413" s="1"/>
    </row>
    <row r="414" spans="7:7" ht="15.75" customHeight="1" x14ac:dyDescent="0.25">
      <c r="G414" s="1"/>
    </row>
    <row r="415" spans="7:7" ht="15.75" customHeight="1" x14ac:dyDescent="0.25">
      <c r="G415" s="1"/>
    </row>
    <row r="416" spans="7:7" ht="15.75" customHeight="1" x14ac:dyDescent="0.25">
      <c r="G416" s="1"/>
    </row>
    <row r="417" spans="7:7" ht="15.75" customHeight="1" x14ac:dyDescent="0.25">
      <c r="G417" s="1"/>
    </row>
    <row r="418" spans="7:7" ht="15.75" customHeight="1" x14ac:dyDescent="0.25">
      <c r="G418" s="1"/>
    </row>
    <row r="419" spans="7:7" ht="15.75" customHeight="1" x14ac:dyDescent="0.25">
      <c r="G419" s="1"/>
    </row>
    <row r="420" spans="7:7" ht="15.75" customHeight="1" x14ac:dyDescent="0.25">
      <c r="G420" s="1"/>
    </row>
    <row r="421" spans="7:7" ht="15.75" customHeight="1" x14ac:dyDescent="0.25">
      <c r="G421" s="1"/>
    </row>
    <row r="422" spans="7:7" ht="15.75" customHeight="1" x14ac:dyDescent="0.25">
      <c r="G422" s="1"/>
    </row>
    <row r="423" spans="7:7" ht="15.75" customHeight="1" x14ac:dyDescent="0.25">
      <c r="G423" s="1"/>
    </row>
    <row r="424" spans="7:7" ht="15.75" customHeight="1" x14ac:dyDescent="0.25">
      <c r="G424" s="1"/>
    </row>
    <row r="425" spans="7:7" ht="15.75" customHeight="1" x14ac:dyDescent="0.25">
      <c r="G425" s="1"/>
    </row>
    <row r="426" spans="7:7" ht="15.75" customHeight="1" x14ac:dyDescent="0.25">
      <c r="G426" s="1"/>
    </row>
    <row r="427" spans="7:7" ht="15.75" customHeight="1" x14ac:dyDescent="0.25">
      <c r="G427" s="1"/>
    </row>
    <row r="428" spans="7:7" ht="15.75" customHeight="1" x14ac:dyDescent="0.25">
      <c r="G428" s="1"/>
    </row>
    <row r="429" spans="7:7" ht="15.75" customHeight="1" x14ac:dyDescent="0.25">
      <c r="G429" s="1"/>
    </row>
    <row r="430" spans="7:7" ht="15.75" customHeight="1" x14ac:dyDescent="0.25">
      <c r="G430" s="1"/>
    </row>
    <row r="431" spans="7:7" ht="15.75" customHeight="1" x14ac:dyDescent="0.25">
      <c r="G431" s="1"/>
    </row>
    <row r="432" spans="7:7" ht="15.75" customHeight="1" x14ac:dyDescent="0.25">
      <c r="G432" s="1"/>
    </row>
    <row r="433" spans="7:7" ht="15.75" customHeight="1" x14ac:dyDescent="0.25">
      <c r="G433" s="1"/>
    </row>
    <row r="434" spans="7:7" ht="15.75" customHeight="1" x14ac:dyDescent="0.25">
      <c r="G434" s="1"/>
    </row>
    <row r="435" spans="7:7" ht="15.75" customHeight="1" x14ac:dyDescent="0.25">
      <c r="G435" s="1"/>
    </row>
    <row r="436" spans="7:7" ht="15.75" customHeight="1" x14ac:dyDescent="0.25">
      <c r="G436" s="1"/>
    </row>
    <row r="437" spans="7:7" ht="15.75" customHeight="1" x14ac:dyDescent="0.25">
      <c r="G437" s="1"/>
    </row>
    <row r="438" spans="7:7" ht="15.75" customHeight="1" x14ac:dyDescent="0.25">
      <c r="G438" s="1"/>
    </row>
    <row r="439" spans="7:7" ht="15.75" customHeight="1" x14ac:dyDescent="0.25">
      <c r="G439" s="1"/>
    </row>
    <row r="440" spans="7:7" ht="15.75" customHeight="1" x14ac:dyDescent="0.25">
      <c r="G440" s="1"/>
    </row>
    <row r="441" spans="7:7" ht="15.75" customHeight="1" x14ac:dyDescent="0.25">
      <c r="G441" s="1"/>
    </row>
    <row r="442" spans="7:7" ht="15.75" customHeight="1" x14ac:dyDescent="0.25">
      <c r="G442" s="1"/>
    </row>
    <row r="443" spans="7:7" ht="15.75" customHeight="1" x14ac:dyDescent="0.25">
      <c r="G443" s="1"/>
    </row>
    <row r="444" spans="7:7" ht="15.75" customHeight="1" x14ac:dyDescent="0.25">
      <c r="G444" s="1"/>
    </row>
    <row r="445" spans="7:7" ht="15.75" customHeight="1" x14ac:dyDescent="0.25">
      <c r="G445" s="1"/>
    </row>
    <row r="446" spans="7:7" ht="15.75" customHeight="1" x14ac:dyDescent="0.25">
      <c r="G446" s="1"/>
    </row>
    <row r="447" spans="7:7" ht="15.75" customHeight="1" x14ac:dyDescent="0.25">
      <c r="G447" s="1"/>
    </row>
    <row r="448" spans="7:7" ht="15.75" customHeight="1" x14ac:dyDescent="0.25">
      <c r="G448" s="1"/>
    </row>
    <row r="449" spans="7:7" ht="15.75" customHeight="1" x14ac:dyDescent="0.25">
      <c r="G449" s="1"/>
    </row>
    <row r="450" spans="7:7" ht="15.75" customHeight="1" x14ac:dyDescent="0.25">
      <c r="G450" s="1"/>
    </row>
    <row r="451" spans="7:7" ht="15.75" customHeight="1" x14ac:dyDescent="0.25">
      <c r="G451" s="1"/>
    </row>
    <row r="452" spans="7:7" ht="15.75" customHeight="1" x14ac:dyDescent="0.25">
      <c r="G452" s="1"/>
    </row>
    <row r="453" spans="7:7" ht="15.75" customHeight="1" x14ac:dyDescent="0.25">
      <c r="G453" s="1"/>
    </row>
    <row r="454" spans="7:7" ht="15.75" customHeight="1" x14ac:dyDescent="0.25">
      <c r="G454" s="1"/>
    </row>
    <row r="455" spans="7:7" ht="15.75" customHeight="1" x14ac:dyDescent="0.25">
      <c r="G455" s="1"/>
    </row>
    <row r="456" spans="7:7" ht="15.75" customHeight="1" x14ac:dyDescent="0.25">
      <c r="G456" s="1"/>
    </row>
    <row r="457" spans="7:7" ht="15.75" customHeight="1" x14ac:dyDescent="0.25">
      <c r="G457" s="1"/>
    </row>
    <row r="458" spans="7:7" ht="15.75" customHeight="1" x14ac:dyDescent="0.25">
      <c r="G458" s="1"/>
    </row>
    <row r="459" spans="7:7" ht="15.75" customHeight="1" x14ac:dyDescent="0.25">
      <c r="G459" s="1"/>
    </row>
    <row r="460" spans="7:7" ht="15.75" customHeight="1" x14ac:dyDescent="0.25">
      <c r="G460" s="1"/>
    </row>
    <row r="461" spans="7:7" ht="15.75" customHeight="1" x14ac:dyDescent="0.25">
      <c r="G461" s="1"/>
    </row>
    <row r="462" spans="7:7" ht="15.75" customHeight="1" x14ac:dyDescent="0.25">
      <c r="G462" s="1"/>
    </row>
    <row r="463" spans="7:7" ht="15.75" customHeight="1" x14ac:dyDescent="0.25">
      <c r="G463" s="1"/>
    </row>
    <row r="464" spans="7:7" ht="15.75" customHeight="1" x14ac:dyDescent="0.25">
      <c r="G464" s="1"/>
    </row>
    <row r="465" spans="7:7" ht="15.75" customHeight="1" x14ac:dyDescent="0.25">
      <c r="G465" s="1"/>
    </row>
    <row r="466" spans="7:7" ht="15.75" customHeight="1" x14ac:dyDescent="0.25">
      <c r="G466" s="1"/>
    </row>
    <row r="467" spans="7:7" ht="15.75" customHeight="1" x14ac:dyDescent="0.25">
      <c r="G467" s="1"/>
    </row>
    <row r="468" spans="7:7" ht="15.75" customHeight="1" x14ac:dyDescent="0.25">
      <c r="G468" s="1"/>
    </row>
    <row r="469" spans="7:7" ht="15.75" customHeight="1" x14ac:dyDescent="0.25">
      <c r="G469" s="1"/>
    </row>
    <row r="470" spans="7:7" ht="15.75" customHeight="1" x14ac:dyDescent="0.25">
      <c r="G470" s="1"/>
    </row>
    <row r="471" spans="7:7" ht="15.75" customHeight="1" x14ac:dyDescent="0.25">
      <c r="G471" s="1"/>
    </row>
    <row r="472" spans="7:7" ht="15.75" customHeight="1" x14ac:dyDescent="0.25">
      <c r="G472" s="1"/>
    </row>
    <row r="473" spans="7:7" ht="15.75" customHeight="1" x14ac:dyDescent="0.25">
      <c r="G473" s="1"/>
    </row>
    <row r="474" spans="7:7" ht="15.75" customHeight="1" x14ac:dyDescent="0.25">
      <c r="G474" s="1"/>
    </row>
    <row r="475" spans="7:7" ht="15.75" customHeight="1" x14ac:dyDescent="0.25">
      <c r="G475" s="1"/>
    </row>
    <row r="476" spans="7:7" ht="15.75" customHeight="1" x14ac:dyDescent="0.25">
      <c r="G476" s="1"/>
    </row>
    <row r="477" spans="7:7" ht="15.75" customHeight="1" x14ac:dyDescent="0.25">
      <c r="G477" s="1"/>
    </row>
    <row r="478" spans="7:7" ht="15.75" customHeight="1" x14ac:dyDescent="0.25">
      <c r="G478" s="1"/>
    </row>
    <row r="479" spans="7:7" ht="15.75" customHeight="1" x14ac:dyDescent="0.25">
      <c r="G479" s="1"/>
    </row>
    <row r="480" spans="7:7" ht="15.75" customHeight="1" x14ac:dyDescent="0.25">
      <c r="G480" s="1"/>
    </row>
    <row r="481" spans="7:7" ht="15.75" customHeight="1" x14ac:dyDescent="0.25">
      <c r="G481" s="1"/>
    </row>
    <row r="482" spans="7:7" ht="15.75" customHeight="1" x14ac:dyDescent="0.25">
      <c r="G482" s="1"/>
    </row>
    <row r="483" spans="7:7" ht="15.75" customHeight="1" x14ac:dyDescent="0.25">
      <c r="G483" s="1"/>
    </row>
    <row r="484" spans="7:7" ht="15.75" customHeight="1" x14ac:dyDescent="0.25">
      <c r="G484" s="1"/>
    </row>
    <row r="485" spans="7:7" ht="15.75" customHeight="1" x14ac:dyDescent="0.25">
      <c r="G485" s="1"/>
    </row>
    <row r="486" spans="7:7" ht="15.75" customHeight="1" x14ac:dyDescent="0.25">
      <c r="G486" s="1"/>
    </row>
    <row r="487" spans="7:7" ht="15.75" customHeight="1" x14ac:dyDescent="0.25">
      <c r="G487" s="1"/>
    </row>
    <row r="488" spans="7:7" ht="15.75" customHeight="1" x14ac:dyDescent="0.25">
      <c r="G488" s="1"/>
    </row>
    <row r="489" spans="7:7" ht="15.75" customHeight="1" x14ac:dyDescent="0.25">
      <c r="G489" s="1"/>
    </row>
    <row r="490" spans="7:7" ht="15.75" customHeight="1" x14ac:dyDescent="0.25">
      <c r="G490" s="1"/>
    </row>
    <row r="491" spans="7:7" ht="15.75" customHeight="1" x14ac:dyDescent="0.25">
      <c r="G491" s="1"/>
    </row>
    <row r="492" spans="7:7" ht="15.75" customHeight="1" x14ac:dyDescent="0.25">
      <c r="G492" s="1"/>
    </row>
    <row r="493" spans="7:7" ht="15.75" customHeight="1" x14ac:dyDescent="0.25">
      <c r="G493" s="1"/>
    </row>
    <row r="494" spans="7:7" ht="15.75" customHeight="1" x14ac:dyDescent="0.25">
      <c r="G494" s="1"/>
    </row>
    <row r="495" spans="7:7" ht="15.75" customHeight="1" x14ac:dyDescent="0.25">
      <c r="G495" s="1"/>
    </row>
    <row r="496" spans="7:7" ht="15.75" customHeight="1" x14ac:dyDescent="0.25">
      <c r="G496" s="1"/>
    </row>
    <row r="497" spans="7:7" ht="15.75" customHeight="1" x14ac:dyDescent="0.25">
      <c r="G497" s="1"/>
    </row>
    <row r="498" spans="7:7" ht="15.75" customHeight="1" x14ac:dyDescent="0.25">
      <c r="G498" s="1"/>
    </row>
    <row r="499" spans="7:7" ht="15.75" customHeight="1" x14ac:dyDescent="0.25">
      <c r="G499" s="1"/>
    </row>
    <row r="500" spans="7:7" ht="15.75" customHeight="1" x14ac:dyDescent="0.25">
      <c r="G500" s="1"/>
    </row>
    <row r="501" spans="7:7" ht="15.75" customHeight="1" x14ac:dyDescent="0.25">
      <c r="G501" s="1"/>
    </row>
    <row r="502" spans="7:7" ht="15.75" customHeight="1" x14ac:dyDescent="0.25">
      <c r="G502" s="1"/>
    </row>
    <row r="503" spans="7:7" ht="15.75" customHeight="1" x14ac:dyDescent="0.25">
      <c r="G503" s="1"/>
    </row>
    <row r="504" spans="7:7" ht="15.75" customHeight="1" x14ac:dyDescent="0.25">
      <c r="G504" s="1"/>
    </row>
    <row r="505" spans="7:7" ht="15.75" customHeight="1" x14ac:dyDescent="0.25">
      <c r="G505" s="1"/>
    </row>
    <row r="506" spans="7:7" ht="15.75" customHeight="1" x14ac:dyDescent="0.25">
      <c r="G506" s="1"/>
    </row>
    <row r="507" spans="7:7" ht="15.75" customHeight="1" x14ac:dyDescent="0.25">
      <c r="G507" s="1"/>
    </row>
    <row r="508" spans="7:7" ht="15.75" customHeight="1" x14ac:dyDescent="0.25">
      <c r="G508" s="1"/>
    </row>
    <row r="509" spans="7:7" ht="15.75" customHeight="1" x14ac:dyDescent="0.25">
      <c r="G509" s="1"/>
    </row>
    <row r="510" spans="7:7" ht="15.75" customHeight="1" x14ac:dyDescent="0.25">
      <c r="G510" s="1"/>
    </row>
    <row r="511" spans="7:7" ht="15.75" customHeight="1" x14ac:dyDescent="0.25">
      <c r="G511" s="1"/>
    </row>
    <row r="512" spans="7:7" ht="15.75" customHeight="1" x14ac:dyDescent="0.25">
      <c r="G512" s="1"/>
    </row>
    <row r="513" spans="7:7" ht="15.75" customHeight="1" x14ac:dyDescent="0.25">
      <c r="G513" s="1"/>
    </row>
    <row r="514" spans="7:7" ht="15.75" customHeight="1" x14ac:dyDescent="0.25">
      <c r="G514" s="1"/>
    </row>
    <row r="515" spans="7:7" ht="15.75" customHeight="1" x14ac:dyDescent="0.25">
      <c r="G515" s="1"/>
    </row>
    <row r="516" spans="7:7" ht="15.75" customHeight="1" x14ac:dyDescent="0.25">
      <c r="G516" s="1"/>
    </row>
    <row r="517" spans="7:7" ht="15.75" customHeight="1" x14ac:dyDescent="0.25">
      <c r="G517" s="1"/>
    </row>
    <row r="518" spans="7:7" ht="15.75" customHeight="1" x14ac:dyDescent="0.25">
      <c r="G518" s="1"/>
    </row>
    <row r="519" spans="7:7" ht="15.75" customHeight="1" x14ac:dyDescent="0.25">
      <c r="G519" s="1"/>
    </row>
    <row r="520" spans="7:7" ht="15.75" customHeight="1" x14ac:dyDescent="0.25">
      <c r="G520" s="1"/>
    </row>
    <row r="521" spans="7:7" ht="15.75" customHeight="1" x14ac:dyDescent="0.25">
      <c r="G521" s="1"/>
    </row>
    <row r="522" spans="7:7" ht="15.75" customHeight="1" x14ac:dyDescent="0.25">
      <c r="G522" s="1"/>
    </row>
    <row r="523" spans="7:7" ht="15.75" customHeight="1" x14ac:dyDescent="0.25">
      <c r="G523" s="1"/>
    </row>
    <row r="524" spans="7:7" ht="15.75" customHeight="1" x14ac:dyDescent="0.25">
      <c r="G524" s="1"/>
    </row>
    <row r="525" spans="7:7" ht="15.75" customHeight="1" x14ac:dyDescent="0.25">
      <c r="G525" s="1"/>
    </row>
    <row r="526" spans="7:7" ht="15.75" customHeight="1" x14ac:dyDescent="0.25">
      <c r="G526" s="1"/>
    </row>
    <row r="527" spans="7:7" ht="15.75" customHeight="1" x14ac:dyDescent="0.25">
      <c r="G527" s="1"/>
    </row>
    <row r="528" spans="7:7" ht="15.75" customHeight="1" x14ac:dyDescent="0.25">
      <c r="G528" s="1"/>
    </row>
    <row r="529" spans="7:7" ht="15.75" customHeight="1" x14ac:dyDescent="0.25">
      <c r="G529" s="1"/>
    </row>
    <row r="530" spans="7:7" ht="15.75" customHeight="1" x14ac:dyDescent="0.25">
      <c r="G530" s="1"/>
    </row>
    <row r="531" spans="7:7" ht="15.75" customHeight="1" x14ac:dyDescent="0.25">
      <c r="G531" s="1"/>
    </row>
    <row r="532" spans="7:7" ht="15.75" customHeight="1" x14ac:dyDescent="0.25">
      <c r="G532" s="1"/>
    </row>
    <row r="533" spans="7:7" ht="15.75" customHeight="1" x14ac:dyDescent="0.25">
      <c r="G533" s="1"/>
    </row>
    <row r="534" spans="7:7" ht="15.75" customHeight="1" x14ac:dyDescent="0.25">
      <c r="G534" s="1"/>
    </row>
    <row r="535" spans="7:7" ht="15.75" customHeight="1" x14ac:dyDescent="0.25">
      <c r="G535" s="1"/>
    </row>
    <row r="536" spans="7:7" ht="15.75" customHeight="1" x14ac:dyDescent="0.25">
      <c r="G536" s="1"/>
    </row>
    <row r="537" spans="7:7" ht="15.75" customHeight="1" x14ac:dyDescent="0.25">
      <c r="G537" s="1"/>
    </row>
    <row r="538" spans="7:7" ht="15.75" customHeight="1" x14ac:dyDescent="0.25">
      <c r="G538" s="1"/>
    </row>
    <row r="539" spans="7:7" ht="15.75" customHeight="1" x14ac:dyDescent="0.25">
      <c r="G539" s="1"/>
    </row>
    <row r="540" spans="7:7" ht="15.75" customHeight="1" x14ac:dyDescent="0.25">
      <c r="G540" s="1"/>
    </row>
    <row r="541" spans="7:7" ht="15.75" customHeight="1" x14ac:dyDescent="0.25">
      <c r="G541" s="1"/>
    </row>
    <row r="542" spans="7:7" ht="15.75" customHeight="1" x14ac:dyDescent="0.25">
      <c r="G542" s="1"/>
    </row>
    <row r="543" spans="7:7" ht="15.75" customHeight="1" x14ac:dyDescent="0.25">
      <c r="G543" s="1"/>
    </row>
    <row r="544" spans="7:7" ht="15.75" customHeight="1" x14ac:dyDescent="0.25">
      <c r="G544" s="1"/>
    </row>
    <row r="545" spans="7:7" ht="15.75" customHeight="1" x14ac:dyDescent="0.25">
      <c r="G545" s="1"/>
    </row>
    <row r="546" spans="7:7" ht="15.75" customHeight="1" x14ac:dyDescent="0.25">
      <c r="G546" s="1"/>
    </row>
    <row r="547" spans="7:7" ht="15.75" customHeight="1" x14ac:dyDescent="0.25">
      <c r="G547" s="1"/>
    </row>
    <row r="548" spans="7:7" ht="15.75" customHeight="1" x14ac:dyDescent="0.25">
      <c r="G548" s="1"/>
    </row>
    <row r="549" spans="7:7" ht="15.75" customHeight="1" x14ac:dyDescent="0.25">
      <c r="G549" s="1"/>
    </row>
    <row r="550" spans="7:7" ht="15.75" customHeight="1" x14ac:dyDescent="0.25">
      <c r="G550" s="1"/>
    </row>
    <row r="551" spans="7:7" ht="15.75" customHeight="1" x14ac:dyDescent="0.25">
      <c r="G551" s="1"/>
    </row>
    <row r="552" spans="7:7" ht="15.75" customHeight="1" x14ac:dyDescent="0.25">
      <c r="G552" s="1"/>
    </row>
    <row r="553" spans="7:7" ht="15.75" customHeight="1" x14ac:dyDescent="0.25">
      <c r="G553" s="1"/>
    </row>
    <row r="554" spans="7:7" ht="15.75" customHeight="1" x14ac:dyDescent="0.25">
      <c r="G554" s="1"/>
    </row>
    <row r="555" spans="7:7" ht="15.75" customHeight="1" x14ac:dyDescent="0.25">
      <c r="G555" s="1"/>
    </row>
    <row r="556" spans="7:7" ht="15.75" customHeight="1" x14ac:dyDescent="0.25">
      <c r="G556" s="1"/>
    </row>
    <row r="557" spans="7:7" ht="15.75" customHeight="1" x14ac:dyDescent="0.25">
      <c r="G557" s="1"/>
    </row>
    <row r="558" spans="7:7" ht="15.75" customHeight="1" x14ac:dyDescent="0.25">
      <c r="G558" s="1"/>
    </row>
    <row r="559" spans="7:7" ht="15.75" customHeight="1" x14ac:dyDescent="0.25">
      <c r="G559" s="1"/>
    </row>
    <row r="560" spans="7:7" ht="15.75" customHeight="1" x14ac:dyDescent="0.25">
      <c r="G560" s="1"/>
    </row>
    <row r="561" spans="7:7" ht="15.75" customHeight="1" x14ac:dyDescent="0.25">
      <c r="G561" s="1"/>
    </row>
    <row r="562" spans="7:7" ht="15.75" customHeight="1" x14ac:dyDescent="0.25">
      <c r="G562" s="1"/>
    </row>
    <row r="563" spans="7:7" ht="15.75" customHeight="1" x14ac:dyDescent="0.25">
      <c r="G563" s="1"/>
    </row>
    <row r="564" spans="7:7" ht="15.75" customHeight="1" x14ac:dyDescent="0.25">
      <c r="G564" s="1"/>
    </row>
    <row r="565" spans="7:7" ht="15.75" customHeight="1" x14ac:dyDescent="0.25">
      <c r="G565" s="1"/>
    </row>
    <row r="566" spans="7:7" ht="15.75" customHeight="1" x14ac:dyDescent="0.25">
      <c r="G566" s="1"/>
    </row>
    <row r="567" spans="7:7" ht="15.75" customHeight="1" x14ac:dyDescent="0.25">
      <c r="G567" s="1"/>
    </row>
    <row r="568" spans="7:7" ht="15.75" customHeight="1" x14ac:dyDescent="0.25">
      <c r="G568" s="1"/>
    </row>
    <row r="569" spans="7:7" ht="15.75" customHeight="1" x14ac:dyDescent="0.25">
      <c r="G569" s="1"/>
    </row>
    <row r="570" spans="7:7" ht="15.75" customHeight="1" x14ac:dyDescent="0.25">
      <c r="G570" s="1"/>
    </row>
    <row r="571" spans="7:7" ht="15.75" customHeight="1" x14ac:dyDescent="0.25">
      <c r="G571" s="1"/>
    </row>
    <row r="572" spans="7:7" ht="15.75" customHeight="1" x14ac:dyDescent="0.25">
      <c r="G572" s="1"/>
    </row>
    <row r="573" spans="7:7" ht="15.75" customHeight="1" x14ac:dyDescent="0.25">
      <c r="G573" s="1"/>
    </row>
    <row r="574" spans="7:7" ht="15.75" customHeight="1" x14ac:dyDescent="0.25">
      <c r="G574" s="1"/>
    </row>
    <row r="575" spans="7:7" ht="15.75" customHeight="1" x14ac:dyDescent="0.25">
      <c r="G575" s="1"/>
    </row>
    <row r="576" spans="7:7" ht="15.75" customHeight="1" x14ac:dyDescent="0.25">
      <c r="G576" s="1"/>
    </row>
    <row r="577" spans="7:7" ht="15.75" customHeight="1" x14ac:dyDescent="0.25">
      <c r="G577" s="1"/>
    </row>
    <row r="578" spans="7:7" ht="15.75" customHeight="1" x14ac:dyDescent="0.25">
      <c r="G578" s="1"/>
    </row>
    <row r="579" spans="7:7" ht="15.75" customHeight="1" x14ac:dyDescent="0.25">
      <c r="G579" s="1"/>
    </row>
    <row r="580" spans="7:7" ht="15.75" customHeight="1" x14ac:dyDescent="0.25">
      <c r="G580" s="1"/>
    </row>
    <row r="581" spans="7:7" ht="15.75" customHeight="1" x14ac:dyDescent="0.25">
      <c r="G581" s="1"/>
    </row>
    <row r="582" spans="7:7" ht="15.75" customHeight="1" x14ac:dyDescent="0.25">
      <c r="G582" s="1"/>
    </row>
    <row r="583" spans="7:7" ht="15.75" customHeight="1" x14ac:dyDescent="0.25">
      <c r="G583" s="1"/>
    </row>
    <row r="584" spans="7:7" ht="15.75" customHeight="1" x14ac:dyDescent="0.25">
      <c r="G584" s="1"/>
    </row>
    <row r="585" spans="7:7" ht="15.75" customHeight="1" x14ac:dyDescent="0.25">
      <c r="G585" s="1"/>
    </row>
    <row r="586" spans="7:7" ht="15.75" customHeight="1" x14ac:dyDescent="0.25">
      <c r="G586" s="1"/>
    </row>
    <row r="587" spans="7:7" ht="15.75" customHeight="1" x14ac:dyDescent="0.25">
      <c r="G587" s="1"/>
    </row>
    <row r="588" spans="7:7" ht="15.75" customHeight="1" x14ac:dyDescent="0.25">
      <c r="G588" s="1"/>
    </row>
    <row r="589" spans="7:7" ht="15.75" customHeight="1" x14ac:dyDescent="0.25">
      <c r="G589" s="1"/>
    </row>
    <row r="590" spans="7:7" ht="15.75" customHeight="1" x14ac:dyDescent="0.25">
      <c r="G590" s="1"/>
    </row>
    <row r="591" spans="7:7" ht="15.75" customHeight="1" x14ac:dyDescent="0.25">
      <c r="G591" s="1"/>
    </row>
    <row r="592" spans="7:7" ht="15.75" customHeight="1" x14ac:dyDescent="0.25">
      <c r="G592" s="1"/>
    </row>
    <row r="593" spans="7:7" ht="15.75" customHeight="1" x14ac:dyDescent="0.25">
      <c r="G593" s="1"/>
    </row>
    <row r="594" spans="7:7" ht="15.75" customHeight="1" x14ac:dyDescent="0.25">
      <c r="G594" s="1"/>
    </row>
    <row r="595" spans="7:7" ht="15.75" customHeight="1" x14ac:dyDescent="0.25">
      <c r="G595" s="1"/>
    </row>
    <row r="596" spans="7:7" ht="15.75" customHeight="1" x14ac:dyDescent="0.25">
      <c r="G596" s="1"/>
    </row>
    <row r="597" spans="7:7" ht="15.75" customHeight="1" x14ac:dyDescent="0.25">
      <c r="G597" s="1"/>
    </row>
    <row r="598" spans="7:7" ht="15.75" customHeight="1" x14ac:dyDescent="0.25">
      <c r="G598" s="1"/>
    </row>
    <row r="599" spans="7:7" ht="15.75" customHeight="1" x14ac:dyDescent="0.25">
      <c r="G599" s="1"/>
    </row>
    <row r="600" spans="7:7" ht="15.75" customHeight="1" x14ac:dyDescent="0.25">
      <c r="G600" s="1"/>
    </row>
    <row r="601" spans="7:7" ht="15.75" customHeight="1" x14ac:dyDescent="0.25">
      <c r="G601" s="1"/>
    </row>
    <row r="602" spans="7:7" ht="15.75" customHeight="1" x14ac:dyDescent="0.25">
      <c r="G602" s="1"/>
    </row>
    <row r="603" spans="7:7" ht="15.75" customHeight="1" x14ac:dyDescent="0.25">
      <c r="G603" s="1"/>
    </row>
    <row r="604" spans="7:7" ht="15.75" customHeight="1" x14ac:dyDescent="0.25">
      <c r="G604" s="1"/>
    </row>
    <row r="605" spans="7:7" ht="15.75" customHeight="1" x14ac:dyDescent="0.25">
      <c r="G605" s="1"/>
    </row>
    <row r="606" spans="7:7" ht="15.75" customHeight="1" x14ac:dyDescent="0.25">
      <c r="G606" s="1"/>
    </row>
    <row r="607" spans="7:7" ht="15.75" customHeight="1" x14ac:dyDescent="0.25">
      <c r="G607" s="1"/>
    </row>
    <row r="608" spans="7:7" ht="15.75" customHeight="1" x14ac:dyDescent="0.25">
      <c r="G608" s="1"/>
    </row>
    <row r="609" spans="7:7" ht="15.75" customHeight="1" x14ac:dyDescent="0.25">
      <c r="G609" s="1"/>
    </row>
    <row r="610" spans="7:7" ht="15.75" customHeight="1" x14ac:dyDescent="0.25">
      <c r="G610" s="1"/>
    </row>
    <row r="611" spans="7:7" ht="15.75" customHeight="1" x14ac:dyDescent="0.25">
      <c r="G611" s="1"/>
    </row>
    <row r="612" spans="7:7" ht="15.75" customHeight="1" x14ac:dyDescent="0.25">
      <c r="G612" s="1"/>
    </row>
    <row r="613" spans="7:7" ht="15.75" customHeight="1" x14ac:dyDescent="0.25">
      <c r="G613" s="1"/>
    </row>
    <row r="614" spans="7:7" ht="15.75" customHeight="1" x14ac:dyDescent="0.25">
      <c r="G614" s="1"/>
    </row>
    <row r="615" spans="7:7" ht="15.75" customHeight="1" x14ac:dyDescent="0.25">
      <c r="G615" s="1"/>
    </row>
    <row r="616" spans="7:7" ht="15.75" customHeight="1" x14ac:dyDescent="0.25">
      <c r="G616" s="1"/>
    </row>
    <row r="617" spans="7:7" ht="15.75" customHeight="1" x14ac:dyDescent="0.25">
      <c r="G617" s="1"/>
    </row>
    <row r="618" spans="7:7" ht="15.75" customHeight="1" x14ac:dyDescent="0.25">
      <c r="G618" s="1"/>
    </row>
    <row r="619" spans="7:7" ht="15.75" customHeight="1" x14ac:dyDescent="0.25">
      <c r="G619" s="1"/>
    </row>
    <row r="620" spans="7:7" ht="15.75" customHeight="1" x14ac:dyDescent="0.25">
      <c r="G620" s="1"/>
    </row>
    <row r="621" spans="7:7" ht="15.75" customHeight="1" x14ac:dyDescent="0.25">
      <c r="G621" s="1"/>
    </row>
    <row r="622" spans="7:7" ht="15.75" customHeight="1" x14ac:dyDescent="0.25">
      <c r="G622" s="1"/>
    </row>
    <row r="623" spans="7:7" ht="15.75" customHeight="1" x14ac:dyDescent="0.25">
      <c r="G623" s="1"/>
    </row>
    <row r="624" spans="7:7" ht="15.75" customHeight="1" x14ac:dyDescent="0.25">
      <c r="G624" s="1"/>
    </row>
    <row r="625" spans="7:7" ht="15.75" customHeight="1" x14ac:dyDescent="0.25">
      <c r="G625" s="1"/>
    </row>
    <row r="626" spans="7:7" ht="15.75" customHeight="1" x14ac:dyDescent="0.25">
      <c r="G626" s="1"/>
    </row>
    <row r="627" spans="7:7" ht="15.75" customHeight="1" x14ac:dyDescent="0.25">
      <c r="G627" s="1"/>
    </row>
    <row r="628" spans="7:7" ht="15.75" customHeight="1" x14ac:dyDescent="0.25">
      <c r="G628" s="1"/>
    </row>
    <row r="629" spans="7:7" ht="15.75" customHeight="1" x14ac:dyDescent="0.25">
      <c r="G629" s="1"/>
    </row>
    <row r="630" spans="7:7" ht="15.75" customHeight="1" x14ac:dyDescent="0.25">
      <c r="G630" s="1"/>
    </row>
    <row r="631" spans="7:7" ht="15.75" customHeight="1" x14ac:dyDescent="0.25">
      <c r="G631" s="1"/>
    </row>
    <row r="632" spans="7:7" ht="15.75" customHeight="1" x14ac:dyDescent="0.25">
      <c r="G632" s="1"/>
    </row>
    <row r="633" spans="7:7" ht="15.75" customHeight="1" x14ac:dyDescent="0.25">
      <c r="G633" s="1"/>
    </row>
    <row r="634" spans="7:7" ht="15.75" customHeight="1" x14ac:dyDescent="0.25">
      <c r="G634" s="1"/>
    </row>
    <row r="635" spans="7:7" ht="15.75" customHeight="1" x14ac:dyDescent="0.25">
      <c r="G635" s="1"/>
    </row>
    <row r="636" spans="7:7" ht="15.75" customHeight="1" x14ac:dyDescent="0.25">
      <c r="G636" s="1"/>
    </row>
    <row r="637" spans="7:7" ht="15.75" customHeight="1" x14ac:dyDescent="0.25">
      <c r="G637" s="1"/>
    </row>
    <row r="638" spans="7:7" ht="15.75" customHeight="1" x14ac:dyDescent="0.25">
      <c r="G638" s="1"/>
    </row>
    <row r="639" spans="7:7" ht="15.75" customHeight="1" x14ac:dyDescent="0.25">
      <c r="G639" s="1"/>
    </row>
    <row r="640" spans="7:7" ht="15.75" customHeight="1" x14ac:dyDescent="0.25">
      <c r="G640" s="1"/>
    </row>
    <row r="641" spans="7:7" ht="15.75" customHeight="1" x14ac:dyDescent="0.25">
      <c r="G641" s="1"/>
    </row>
    <row r="642" spans="7:7" ht="15.75" customHeight="1" x14ac:dyDescent="0.25">
      <c r="G642" s="1"/>
    </row>
    <row r="643" spans="7:7" ht="15.75" customHeight="1" x14ac:dyDescent="0.25">
      <c r="G643" s="1"/>
    </row>
    <row r="644" spans="7:7" ht="15.75" customHeight="1" x14ac:dyDescent="0.25">
      <c r="G644" s="1"/>
    </row>
    <row r="645" spans="7:7" ht="15.75" customHeight="1" x14ac:dyDescent="0.25">
      <c r="G645" s="1"/>
    </row>
    <row r="646" spans="7:7" ht="15.75" customHeight="1" x14ac:dyDescent="0.25">
      <c r="G646" s="1"/>
    </row>
    <row r="647" spans="7:7" ht="15.75" customHeight="1" x14ac:dyDescent="0.25">
      <c r="G647" s="1"/>
    </row>
    <row r="648" spans="7:7" ht="15.75" customHeight="1" x14ac:dyDescent="0.25">
      <c r="G648" s="1"/>
    </row>
    <row r="649" spans="7:7" ht="15.75" customHeight="1" x14ac:dyDescent="0.25">
      <c r="G649" s="1"/>
    </row>
    <row r="650" spans="7:7" ht="15.75" customHeight="1" x14ac:dyDescent="0.25">
      <c r="G650" s="1"/>
    </row>
    <row r="651" spans="7:7" ht="15.75" customHeight="1" x14ac:dyDescent="0.25">
      <c r="G651" s="1"/>
    </row>
    <row r="652" spans="7:7" ht="15.75" customHeight="1" x14ac:dyDescent="0.25">
      <c r="G652" s="1"/>
    </row>
    <row r="653" spans="7:7" ht="15.75" customHeight="1" x14ac:dyDescent="0.25">
      <c r="G653" s="1"/>
    </row>
    <row r="654" spans="7:7" ht="15.75" customHeight="1" x14ac:dyDescent="0.25">
      <c r="G654" s="1"/>
    </row>
    <row r="655" spans="7:7" ht="15.75" customHeight="1" x14ac:dyDescent="0.25">
      <c r="G655" s="1"/>
    </row>
    <row r="656" spans="7:7" ht="15.75" customHeight="1" x14ac:dyDescent="0.25">
      <c r="G656" s="1"/>
    </row>
    <row r="657" spans="7:7" ht="15.75" customHeight="1" x14ac:dyDescent="0.25">
      <c r="G657" s="1"/>
    </row>
    <row r="658" spans="7:7" ht="15.75" customHeight="1" x14ac:dyDescent="0.25">
      <c r="G658" s="1"/>
    </row>
    <row r="659" spans="7:7" ht="15.75" customHeight="1" x14ac:dyDescent="0.25">
      <c r="G659" s="1"/>
    </row>
    <row r="660" spans="7:7" ht="15.75" customHeight="1" x14ac:dyDescent="0.25">
      <c r="G660" s="1"/>
    </row>
    <row r="661" spans="7:7" ht="15.75" customHeight="1" x14ac:dyDescent="0.25">
      <c r="G661" s="1"/>
    </row>
    <row r="662" spans="7:7" ht="15.75" customHeight="1" x14ac:dyDescent="0.25">
      <c r="G662" s="1"/>
    </row>
    <row r="663" spans="7:7" ht="15.75" customHeight="1" x14ac:dyDescent="0.25">
      <c r="G663" s="1"/>
    </row>
    <row r="664" spans="7:7" ht="15.75" customHeight="1" x14ac:dyDescent="0.25">
      <c r="G664" s="1"/>
    </row>
    <row r="665" spans="7:7" ht="15.75" customHeight="1" x14ac:dyDescent="0.25">
      <c r="G665" s="1"/>
    </row>
    <row r="666" spans="7:7" ht="15.75" customHeight="1" x14ac:dyDescent="0.25">
      <c r="G666" s="1"/>
    </row>
    <row r="667" spans="7:7" ht="15.75" customHeight="1" x14ac:dyDescent="0.25">
      <c r="G667" s="1"/>
    </row>
    <row r="668" spans="7:7" ht="15.75" customHeight="1" x14ac:dyDescent="0.25">
      <c r="G668" s="1"/>
    </row>
    <row r="669" spans="7:7" ht="15.75" customHeight="1" x14ac:dyDescent="0.25">
      <c r="G669" s="1"/>
    </row>
    <row r="670" spans="7:7" ht="15.75" customHeight="1" x14ac:dyDescent="0.25">
      <c r="G670" s="1"/>
    </row>
    <row r="671" spans="7:7" ht="15.75" customHeight="1" x14ac:dyDescent="0.25">
      <c r="G671" s="1"/>
    </row>
    <row r="672" spans="7:7" ht="15.75" customHeight="1" x14ac:dyDescent="0.25">
      <c r="G672" s="1"/>
    </row>
    <row r="673" spans="7:7" ht="15.75" customHeight="1" x14ac:dyDescent="0.25">
      <c r="G673" s="1"/>
    </row>
    <row r="674" spans="7:7" ht="15.75" customHeight="1" x14ac:dyDescent="0.25">
      <c r="G674" s="1"/>
    </row>
    <row r="675" spans="7:7" ht="15.75" customHeight="1" x14ac:dyDescent="0.25">
      <c r="G675" s="1"/>
    </row>
    <row r="676" spans="7:7" ht="15.75" customHeight="1" x14ac:dyDescent="0.25">
      <c r="G676" s="1"/>
    </row>
    <row r="677" spans="7:7" ht="15.75" customHeight="1" x14ac:dyDescent="0.25">
      <c r="G677" s="1"/>
    </row>
    <row r="678" spans="7:7" ht="15.75" customHeight="1" x14ac:dyDescent="0.25">
      <c r="G678" s="1"/>
    </row>
    <row r="679" spans="7:7" ht="15.75" customHeight="1" x14ac:dyDescent="0.25">
      <c r="G679" s="1"/>
    </row>
    <row r="680" spans="7:7" ht="15.75" customHeight="1" x14ac:dyDescent="0.25">
      <c r="G680" s="1"/>
    </row>
    <row r="681" spans="7:7" ht="15.75" customHeight="1" x14ac:dyDescent="0.25">
      <c r="G681" s="1"/>
    </row>
    <row r="682" spans="7:7" ht="15.75" customHeight="1" x14ac:dyDescent="0.25">
      <c r="G682" s="1"/>
    </row>
    <row r="683" spans="7:7" ht="15.75" customHeight="1" x14ac:dyDescent="0.25">
      <c r="G683" s="1"/>
    </row>
    <row r="684" spans="7:7" ht="15.75" customHeight="1" x14ac:dyDescent="0.25">
      <c r="G684" s="1"/>
    </row>
    <row r="685" spans="7:7" ht="15.75" customHeight="1" x14ac:dyDescent="0.25">
      <c r="G685" s="1"/>
    </row>
    <row r="686" spans="7:7" ht="15.75" customHeight="1" x14ac:dyDescent="0.25">
      <c r="G686" s="1"/>
    </row>
    <row r="687" spans="7:7" ht="15.75" customHeight="1" x14ac:dyDescent="0.25">
      <c r="G687" s="1"/>
    </row>
    <row r="688" spans="7:7" ht="15.75" customHeight="1" x14ac:dyDescent="0.25">
      <c r="G688" s="1"/>
    </row>
    <row r="689" spans="7:7" ht="15.75" customHeight="1" x14ac:dyDescent="0.25">
      <c r="G689" s="1"/>
    </row>
    <row r="690" spans="7:7" ht="15.75" customHeight="1" x14ac:dyDescent="0.25">
      <c r="G690" s="1"/>
    </row>
    <row r="691" spans="7:7" ht="15.75" customHeight="1" x14ac:dyDescent="0.25">
      <c r="G691" s="1"/>
    </row>
    <row r="692" spans="7:7" ht="15.75" customHeight="1" x14ac:dyDescent="0.25">
      <c r="G692" s="1"/>
    </row>
    <row r="693" spans="7:7" ht="15.75" customHeight="1" x14ac:dyDescent="0.25">
      <c r="G693" s="1"/>
    </row>
    <row r="694" spans="7:7" ht="15.75" customHeight="1" x14ac:dyDescent="0.25">
      <c r="G694" s="1"/>
    </row>
    <row r="695" spans="7:7" ht="15.75" customHeight="1" x14ac:dyDescent="0.25">
      <c r="G695" s="1"/>
    </row>
    <row r="696" spans="7:7" ht="15.75" customHeight="1" x14ac:dyDescent="0.25">
      <c r="G696" s="1"/>
    </row>
    <row r="697" spans="7:7" ht="15.75" customHeight="1" x14ac:dyDescent="0.25">
      <c r="G697" s="1"/>
    </row>
    <row r="698" spans="7:7" ht="15.75" customHeight="1" x14ac:dyDescent="0.25">
      <c r="G698" s="1"/>
    </row>
    <row r="699" spans="7:7" ht="15.75" customHeight="1" x14ac:dyDescent="0.25">
      <c r="G699" s="1"/>
    </row>
    <row r="700" spans="7:7" ht="15.75" customHeight="1" x14ac:dyDescent="0.25">
      <c r="G700" s="1"/>
    </row>
    <row r="701" spans="7:7" ht="15.75" customHeight="1" x14ac:dyDescent="0.25">
      <c r="G701" s="1"/>
    </row>
    <row r="702" spans="7:7" ht="15.75" customHeight="1" x14ac:dyDescent="0.25">
      <c r="G702" s="1"/>
    </row>
    <row r="703" spans="7:7" ht="15.75" customHeight="1" x14ac:dyDescent="0.25">
      <c r="G703" s="1"/>
    </row>
    <row r="704" spans="7:7" ht="15.75" customHeight="1" x14ac:dyDescent="0.25">
      <c r="G704" s="1"/>
    </row>
    <row r="705" spans="7:7" ht="15.75" customHeight="1" x14ac:dyDescent="0.25">
      <c r="G705" s="1"/>
    </row>
    <row r="706" spans="7:7" ht="15.75" customHeight="1" x14ac:dyDescent="0.25">
      <c r="G706" s="1"/>
    </row>
    <row r="707" spans="7:7" ht="15.75" customHeight="1" x14ac:dyDescent="0.25">
      <c r="G707" s="1"/>
    </row>
    <row r="708" spans="7:7" ht="15.75" customHeight="1" x14ac:dyDescent="0.25">
      <c r="G708" s="1"/>
    </row>
    <row r="709" spans="7:7" ht="15.75" customHeight="1" x14ac:dyDescent="0.25">
      <c r="G709" s="1"/>
    </row>
    <row r="710" spans="7:7" ht="15.75" customHeight="1" x14ac:dyDescent="0.25">
      <c r="G710" s="1"/>
    </row>
    <row r="711" spans="7:7" ht="15.75" customHeight="1" x14ac:dyDescent="0.25">
      <c r="G711" s="1"/>
    </row>
    <row r="712" spans="7:7" ht="15.75" customHeight="1" x14ac:dyDescent="0.25">
      <c r="G712" s="1"/>
    </row>
    <row r="713" spans="7:7" ht="15.75" customHeight="1" x14ac:dyDescent="0.25">
      <c r="G713" s="1"/>
    </row>
    <row r="714" spans="7:7" ht="15.75" customHeight="1" x14ac:dyDescent="0.25">
      <c r="G714" s="1"/>
    </row>
    <row r="715" spans="7:7" ht="15.75" customHeight="1" x14ac:dyDescent="0.25">
      <c r="G715" s="1"/>
    </row>
    <row r="716" spans="7:7" ht="15.75" customHeight="1" x14ac:dyDescent="0.25">
      <c r="G716" s="1"/>
    </row>
    <row r="717" spans="7:7" ht="15.75" customHeight="1" x14ac:dyDescent="0.25">
      <c r="G717" s="1"/>
    </row>
    <row r="718" spans="7:7" ht="15.75" customHeight="1" x14ac:dyDescent="0.25">
      <c r="G718" s="1"/>
    </row>
    <row r="719" spans="7:7" ht="15.75" customHeight="1" x14ac:dyDescent="0.25">
      <c r="G719" s="1"/>
    </row>
    <row r="720" spans="7:7" ht="15.75" customHeight="1" x14ac:dyDescent="0.25">
      <c r="G720" s="1"/>
    </row>
    <row r="721" spans="7:7" ht="15.75" customHeight="1" x14ac:dyDescent="0.25">
      <c r="G721" s="1"/>
    </row>
    <row r="722" spans="7:7" ht="15.75" customHeight="1" x14ac:dyDescent="0.25">
      <c r="G722" s="1"/>
    </row>
    <row r="723" spans="7:7" ht="15.75" customHeight="1" x14ac:dyDescent="0.25">
      <c r="G723" s="1"/>
    </row>
    <row r="724" spans="7:7" ht="15.75" customHeight="1" x14ac:dyDescent="0.25">
      <c r="G724" s="1"/>
    </row>
    <row r="725" spans="7:7" ht="15.75" customHeight="1" x14ac:dyDescent="0.25">
      <c r="G725" s="1"/>
    </row>
    <row r="726" spans="7:7" ht="15.75" customHeight="1" x14ac:dyDescent="0.25">
      <c r="G726" s="1"/>
    </row>
    <row r="727" spans="7:7" ht="15.75" customHeight="1" x14ac:dyDescent="0.25">
      <c r="G727" s="1"/>
    </row>
    <row r="728" spans="7:7" ht="15.75" customHeight="1" x14ac:dyDescent="0.25">
      <c r="G728" s="1"/>
    </row>
    <row r="729" spans="7:7" ht="15.75" customHeight="1" x14ac:dyDescent="0.25">
      <c r="G729" s="1"/>
    </row>
    <row r="730" spans="7:7" ht="15.75" customHeight="1" x14ac:dyDescent="0.25">
      <c r="G730" s="1"/>
    </row>
    <row r="731" spans="7:7" ht="15.75" customHeight="1" x14ac:dyDescent="0.25">
      <c r="G731" s="1"/>
    </row>
    <row r="732" spans="7:7" ht="15.75" customHeight="1" x14ac:dyDescent="0.25">
      <c r="G732" s="1"/>
    </row>
    <row r="733" spans="7:7" ht="15.75" customHeight="1" x14ac:dyDescent="0.25">
      <c r="G733" s="1"/>
    </row>
    <row r="734" spans="7:7" ht="15.75" customHeight="1" x14ac:dyDescent="0.25">
      <c r="G734" s="1"/>
    </row>
    <row r="735" spans="7:7" ht="15.75" customHeight="1" x14ac:dyDescent="0.25">
      <c r="G735" s="1"/>
    </row>
    <row r="736" spans="7:7" ht="15.75" customHeight="1" x14ac:dyDescent="0.25">
      <c r="G736" s="1"/>
    </row>
    <row r="737" spans="7:7" ht="15.75" customHeight="1" x14ac:dyDescent="0.25">
      <c r="G737" s="1"/>
    </row>
    <row r="738" spans="7:7" ht="15.75" customHeight="1" x14ac:dyDescent="0.25">
      <c r="G738" s="1"/>
    </row>
    <row r="739" spans="7:7" ht="15.75" customHeight="1" x14ac:dyDescent="0.25">
      <c r="G739" s="1"/>
    </row>
    <row r="740" spans="7:7" ht="15.75" customHeight="1" x14ac:dyDescent="0.25">
      <c r="G740" s="1"/>
    </row>
    <row r="741" spans="7:7" ht="15.75" customHeight="1" x14ac:dyDescent="0.25">
      <c r="G741" s="1"/>
    </row>
    <row r="742" spans="7:7" ht="15.75" customHeight="1" x14ac:dyDescent="0.25">
      <c r="G742" s="1"/>
    </row>
    <row r="743" spans="7:7" ht="15.75" customHeight="1" x14ac:dyDescent="0.25">
      <c r="G743" s="1"/>
    </row>
    <row r="744" spans="7:7" ht="15.75" customHeight="1" x14ac:dyDescent="0.25">
      <c r="G744" s="1"/>
    </row>
    <row r="745" spans="7:7" ht="15.75" customHeight="1" x14ac:dyDescent="0.25">
      <c r="G745" s="1"/>
    </row>
    <row r="746" spans="7:7" ht="15.75" customHeight="1" x14ac:dyDescent="0.25">
      <c r="G746" s="1"/>
    </row>
    <row r="747" spans="7:7" ht="15.75" customHeight="1" x14ac:dyDescent="0.25">
      <c r="G747" s="1"/>
    </row>
    <row r="748" spans="7:7" ht="15.75" customHeight="1" x14ac:dyDescent="0.25">
      <c r="G748" s="1"/>
    </row>
    <row r="749" spans="7:7" ht="15.75" customHeight="1" x14ac:dyDescent="0.25">
      <c r="G749" s="1"/>
    </row>
    <row r="750" spans="7:7" ht="15.75" customHeight="1" x14ac:dyDescent="0.25">
      <c r="G750" s="1"/>
    </row>
    <row r="751" spans="7:7" ht="15.75" customHeight="1" x14ac:dyDescent="0.25">
      <c r="G751" s="1"/>
    </row>
    <row r="752" spans="7:7" ht="15.75" customHeight="1" x14ac:dyDescent="0.25">
      <c r="G752" s="1"/>
    </row>
    <row r="753" spans="7:7" ht="15.75" customHeight="1" x14ac:dyDescent="0.25">
      <c r="G753" s="1"/>
    </row>
    <row r="754" spans="7:7" ht="15.75" customHeight="1" x14ac:dyDescent="0.25">
      <c r="G754" s="1"/>
    </row>
    <row r="755" spans="7:7" ht="15.75" customHeight="1" x14ac:dyDescent="0.25">
      <c r="G755" s="1"/>
    </row>
    <row r="756" spans="7:7" ht="15.75" customHeight="1" x14ac:dyDescent="0.25">
      <c r="G756" s="1"/>
    </row>
    <row r="757" spans="7:7" ht="15.75" customHeight="1" x14ac:dyDescent="0.25">
      <c r="G757" s="1"/>
    </row>
    <row r="758" spans="7:7" ht="15.75" customHeight="1" x14ac:dyDescent="0.25">
      <c r="G758" s="1"/>
    </row>
    <row r="759" spans="7:7" ht="15.75" customHeight="1" x14ac:dyDescent="0.25">
      <c r="G759" s="1"/>
    </row>
    <row r="760" spans="7:7" ht="15.75" customHeight="1" x14ac:dyDescent="0.25">
      <c r="G760" s="1"/>
    </row>
    <row r="761" spans="7:7" ht="15.75" customHeight="1" x14ac:dyDescent="0.25">
      <c r="G761" s="1"/>
    </row>
    <row r="762" spans="7:7" ht="15.75" customHeight="1" x14ac:dyDescent="0.25">
      <c r="G762" s="1"/>
    </row>
    <row r="763" spans="7:7" ht="15.75" customHeight="1" x14ac:dyDescent="0.25">
      <c r="G763" s="1"/>
    </row>
    <row r="764" spans="7:7" ht="15.75" customHeight="1" x14ac:dyDescent="0.25">
      <c r="G764" s="1"/>
    </row>
    <row r="765" spans="7:7" ht="15.75" customHeight="1" x14ac:dyDescent="0.25">
      <c r="G765" s="1"/>
    </row>
    <row r="766" spans="7:7" ht="15.75" customHeight="1" x14ac:dyDescent="0.25">
      <c r="G766" s="1"/>
    </row>
    <row r="767" spans="7:7" ht="15.75" customHeight="1" x14ac:dyDescent="0.25">
      <c r="G767" s="1"/>
    </row>
    <row r="768" spans="7:7" ht="15.75" customHeight="1" x14ac:dyDescent="0.25">
      <c r="G768" s="1"/>
    </row>
    <row r="769" spans="7:7" ht="15.75" customHeight="1" x14ac:dyDescent="0.25">
      <c r="G769" s="1"/>
    </row>
    <row r="770" spans="7:7" ht="15.75" customHeight="1" x14ac:dyDescent="0.25">
      <c r="G770" s="1"/>
    </row>
    <row r="771" spans="7:7" ht="15.75" customHeight="1" x14ac:dyDescent="0.25">
      <c r="G771" s="1"/>
    </row>
    <row r="772" spans="7:7" ht="15.75" customHeight="1" x14ac:dyDescent="0.25">
      <c r="G772" s="1"/>
    </row>
    <row r="773" spans="7:7" ht="15.75" customHeight="1" x14ac:dyDescent="0.25">
      <c r="G773" s="1"/>
    </row>
    <row r="774" spans="7:7" ht="15.75" customHeight="1" x14ac:dyDescent="0.25">
      <c r="G774" s="1"/>
    </row>
    <row r="775" spans="7:7" ht="15.75" customHeight="1" x14ac:dyDescent="0.25">
      <c r="G775" s="1"/>
    </row>
    <row r="776" spans="7:7" ht="15.75" customHeight="1" x14ac:dyDescent="0.25">
      <c r="G776" s="1"/>
    </row>
    <row r="777" spans="7:7" ht="15.75" customHeight="1" x14ac:dyDescent="0.25">
      <c r="G777" s="1"/>
    </row>
    <row r="778" spans="7:7" ht="15.75" customHeight="1" x14ac:dyDescent="0.25">
      <c r="G778" s="1"/>
    </row>
    <row r="779" spans="7:7" ht="15.75" customHeight="1" x14ac:dyDescent="0.25">
      <c r="G779" s="1"/>
    </row>
    <row r="780" spans="7:7" ht="15.75" customHeight="1" x14ac:dyDescent="0.25">
      <c r="G780" s="1"/>
    </row>
    <row r="781" spans="7:7" ht="15.75" customHeight="1" x14ac:dyDescent="0.25">
      <c r="G781" s="1"/>
    </row>
    <row r="782" spans="7:7" ht="15.75" customHeight="1" x14ac:dyDescent="0.25">
      <c r="G782" s="1"/>
    </row>
    <row r="783" spans="7:7" ht="15.75" customHeight="1" x14ac:dyDescent="0.25">
      <c r="G783" s="1"/>
    </row>
    <row r="784" spans="7:7" ht="15.75" customHeight="1" x14ac:dyDescent="0.25">
      <c r="G784" s="1"/>
    </row>
    <row r="785" spans="7:7" ht="15.75" customHeight="1" x14ac:dyDescent="0.25">
      <c r="G785" s="1"/>
    </row>
    <row r="786" spans="7:7" ht="15.75" customHeight="1" x14ac:dyDescent="0.25">
      <c r="G786" s="1"/>
    </row>
    <row r="787" spans="7:7" ht="15.75" customHeight="1" x14ac:dyDescent="0.25">
      <c r="G787" s="1"/>
    </row>
    <row r="788" spans="7:7" ht="15.75" customHeight="1" x14ac:dyDescent="0.25">
      <c r="G788" s="1"/>
    </row>
    <row r="789" spans="7:7" ht="15.75" customHeight="1" x14ac:dyDescent="0.25">
      <c r="G789" s="1"/>
    </row>
    <row r="790" spans="7:7" ht="15.75" customHeight="1" x14ac:dyDescent="0.25">
      <c r="G790" s="1"/>
    </row>
    <row r="791" spans="7:7" ht="15.75" customHeight="1" x14ac:dyDescent="0.25">
      <c r="G791" s="1"/>
    </row>
    <row r="792" spans="7:7" ht="15.75" customHeight="1" x14ac:dyDescent="0.25">
      <c r="G792" s="1"/>
    </row>
    <row r="793" spans="7:7" ht="15.75" customHeight="1" x14ac:dyDescent="0.25">
      <c r="G793" s="1"/>
    </row>
    <row r="794" spans="7:7" ht="15.75" customHeight="1" x14ac:dyDescent="0.25">
      <c r="G794" s="1"/>
    </row>
    <row r="795" spans="7:7" ht="15.75" customHeight="1" x14ac:dyDescent="0.25">
      <c r="G795" s="1"/>
    </row>
    <row r="796" spans="7:7" ht="15.75" customHeight="1" x14ac:dyDescent="0.25">
      <c r="G796" s="1"/>
    </row>
    <row r="797" spans="7:7" ht="15.75" customHeight="1" x14ac:dyDescent="0.25">
      <c r="G797" s="1"/>
    </row>
    <row r="798" spans="7:7" ht="15.75" customHeight="1" x14ac:dyDescent="0.25">
      <c r="G798" s="1"/>
    </row>
    <row r="799" spans="7:7" ht="15.75" customHeight="1" x14ac:dyDescent="0.25">
      <c r="G799" s="1"/>
    </row>
    <row r="800" spans="7:7" ht="15.75" customHeight="1" x14ac:dyDescent="0.25">
      <c r="G800" s="1"/>
    </row>
    <row r="801" spans="7:7" ht="15.75" customHeight="1" x14ac:dyDescent="0.25">
      <c r="G801" s="1"/>
    </row>
    <row r="802" spans="7:7" ht="15.75" customHeight="1" x14ac:dyDescent="0.25">
      <c r="G802" s="1"/>
    </row>
    <row r="803" spans="7:7" ht="15.75" customHeight="1" x14ac:dyDescent="0.25">
      <c r="G803" s="1"/>
    </row>
    <row r="804" spans="7:7" ht="15.75" customHeight="1" x14ac:dyDescent="0.25">
      <c r="G804" s="1"/>
    </row>
    <row r="805" spans="7:7" ht="15.75" customHeight="1" x14ac:dyDescent="0.25">
      <c r="G805" s="1"/>
    </row>
    <row r="806" spans="7:7" ht="15.75" customHeight="1" x14ac:dyDescent="0.25">
      <c r="G806" s="1"/>
    </row>
    <row r="807" spans="7:7" ht="15.75" customHeight="1" x14ac:dyDescent="0.25">
      <c r="G807" s="1"/>
    </row>
    <row r="808" spans="7:7" ht="15.75" customHeight="1" x14ac:dyDescent="0.25">
      <c r="G808" s="1"/>
    </row>
    <row r="809" spans="7:7" ht="15.75" customHeight="1" x14ac:dyDescent="0.25">
      <c r="G809" s="1"/>
    </row>
    <row r="810" spans="7:7" ht="15.75" customHeight="1" x14ac:dyDescent="0.25">
      <c r="G810" s="1"/>
    </row>
    <row r="811" spans="7:7" ht="15.75" customHeight="1" x14ac:dyDescent="0.25">
      <c r="G811" s="1"/>
    </row>
    <row r="812" spans="7:7" ht="15.75" customHeight="1" x14ac:dyDescent="0.25">
      <c r="G812" s="1"/>
    </row>
    <row r="813" spans="7:7" ht="15.75" customHeight="1" x14ac:dyDescent="0.25">
      <c r="G813" s="1"/>
    </row>
    <row r="814" spans="7:7" ht="15.75" customHeight="1" x14ac:dyDescent="0.25">
      <c r="G814" s="1"/>
    </row>
    <row r="815" spans="7:7" ht="15.75" customHeight="1" x14ac:dyDescent="0.25">
      <c r="G815" s="1"/>
    </row>
    <row r="816" spans="7:7" ht="15.75" customHeight="1" x14ac:dyDescent="0.25">
      <c r="G816" s="1"/>
    </row>
    <row r="817" spans="7:7" ht="15.75" customHeight="1" x14ac:dyDescent="0.25">
      <c r="G817" s="1"/>
    </row>
    <row r="818" spans="7:7" ht="15.75" customHeight="1" x14ac:dyDescent="0.25">
      <c r="G818" s="1"/>
    </row>
    <row r="819" spans="7:7" ht="15.75" customHeight="1" x14ac:dyDescent="0.25">
      <c r="G819" s="1"/>
    </row>
    <row r="820" spans="7:7" ht="15.75" customHeight="1" x14ac:dyDescent="0.25">
      <c r="G820" s="1"/>
    </row>
    <row r="821" spans="7:7" ht="15.75" customHeight="1" x14ac:dyDescent="0.25">
      <c r="G821" s="1"/>
    </row>
    <row r="822" spans="7:7" ht="15.75" customHeight="1" x14ac:dyDescent="0.25">
      <c r="G822" s="1"/>
    </row>
    <row r="823" spans="7:7" ht="15.75" customHeight="1" x14ac:dyDescent="0.25">
      <c r="G823" s="1"/>
    </row>
    <row r="824" spans="7:7" ht="15.75" customHeight="1" x14ac:dyDescent="0.25">
      <c r="G824" s="1"/>
    </row>
    <row r="825" spans="7:7" ht="15.75" customHeight="1" x14ac:dyDescent="0.25">
      <c r="G825" s="1"/>
    </row>
    <row r="826" spans="7:7" ht="15.75" customHeight="1" x14ac:dyDescent="0.25">
      <c r="G826" s="1"/>
    </row>
    <row r="827" spans="7:7" ht="15.75" customHeight="1" x14ac:dyDescent="0.25">
      <c r="G827" s="1"/>
    </row>
    <row r="828" spans="7:7" ht="15.75" customHeight="1" x14ac:dyDescent="0.25">
      <c r="G828" s="1"/>
    </row>
    <row r="829" spans="7:7" ht="15.75" customHeight="1" x14ac:dyDescent="0.25">
      <c r="G829" s="1"/>
    </row>
    <row r="830" spans="7:7" ht="15.75" customHeight="1" x14ac:dyDescent="0.25">
      <c r="G830" s="1"/>
    </row>
    <row r="831" spans="7:7" ht="15.75" customHeight="1" x14ac:dyDescent="0.25">
      <c r="G831" s="1"/>
    </row>
    <row r="832" spans="7:7" ht="15.75" customHeight="1" x14ac:dyDescent="0.25">
      <c r="G832" s="1"/>
    </row>
    <row r="833" spans="7:7" ht="15.75" customHeight="1" x14ac:dyDescent="0.25">
      <c r="G833" s="1"/>
    </row>
    <row r="834" spans="7:7" ht="15.75" customHeight="1" x14ac:dyDescent="0.25">
      <c r="G834" s="1"/>
    </row>
    <row r="835" spans="7:7" ht="15.75" customHeight="1" x14ac:dyDescent="0.25">
      <c r="G835" s="1"/>
    </row>
    <row r="836" spans="7:7" ht="15.75" customHeight="1" x14ac:dyDescent="0.25">
      <c r="G836" s="1"/>
    </row>
    <row r="837" spans="7:7" ht="15.75" customHeight="1" x14ac:dyDescent="0.25">
      <c r="G837" s="1"/>
    </row>
    <row r="838" spans="7:7" ht="15.75" customHeight="1" x14ac:dyDescent="0.25">
      <c r="G838" s="1"/>
    </row>
    <row r="839" spans="7:7" ht="15.75" customHeight="1" x14ac:dyDescent="0.25">
      <c r="G839" s="1"/>
    </row>
    <row r="840" spans="7:7" ht="15.75" customHeight="1" x14ac:dyDescent="0.25">
      <c r="G840" s="1"/>
    </row>
    <row r="841" spans="7:7" ht="15.75" customHeight="1" x14ac:dyDescent="0.25">
      <c r="G841" s="1"/>
    </row>
    <row r="842" spans="7:7" ht="15.75" customHeight="1" x14ac:dyDescent="0.25">
      <c r="G842" s="1"/>
    </row>
    <row r="843" spans="7:7" ht="15.75" customHeight="1" x14ac:dyDescent="0.25">
      <c r="G843" s="1"/>
    </row>
    <row r="844" spans="7:7" ht="15.75" customHeight="1" x14ac:dyDescent="0.25">
      <c r="G844" s="1"/>
    </row>
    <row r="845" spans="7:7" ht="15.75" customHeight="1" x14ac:dyDescent="0.25">
      <c r="G845" s="1"/>
    </row>
    <row r="846" spans="7:7" ht="15.75" customHeight="1" x14ac:dyDescent="0.25">
      <c r="G846" s="1"/>
    </row>
    <row r="847" spans="7:7" ht="15.75" customHeight="1" x14ac:dyDescent="0.25">
      <c r="G847" s="1"/>
    </row>
    <row r="848" spans="7:7" ht="15.75" customHeight="1" x14ac:dyDescent="0.25">
      <c r="G848" s="1"/>
    </row>
    <row r="849" spans="7:7" ht="15.75" customHeight="1" x14ac:dyDescent="0.25">
      <c r="G849" s="1"/>
    </row>
    <row r="850" spans="7:7" ht="15.75" customHeight="1" x14ac:dyDescent="0.25">
      <c r="G850" s="1"/>
    </row>
    <row r="851" spans="7:7" ht="15.75" customHeight="1" x14ac:dyDescent="0.25">
      <c r="G851" s="1"/>
    </row>
    <row r="852" spans="7:7" ht="15.75" customHeight="1" x14ac:dyDescent="0.25">
      <c r="G852" s="1"/>
    </row>
    <row r="853" spans="7:7" ht="15.75" customHeight="1" x14ac:dyDescent="0.25">
      <c r="G853" s="1"/>
    </row>
    <row r="854" spans="7:7" ht="15.75" customHeight="1" x14ac:dyDescent="0.25">
      <c r="G854" s="1"/>
    </row>
    <row r="855" spans="7:7" ht="15.75" customHeight="1" x14ac:dyDescent="0.25">
      <c r="G855" s="1"/>
    </row>
    <row r="856" spans="7:7" ht="15.75" customHeight="1" x14ac:dyDescent="0.25">
      <c r="G856" s="1"/>
    </row>
    <row r="857" spans="7:7" ht="15.75" customHeight="1" x14ac:dyDescent="0.25">
      <c r="G857" s="1"/>
    </row>
    <row r="858" spans="7:7" ht="15.75" customHeight="1" x14ac:dyDescent="0.25">
      <c r="G858" s="1"/>
    </row>
    <row r="859" spans="7:7" ht="15.75" customHeight="1" x14ac:dyDescent="0.25">
      <c r="G859" s="1"/>
    </row>
    <row r="860" spans="7:7" ht="15.75" customHeight="1" x14ac:dyDescent="0.25">
      <c r="G860" s="1"/>
    </row>
    <row r="861" spans="7:7" ht="15.75" customHeight="1" x14ac:dyDescent="0.25">
      <c r="G861" s="1"/>
    </row>
    <row r="862" spans="7:7" ht="15.75" customHeight="1" x14ac:dyDescent="0.25">
      <c r="G862" s="1"/>
    </row>
    <row r="863" spans="7:7" ht="15.75" customHeight="1" x14ac:dyDescent="0.25">
      <c r="G863" s="1"/>
    </row>
    <row r="864" spans="7:7" ht="15.75" customHeight="1" x14ac:dyDescent="0.25">
      <c r="G864" s="1"/>
    </row>
    <row r="865" spans="7:7" ht="15.75" customHeight="1" x14ac:dyDescent="0.25">
      <c r="G865" s="1"/>
    </row>
    <row r="866" spans="7:7" ht="15.75" customHeight="1" x14ac:dyDescent="0.25">
      <c r="G866" s="1"/>
    </row>
    <row r="867" spans="7:7" ht="15.75" customHeight="1" x14ac:dyDescent="0.25">
      <c r="G867" s="1"/>
    </row>
    <row r="868" spans="7:7" ht="15.75" customHeight="1" x14ac:dyDescent="0.25">
      <c r="G868" s="1"/>
    </row>
    <row r="869" spans="7:7" ht="15.75" customHeight="1" x14ac:dyDescent="0.25">
      <c r="G869" s="1"/>
    </row>
    <row r="870" spans="7:7" ht="15.75" customHeight="1" x14ac:dyDescent="0.25">
      <c r="G870" s="1"/>
    </row>
    <row r="871" spans="7:7" ht="15.75" customHeight="1" x14ac:dyDescent="0.25">
      <c r="G871" s="1"/>
    </row>
    <row r="872" spans="7:7" ht="15.75" customHeight="1" x14ac:dyDescent="0.25">
      <c r="G872" s="1"/>
    </row>
    <row r="873" spans="7:7" ht="15.75" customHeight="1" x14ac:dyDescent="0.25">
      <c r="G873" s="1"/>
    </row>
    <row r="874" spans="7:7" ht="15.75" customHeight="1" x14ac:dyDescent="0.25">
      <c r="G874" s="1"/>
    </row>
    <row r="875" spans="7:7" ht="15.75" customHeight="1" x14ac:dyDescent="0.25">
      <c r="G875" s="1"/>
    </row>
    <row r="876" spans="7:7" ht="15.75" customHeight="1" x14ac:dyDescent="0.25">
      <c r="G876" s="1"/>
    </row>
    <row r="877" spans="7:7" ht="15.75" customHeight="1" x14ac:dyDescent="0.25">
      <c r="G877" s="1"/>
    </row>
    <row r="878" spans="7:7" ht="15.75" customHeight="1" x14ac:dyDescent="0.25">
      <c r="G878" s="1"/>
    </row>
    <row r="879" spans="7:7" ht="15.75" customHeight="1" x14ac:dyDescent="0.25">
      <c r="G879" s="1"/>
    </row>
    <row r="880" spans="7:7" ht="15.75" customHeight="1" x14ac:dyDescent="0.25">
      <c r="G880" s="1"/>
    </row>
    <row r="881" spans="7:7" ht="15.75" customHeight="1" x14ac:dyDescent="0.25">
      <c r="G881" s="1"/>
    </row>
    <row r="882" spans="7:7" ht="15.75" customHeight="1" x14ac:dyDescent="0.25">
      <c r="G882" s="1"/>
    </row>
    <row r="883" spans="7:7" ht="15.75" customHeight="1" x14ac:dyDescent="0.25">
      <c r="G883" s="1"/>
    </row>
    <row r="884" spans="7:7" ht="15.75" customHeight="1" x14ac:dyDescent="0.25">
      <c r="G884" s="1"/>
    </row>
    <row r="885" spans="7:7" ht="15.75" customHeight="1" x14ac:dyDescent="0.25">
      <c r="G885" s="1"/>
    </row>
    <row r="886" spans="7:7" ht="15.75" customHeight="1" x14ac:dyDescent="0.25">
      <c r="G886" s="1"/>
    </row>
    <row r="887" spans="7:7" ht="15.75" customHeight="1" x14ac:dyDescent="0.25">
      <c r="G887" s="1"/>
    </row>
    <row r="888" spans="7:7" ht="15.75" customHeight="1" x14ac:dyDescent="0.25">
      <c r="G888" s="1"/>
    </row>
    <row r="889" spans="7:7" ht="15.75" customHeight="1" x14ac:dyDescent="0.25">
      <c r="G889" s="1"/>
    </row>
    <row r="890" spans="7:7" ht="15.75" customHeight="1" x14ac:dyDescent="0.25">
      <c r="G890" s="1"/>
    </row>
    <row r="891" spans="7:7" ht="15.75" customHeight="1" x14ac:dyDescent="0.25">
      <c r="G891" s="1"/>
    </row>
    <row r="892" spans="7:7" ht="15.75" customHeight="1" x14ac:dyDescent="0.25">
      <c r="G892" s="1"/>
    </row>
    <row r="893" spans="7:7" ht="15.75" customHeight="1" x14ac:dyDescent="0.25">
      <c r="G893" s="1"/>
    </row>
    <row r="894" spans="7:7" ht="15.75" customHeight="1" x14ac:dyDescent="0.25">
      <c r="G894" s="1"/>
    </row>
    <row r="895" spans="7:7" ht="15.75" customHeight="1" x14ac:dyDescent="0.25">
      <c r="G895" s="1"/>
    </row>
    <row r="896" spans="7:7" ht="15.75" customHeight="1" x14ac:dyDescent="0.25">
      <c r="G896" s="1"/>
    </row>
    <row r="897" spans="7:7" ht="15.75" customHeight="1" x14ac:dyDescent="0.25">
      <c r="G897" s="1"/>
    </row>
    <row r="898" spans="7:7" ht="15.75" customHeight="1" x14ac:dyDescent="0.25">
      <c r="G898" s="1"/>
    </row>
    <row r="899" spans="7:7" ht="15.75" customHeight="1" x14ac:dyDescent="0.25">
      <c r="G899" s="1"/>
    </row>
    <row r="900" spans="7:7" ht="15.75" customHeight="1" x14ac:dyDescent="0.25">
      <c r="G900" s="1"/>
    </row>
    <row r="901" spans="7:7" ht="15.75" customHeight="1" x14ac:dyDescent="0.25">
      <c r="G901" s="1"/>
    </row>
    <row r="902" spans="7:7" ht="15.75" customHeight="1" x14ac:dyDescent="0.25">
      <c r="G902" s="1"/>
    </row>
    <row r="903" spans="7:7" ht="15.75" customHeight="1" x14ac:dyDescent="0.25">
      <c r="G903" s="1"/>
    </row>
    <row r="904" spans="7:7" ht="15.75" customHeight="1" x14ac:dyDescent="0.25">
      <c r="G904" s="1"/>
    </row>
    <row r="905" spans="7:7" ht="15.75" customHeight="1" x14ac:dyDescent="0.25">
      <c r="G905" s="1"/>
    </row>
    <row r="906" spans="7:7" ht="15.75" customHeight="1" x14ac:dyDescent="0.25">
      <c r="G906" s="1"/>
    </row>
    <row r="907" spans="7:7" ht="15.75" customHeight="1" x14ac:dyDescent="0.25">
      <c r="G907" s="1"/>
    </row>
    <row r="908" spans="7:7" ht="15.75" customHeight="1" x14ac:dyDescent="0.25">
      <c r="G908" s="1"/>
    </row>
    <row r="909" spans="7:7" ht="15.75" customHeight="1" x14ac:dyDescent="0.25">
      <c r="G909" s="1"/>
    </row>
    <row r="910" spans="7:7" ht="15.75" customHeight="1" x14ac:dyDescent="0.25">
      <c r="G910" s="1"/>
    </row>
    <row r="911" spans="7:7" ht="15.75" customHeight="1" x14ac:dyDescent="0.25">
      <c r="G911" s="1"/>
    </row>
    <row r="912" spans="7:7" ht="15.75" customHeight="1" x14ac:dyDescent="0.25">
      <c r="G912" s="1"/>
    </row>
    <row r="913" spans="7:7" ht="15.75" customHeight="1" x14ac:dyDescent="0.25">
      <c r="G913" s="1"/>
    </row>
    <row r="914" spans="7:7" ht="15.75" customHeight="1" x14ac:dyDescent="0.25">
      <c r="G914" s="1"/>
    </row>
    <row r="915" spans="7:7" ht="15.75" customHeight="1" x14ac:dyDescent="0.25">
      <c r="G915" s="1"/>
    </row>
    <row r="916" spans="7:7" ht="15.75" customHeight="1" x14ac:dyDescent="0.25">
      <c r="G916" s="1"/>
    </row>
    <row r="917" spans="7:7" ht="15.75" customHeight="1" x14ac:dyDescent="0.25">
      <c r="G917" s="1"/>
    </row>
    <row r="918" spans="7:7" ht="15.75" customHeight="1" x14ac:dyDescent="0.25">
      <c r="G918" s="1"/>
    </row>
    <row r="919" spans="7:7" ht="15.75" customHeight="1" x14ac:dyDescent="0.25">
      <c r="G919" s="1"/>
    </row>
    <row r="920" spans="7:7" ht="15.75" customHeight="1" x14ac:dyDescent="0.25">
      <c r="G920" s="1"/>
    </row>
    <row r="921" spans="7:7" ht="15.75" customHeight="1" x14ac:dyDescent="0.25">
      <c r="G921" s="1"/>
    </row>
    <row r="922" spans="7:7" ht="15.75" customHeight="1" x14ac:dyDescent="0.25">
      <c r="G922" s="1"/>
    </row>
    <row r="923" spans="7:7" ht="15.75" customHeight="1" x14ac:dyDescent="0.25">
      <c r="G923" s="1"/>
    </row>
    <row r="924" spans="7:7" ht="15.75" customHeight="1" x14ac:dyDescent="0.25">
      <c r="G924" s="1"/>
    </row>
    <row r="925" spans="7:7" ht="15.75" customHeight="1" x14ac:dyDescent="0.25">
      <c r="G925" s="1"/>
    </row>
    <row r="926" spans="7:7" ht="15.75" customHeight="1" x14ac:dyDescent="0.25">
      <c r="G926" s="1"/>
    </row>
    <row r="927" spans="7:7" ht="15.75" customHeight="1" x14ac:dyDescent="0.25">
      <c r="G927" s="1"/>
    </row>
    <row r="928" spans="7:7" ht="15.75" customHeight="1" x14ac:dyDescent="0.25">
      <c r="G928" s="1"/>
    </row>
    <row r="929" spans="7:7" ht="15.75" customHeight="1" x14ac:dyDescent="0.25">
      <c r="G929" s="1"/>
    </row>
    <row r="930" spans="7:7" ht="15.75" customHeight="1" x14ac:dyDescent="0.25">
      <c r="G930" s="1"/>
    </row>
    <row r="931" spans="7:7" ht="15.75" customHeight="1" x14ac:dyDescent="0.25">
      <c r="G931" s="1"/>
    </row>
    <row r="932" spans="7:7" ht="15.75" customHeight="1" x14ac:dyDescent="0.25">
      <c r="G932" s="1"/>
    </row>
    <row r="933" spans="7:7" ht="15.75" customHeight="1" x14ac:dyDescent="0.25">
      <c r="G933" s="1"/>
    </row>
    <row r="934" spans="7:7" ht="15.75" customHeight="1" x14ac:dyDescent="0.25">
      <c r="G934" s="1"/>
    </row>
    <row r="935" spans="7:7" ht="15.75" customHeight="1" x14ac:dyDescent="0.25">
      <c r="G935" s="1"/>
    </row>
    <row r="936" spans="7:7" ht="15.75" customHeight="1" x14ac:dyDescent="0.25">
      <c r="G936" s="1"/>
    </row>
    <row r="937" spans="7:7" ht="15.75" customHeight="1" x14ac:dyDescent="0.25">
      <c r="G937" s="1"/>
    </row>
    <row r="938" spans="7:7" ht="15.75" customHeight="1" x14ac:dyDescent="0.25">
      <c r="G938" s="1"/>
    </row>
    <row r="939" spans="7:7" ht="15.75" customHeight="1" x14ac:dyDescent="0.25">
      <c r="G939" s="1"/>
    </row>
    <row r="940" spans="7:7" ht="15.75" customHeight="1" x14ac:dyDescent="0.25">
      <c r="G940" s="1"/>
    </row>
    <row r="941" spans="7:7" ht="15.75" customHeight="1" x14ac:dyDescent="0.25">
      <c r="G941" s="1"/>
    </row>
    <row r="942" spans="7:7" ht="15.75" customHeight="1" x14ac:dyDescent="0.25">
      <c r="G942" s="1"/>
    </row>
    <row r="943" spans="7:7" ht="15.75" customHeight="1" x14ac:dyDescent="0.25">
      <c r="G943" s="1"/>
    </row>
    <row r="944" spans="7:7" ht="15.75" customHeight="1" x14ac:dyDescent="0.25">
      <c r="G944" s="1"/>
    </row>
    <row r="945" spans="7:7" ht="15.75" customHeight="1" x14ac:dyDescent="0.25">
      <c r="G945" s="1"/>
    </row>
    <row r="946" spans="7:7" ht="15.75" customHeight="1" x14ac:dyDescent="0.25">
      <c r="G946" s="1"/>
    </row>
    <row r="947" spans="7:7" ht="15.75" customHeight="1" x14ac:dyDescent="0.25">
      <c r="G947" s="1"/>
    </row>
    <row r="948" spans="7:7" ht="15.75" customHeight="1" x14ac:dyDescent="0.25">
      <c r="G948" s="1"/>
    </row>
    <row r="949" spans="7:7" ht="15.75" customHeight="1" x14ac:dyDescent="0.25">
      <c r="G949" s="1"/>
    </row>
    <row r="950" spans="7:7" ht="15.75" customHeight="1" x14ac:dyDescent="0.25">
      <c r="G950" s="1"/>
    </row>
    <row r="951" spans="7:7" ht="15.75" customHeight="1" x14ac:dyDescent="0.25">
      <c r="G951" s="1"/>
    </row>
    <row r="952" spans="7:7" ht="15.75" customHeight="1" x14ac:dyDescent="0.25">
      <c r="G952" s="1"/>
    </row>
    <row r="953" spans="7:7" ht="15.75" customHeight="1" x14ac:dyDescent="0.25">
      <c r="G953" s="1"/>
    </row>
    <row r="954" spans="7:7" ht="15.75" customHeight="1" x14ac:dyDescent="0.25">
      <c r="G954" s="1"/>
    </row>
    <row r="955" spans="7:7" ht="15.75" customHeight="1" x14ac:dyDescent="0.25">
      <c r="G955" s="1"/>
    </row>
    <row r="956" spans="7:7" ht="15.75" customHeight="1" x14ac:dyDescent="0.25">
      <c r="G956" s="1"/>
    </row>
    <row r="957" spans="7:7" ht="15.75" customHeight="1" x14ac:dyDescent="0.25">
      <c r="G957" s="1"/>
    </row>
    <row r="958" spans="7:7" ht="15.75" customHeight="1" x14ac:dyDescent="0.25">
      <c r="G958" s="1"/>
    </row>
    <row r="959" spans="7:7" ht="15.75" customHeight="1" x14ac:dyDescent="0.25">
      <c r="G959" s="1"/>
    </row>
    <row r="960" spans="7:7" ht="15.75" customHeight="1" x14ac:dyDescent="0.25">
      <c r="G960" s="1"/>
    </row>
    <row r="961" spans="7:7" ht="15.75" customHeight="1" x14ac:dyDescent="0.25">
      <c r="G961" s="1"/>
    </row>
    <row r="962" spans="7:7" ht="15.75" customHeight="1" x14ac:dyDescent="0.25">
      <c r="G962" s="1"/>
    </row>
    <row r="963" spans="7:7" ht="15.75" customHeight="1" x14ac:dyDescent="0.25">
      <c r="G963" s="1"/>
    </row>
    <row r="964" spans="7:7" ht="15.75" customHeight="1" x14ac:dyDescent="0.25">
      <c r="G964" s="1"/>
    </row>
    <row r="965" spans="7:7" ht="15.75" customHeight="1" x14ac:dyDescent="0.25">
      <c r="G965" s="1"/>
    </row>
    <row r="966" spans="7:7" ht="15.75" customHeight="1" x14ac:dyDescent="0.25">
      <c r="G966" s="1"/>
    </row>
    <row r="967" spans="7:7" ht="15.75" customHeight="1" x14ac:dyDescent="0.25">
      <c r="G967" s="1"/>
    </row>
    <row r="968" spans="7:7" ht="15.75" customHeight="1" x14ac:dyDescent="0.25">
      <c r="G968" s="1"/>
    </row>
    <row r="969" spans="7:7" ht="15.75" customHeight="1" x14ac:dyDescent="0.25">
      <c r="G969" s="1"/>
    </row>
    <row r="970" spans="7:7" ht="15.75" customHeight="1" x14ac:dyDescent="0.25">
      <c r="G970" s="1"/>
    </row>
    <row r="971" spans="7:7" ht="15.75" customHeight="1" x14ac:dyDescent="0.25">
      <c r="G971" s="1"/>
    </row>
    <row r="972" spans="7:7" ht="15.75" customHeight="1" x14ac:dyDescent="0.25">
      <c r="G972" s="1"/>
    </row>
    <row r="973" spans="7:7" ht="15.75" customHeight="1" x14ac:dyDescent="0.25">
      <c r="G973" s="1"/>
    </row>
    <row r="974" spans="7:7" ht="15.75" customHeight="1" x14ac:dyDescent="0.25">
      <c r="G974" s="1"/>
    </row>
    <row r="975" spans="7:7" ht="15.75" customHeight="1" x14ac:dyDescent="0.25">
      <c r="G975" s="1"/>
    </row>
    <row r="976" spans="7:7" ht="15.75" customHeight="1" x14ac:dyDescent="0.25">
      <c r="G976" s="1"/>
    </row>
    <row r="977" spans="7:7" ht="15.75" customHeight="1" x14ac:dyDescent="0.25">
      <c r="G977" s="1"/>
    </row>
    <row r="978" spans="7:7" ht="15.75" customHeight="1" x14ac:dyDescent="0.25">
      <c r="G978" s="1"/>
    </row>
    <row r="979" spans="7:7" ht="15.75" customHeight="1" x14ac:dyDescent="0.25">
      <c r="G979" s="1"/>
    </row>
    <row r="980" spans="7:7" ht="15.75" customHeight="1" x14ac:dyDescent="0.25">
      <c r="G980" s="1"/>
    </row>
    <row r="981" spans="7:7" ht="15.75" customHeight="1" x14ac:dyDescent="0.25">
      <c r="G981" s="1"/>
    </row>
    <row r="982" spans="7:7" ht="15.75" customHeight="1" x14ac:dyDescent="0.25">
      <c r="G982" s="1"/>
    </row>
    <row r="983" spans="7:7" ht="15.75" customHeight="1" x14ac:dyDescent="0.25">
      <c r="G983" s="1"/>
    </row>
    <row r="984" spans="7:7" ht="15.75" customHeight="1" x14ac:dyDescent="0.25">
      <c r="G984" s="1"/>
    </row>
    <row r="985" spans="7:7" ht="15.75" customHeight="1" x14ac:dyDescent="0.25">
      <c r="G985" s="1"/>
    </row>
    <row r="986" spans="7:7" ht="15.75" customHeight="1" x14ac:dyDescent="0.25">
      <c r="G986" s="1"/>
    </row>
    <row r="987" spans="7:7" ht="15.75" customHeight="1" x14ac:dyDescent="0.25">
      <c r="G987" s="1"/>
    </row>
    <row r="988" spans="7:7" ht="15.75" customHeight="1" x14ac:dyDescent="0.25">
      <c r="G988" s="1"/>
    </row>
    <row r="989" spans="7:7" ht="15.75" customHeight="1" x14ac:dyDescent="0.25">
      <c r="G989" s="1"/>
    </row>
    <row r="990" spans="7:7" ht="15.75" customHeight="1" x14ac:dyDescent="0.25">
      <c r="G990" s="1"/>
    </row>
    <row r="991" spans="7:7" ht="15.75" customHeight="1" x14ac:dyDescent="0.25">
      <c r="G991" s="1"/>
    </row>
    <row r="992" spans="7:7" ht="15.75" customHeight="1" x14ac:dyDescent="0.25">
      <c r="G992" s="1"/>
    </row>
    <row r="993" spans="7:7" ht="15.75" customHeight="1" x14ac:dyDescent="0.25">
      <c r="G993" s="1"/>
    </row>
    <row r="994" spans="7:7" ht="15.75" customHeight="1" x14ac:dyDescent="0.25">
      <c r="G994" s="1"/>
    </row>
    <row r="995" spans="7:7" ht="15.75" customHeight="1" x14ac:dyDescent="0.25">
      <c r="G995" s="1"/>
    </row>
    <row r="996" spans="7:7" ht="15.75" customHeight="1" x14ac:dyDescent="0.25">
      <c r="G996" s="1"/>
    </row>
    <row r="997" spans="7:7" ht="15.75" customHeight="1" x14ac:dyDescent="0.25">
      <c r="G997" s="1"/>
    </row>
    <row r="998" spans="7:7" ht="15.75" customHeight="1" x14ac:dyDescent="0.25">
      <c r="G998" s="1"/>
    </row>
    <row r="999" spans="7:7" ht="15.75" customHeight="1" x14ac:dyDescent="0.25">
      <c r="G999" s="1"/>
    </row>
    <row r="1000" spans="7:7" ht="15.75" customHeight="1" x14ac:dyDescent="0.25">
      <c r="G1000" s="1"/>
    </row>
  </sheetData>
  <conditionalFormatting sqref="A2:K180">
    <cfRule type="containsBlanks" dxfId="3" priority="1">
      <formula>LEN(TRIM(A2))=0</formula>
    </cfRule>
  </conditionalFormatting>
  <printOptions horizontalCentered="1"/>
  <pageMargins left="0.7" right="0.7" top="0.75" bottom="0.75" header="0" footer="0"/>
  <pageSetup paperSize="9" orientation="landscape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9DC3E6"/>
  </sheetPr>
  <dimension ref="A1:AB1000"/>
  <sheetViews>
    <sheetView workbookViewId="0">
      <pane ySplit="1" topLeftCell="A2" activePane="bottomLeft" state="frozen"/>
      <selection pane="bottomLeft" activeCell="B3" sqref="B3"/>
    </sheetView>
  </sheetViews>
  <sheetFormatPr baseColWidth="10" defaultColWidth="12.6328125" defaultRowHeight="15" customHeight="1" x14ac:dyDescent="0.25"/>
  <cols>
    <col min="1" max="1" width="5.6328125" customWidth="1"/>
    <col min="2" max="2" width="8" customWidth="1"/>
    <col min="3" max="3" width="17.7265625" customWidth="1"/>
    <col min="4" max="4" width="14.453125" customWidth="1"/>
    <col min="5" max="6" width="5.36328125" customWidth="1"/>
    <col min="7" max="21" width="8.26953125" customWidth="1"/>
    <col min="22" max="28" width="7" customWidth="1"/>
  </cols>
  <sheetData>
    <row r="1" spans="1:28" ht="13.5" customHeight="1" x14ac:dyDescent="0.25">
      <c r="A1" s="48" t="s">
        <v>0</v>
      </c>
      <c r="B1" s="48" t="s">
        <v>1</v>
      </c>
      <c r="C1" s="49" t="s">
        <v>2</v>
      </c>
      <c r="D1" s="49" t="s">
        <v>3</v>
      </c>
      <c r="E1" s="48" t="s">
        <v>4</v>
      </c>
      <c r="F1" s="48" t="s">
        <v>5</v>
      </c>
      <c r="G1" s="50" t="s">
        <v>6</v>
      </c>
      <c r="H1" s="48" t="s">
        <v>7</v>
      </c>
      <c r="I1" s="48" t="s">
        <v>8</v>
      </c>
      <c r="J1" s="48" t="s">
        <v>9</v>
      </c>
      <c r="K1" s="48" t="s">
        <v>10</v>
      </c>
      <c r="L1" s="5"/>
      <c r="M1" s="6"/>
      <c r="N1" s="6"/>
      <c r="O1" s="6"/>
      <c r="P1" s="6"/>
      <c r="Q1" s="6"/>
      <c r="R1" s="6"/>
      <c r="S1" s="6"/>
      <c r="T1" s="6"/>
      <c r="U1" s="6"/>
      <c r="V1" s="7"/>
      <c r="W1" s="7"/>
      <c r="X1" s="7"/>
      <c r="Y1" s="7"/>
      <c r="Z1" s="8"/>
      <c r="AA1" s="9"/>
      <c r="AB1" s="10"/>
    </row>
    <row r="2" spans="1:28" ht="13.5" customHeight="1" x14ac:dyDescent="0.35">
      <c r="A2" s="11">
        <f ca="1">IFERROR(__xludf.DUMMYFUNCTION("importrange(""https://docs.google.com/spreadsheets/d/1b5MDXOVAvyXtPAhaTJQ4VklV1IVuMDIMPSQ0egEui-k/edit?gid=1004591596#gid=1004591596"",""Resultats_SF!A2:O180"")"),1)</f>
        <v>1</v>
      </c>
      <c r="B2" s="12" t="str">
        <f ca="1">IFERROR(__xludf.DUMMYFUNCTION("""COMPUTED_VALUE"""),"192")</f>
        <v>192</v>
      </c>
      <c r="C2" s="13" t="str">
        <f ca="1">IFERROR(__xludf.DUMMYFUNCTION("""COMPUTED_VALUE"""),"CHERIF")</f>
        <v>CHERIF</v>
      </c>
      <c r="D2" s="14" t="str">
        <f ca="1">IFERROR(__xludf.DUMMYFUNCTION("""COMPUTED_VALUE"""),"FARAH")</f>
        <v>FARAH</v>
      </c>
      <c r="E2" s="15" t="str">
        <f ca="1">IFERROR(__xludf.DUMMYFUNCTION("""COMPUTED_VALUE"""),"SF4")</f>
        <v>SF4</v>
      </c>
      <c r="F2" s="51">
        <f ca="1">IFERROR(__xludf.DUMMYFUNCTION("""COMPUTED_VALUE"""),1)</f>
        <v>1</v>
      </c>
      <c r="G2" s="16">
        <f ca="1">IFERROR(__xludf.DUMMYFUNCTION("""COMPUTED_VALUE"""),0.0193055565683299)</f>
        <v>1.9305556568329899E-2</v>
      </c>
      <c r="H2" s="17">
        <f ca="1">IFERROR(__xludf.DUMMYFUNCTION("""COMPUTED_VALUE"""),0.00300925934366088)</f>
        <v>3.0092593436608799E-3</v>
      </c>
      <c r="I2" s="17">
        <f ca="1">IFERROR(__xludf.DUMMYFUNCTION("""COMPUTED_VALUE"""),0.00812500001992821)</f>
        <v>8.1250000199282104E-3</v>
      </c>
      <c r="J2" s="17">
        <f ca="1">IFERROR(__xludf.DUMMYFUNCTION("""COMPUTED_VALUE"""),0.00746527863441882)</f>
        <v>7.4652786344188201E-3</v>
      </c>
      <c r="K2" s="18">
        <f ca="1">IFERROR(__xludf.DUMMYFUNCTION("""COMPUTED_VALUE"""),0.000706018570322015)</f>
        <v>7.0601857032201497E-4</v>
      </c>
      <c r="L2" s="19"/>
      <c r="M2" s="19"/>
      <c r="N2" s="19"/>
      <c r="O2" s="19"/>
      <c r="P2" s="19"/>
      <c r="Q2" s="19"/>
      <c r="R2" s="19"/>
      <c r="S2" s="19"/>
      <c r="T2" s="19"/>
      <c r="U2" s="19"/>
      <c r="V2" s="20"/>
      <c r="W2" s="20"/>
      <c r="X2" s="20"/>
      <c r="Y2" s="20"/>
      <c r="Z2" s="21"/>
      <c r="AA2" s="22"/>
      <c r="AB2" s="23"/>
    </row>
    <row r="3" spans="1:28" ht="13.5" customHeight="1" x14ac:dyDescent="0.35">
      <c r="A3" s="24">
        <f ca="1">IFERROR(__xludf.DUMMYFUNCTION("""COMPUTED_VALUE"""),2)</f>
        <v>2</v>
      </c>
      <c r="B3" s="25" t="str">
        <f ca="1">IFERROR(__xludf.DUMMYFUNCTION("""COMPUTED_VALUE"""),"206")</f>
        <v>206</v>
      </c>
      <c r="C3" s="26" t="str">
        <f ca="1">IFERROR(__xludf.DUMMYFUNCTION("""COMPUTED_VALUE"""),"PIPITONE FEDERICO")</f>
        <v>PIPITONE FEDERICO</v>
      </c>
      <c r="D3" s="27" t="str">
        <f ca="1">IFERROR(__xludf.DUMMYFUNCTION("""COMPUTED_VALUE"""),"ALESSANDRA")</f>
        <v>ALESSANDRA</v>
      </c>
      <c r="E3" s="15" t="str">
        <f ca="1">IFERROR(__xludf.DUMMYFUNCTION("""COMPUTED_VALUE"""),"SF4")</f>
        <v>SF4</v>
      </c>
      <c r="F3" s="51">
        <f ca="1">IFERROR(__xludf.DUMMYFUNCTION("""COMPUTED_VALUE"""),2)</f>
        <v>2</v>
      </c>
      <c r="G3" s="16">
        <f ca="1">IFERROR(__xludf.DUMMYFUNCTION("""COMPUTED_VALUE"""),0.0199652788019672)</f>
        <v>1.99652788019672E-2</v>
      </c>
      <c r="H3" s="17">
        <f ca="1">IFERROR(__xludf.DUMMYFUNCTION("""COMPUTED_VALUE"""),0.0035069444452285)</f>
        <v>3.5069444452285E-3</v>
      </c>
      <c r="I3" s="17">
        <f ca="1">IFERROR(__xludf.DUMMYFUNCTION("""COMPUTED_VALUE"""),0.00753472229450451)</f>
        <v>7.53472229450451E-3</v>
      </c>
      <c r="J3" s="17">
        <f ca="1">IFERROR(__xludf.DUMMYFUNCTION("""COMPUTED_VALUE"""),0.00809027814460997)</f>
        <v>8.0902781446099692E-3</v>
      </c>
      <c r="K3" s="18">
        <f ca="1">IFERROR(__xludf.DUMMYFUNCTION("""COMPUTED_VALUE"""),0.000833333917624293)</f>
        <v>8.3333391762429297E-4</v>
      </c>
      <c r="L3" s="19"/>
      <c r="M3" s="19"/>
      <c r="N3" s="19"/>
      <c r="O3" s="19"/>
      <c r="P3" s="19"/>
      <c r="Q3" s="19"/>
      <c r="R3" s="19"/>
      <c r="S3" s="19"/>
      <c r="T3" s="19"/>
      <c r="U3" s="19"/>
      <c r="V3" s="20"/>
      <c r="W3" s="20"/>
      <c r="X3" s="20"/>
      <c r="Y3" s="20"/>
      <c r="Z3" s="21"/>
      <c r="AA3" s="22"/>
      <c r="AB3" s="23"/>
    </row>
    <row r="4" spans="1:28" ht="13.5" customHeight="1" x14ac:dyDescent="0.35">
      <c r="A4" s="24">
        <f ca="1">IFERROR(__xludf.DUMMYFUNCTION("""COMPUTED_VALUE"""),3)</f>
        <v>3</v>
      </c>
      <c r="B4" s="25" t="str">
        <f ca="1">IFERROR(__xludf.DUMMYFUNCTION("""COMPUTED_VALUE"""),"153")</f>
        <v>153</v>
      </c>
      <c r="C4" s="26" t="str">
        <f ca="1">IFERROR(__xludf.DUMMYFUNCTION("""COMPUTED_VALUE"""),"DAL")</f>
        <v>DAL</v>
      </c>
      <c r="D4" s="27" t="str">
        <f ca="1">IFERROR(__xludf.DUMMYFUNCTION("""COMPUTED_VALUE"""),"CLAIRE")</f>
        <v>CLAIRE</v>
      </c>
      <c r="E4" s="15" t="str">
        <f ca="1">IFERROR(__xludf.DUMMYFUNCTION("""COMPUTED_VALUE"""),"SF3")</f>
        <v>SF3</v>
      </c>
      <c r="F4" s="51">
        <f ca="1">IFERROR(__xludf.DUMMYFUNCTION("""COMPUTED_VALUE"""),1)</f>
        <v>1</v>
      </c>
      <c r="G4" s="16">
        <f ca="1">IFERROR(__xludf.DUMMYFUNCTION("""COMPUTED_VALUE"""),0.0200578708657305)</f>
        <v>2.00578708657305E-2</v>
      </c>
      <c r="H4" s="17">
        <f ca="1">IFERROR(__xludf.DUMMYFUNCTION("""COMPUTED_VALUE"""),0.00342592603301671)</f>
        <v>3.4259260330167102E-3</v>
      </c>
      <c r="I4" s="17">
        <f ca="1">IFERROR(__xludf.DUMMYFUNCTION("""COMPUTED_VALUE"""),0.00791666669305433)</f>
        <v>7.9166666930543302E-3</v>
      </c>
      <c r="J4" s="17">
        <f ca="1">IFERROR(__xludf.DUMMYFUNCTION("""COMPUTED_VALUE"""),0.00818287061081606)</f>
        <v>8.1828706108160593E-3</v>
      </c>
      <c r="K4" s="18">
        <f ca="1">IFERROR(__xludf.DUMMYFUNCTION("""COMPUTED_VALUE"""),0.000532407528843428)</f>
        <v>5.3240752884342797E-4</v>
      </c>
      <c r="L4" s="19"/>
      <c r="M4" s="19"/>
      <c r="N4" s="19"/>
      <c r="O4" s="19"/>
      <c r="P4" s="19"/>
      <c r="Q4" s="19"/>
      <c r="R4" s="19"/>
      <c r="S4" s="19"/>
      <c r="T4" s="19"/>
      <c r="U4" s="19"/>
      <c r="V4" s="20"/>
      <c r="W4" s="20"/>
      <c r="X4" s="20"/>
      <c r="Y4" s="20"/>
      <c r="Z4" s="21"/>
      <c r="AA4" s="22"/>
      <c r="AB4" s="23"/>
    </row>
    <row r="5" spans="1:28" ht="13.5" customHeight="1" x14ac:dyDescent="0.35">
      <c r="A5" s="24">
        <f ca="1">IFERROR(__xludf.DUMMYFUNCTION("""COMPUTED_VALUE"""),4)</f>
        <v>4</v>
      </c>
      <c r="B5" s="25" t="str">
        <f ca="1">IFERROR(__xludf.DUMMYFUNCTION("""COMPUTED_VALUE"""),"152")</f>
        <v>152</v>
      </c>
      <c r="C5" s="26" t="str">
        <f ca="1">IFERROR(__xludf.DUMMYFUNCTION("""COMPUTED_VALUE"""),"PIVETEAU")</f>
        <v>PIVETEAU</v>
      </c>
      <c r="D5" s="27" t="str">
        <f ca="1">IFERROR(__xludf.DUMMYFUNCTION("""COMPUTED_VALUE"""),"COLINE")</f>
        <v>COLINE</v>
      </c>
      <c r="E5" s="15" t="str">
        <f ca="1">IFERROR(__xludf.DUMMYFUNCTION("""COMPUTED_VALUE"""),"SF4")</f>
        <v>SF4</v>
      </c>
      <c r="F5" s="51">
        <f ca="1">IFERROR(__xludf.DUMMYFUNCTION("""COMPUTED_VALUE"""),3)</f>
        <v>3</v>
      </c>
      <c r="G5" s="16">
        <f ca="1">IFERROR(__xludf.DUMMYFUNCTION("""COMPUTED_VALUE"""),0.020497685742007)</f>
        <v>2.0497685742006999E-2</v>
      </c>
      <c r="H5" s="17">
        <f ca="1">IFERROR(__xludf.DUMMYFUNCTION("""COMPUTED_VALUE"""),0.00383101856359454)</f>
        <v>3.8310185635945398E-3</v>
      </c>
      <c r="I5" s="17">
        <f ca="1">IFERROR(__xludf.DUMMYFUNCTION("""COMPUTED_VALUE"""),0.00706018523192254)</f>
        <v>7.0601852319225403E-3</v>
      </c>
      <c r="J5" s="17">
        <f ca="1">IFERROR(__xludf.DUMMYFUNCTION("""COMPUTED_VALUE"""),0.00846064833544364)</f>
        <v>8.4606483354436393E-3</v>
      </c>
      <c r="K5" s="18">
        <f ca="1">IFERROR(__xludf.DUMMYFUNCTION("""COMPUTED_VALUE"""),0.00114583361104635)</f>
        <v>1.14583361104635E-3</v>
      </c>
      <c r="L5" s="19"/>
      <c r="M5" s="19"/>
      <c r="N5" s="19"/>
      <c r="O5" s="19"/>
      <c r="P5" s="19"/>
      <c r="Q5" s="19"/>
      <c r="R5" s="19"/>
      <c r="S5" s="19"/>
      <c r="T5" s="19"/>
      <c r="U5" s="19"/>
      <c r="V5" s="20"/>
      <c r="W5" s="20"/>
      <c r="X5" s="20"/>
      <c r="Y5" s="20"/>
      <c r="Z5" s="21"/>
      <c r="AA5" s="22"/>
      <c r="AB5" s="23"/>
    </row>
    <row r="6" spans="1:28" ht="13.5" customHeight="1" x14ac:dyDescent="0.35">
      <c r="A6" s="24">
        <f ca="1">IFERROR(__xludf.DUMMYFUNCTION("""COMPUTED_VALUE"""),5)</f>
        <v>5</v>
      </c>
      <c r="B6" s="25" t="str">
        <f ca="1">IFERROR(__xludf.DUMMYFUNCTION("""COMPUTED_VALUE"""),"94")</f>
        <v>94</v>
      </c>
      <c r="C6" s="26" t="str">
        <f ca="1">IFERROR(__xludf.DUMMYFUNCTION("""COMPUTED_VALUE"""),"SIGNEYROLE")</f>
        <v>SIGNEYROLE</v>
      </c>
      <c r="D6" s="27" t="str">
        <f ca="1">IFERROR(__xludf.DUMMYFUNCTION("""COMPUTED_VALUE"""),"ALICE")</f>
        <v>ALICE</v>
      </c>
      <c r="E6" s="15" t="str">
        <f ca="1">IFERROR(__xludf.DUMMYFUNCTION("""COMPUTED_VALUE"""),"SF3")</f>
        <v>SF3</v>
      </c>
      <c r="F6" s="51">
        <f ca="1">IFERROR(__xludf.DUMMYFUNCTION("""COMPUTED_VALUE"""),2)</f>
        <v>2</v>
      </c>
      <c r="G6" s="16">
        <f ca="1">IFERROR(__xludf.DUMMYFUNCTION("""COMPUTED_VALUE"""),0.0207175936242498)</f>
        <v>2.0717593624249801E-2</v>
      </c>
      <c r="H6" s="17">
        <f ca="1">IFERROR(__xludf.DUMMYFUNCTION("""COMPUTED_VALUE"""),0.0039814815497383)</f>
        <v>3.9814815497383003E-3</v>
      </c>
      <c r="I6" s="17">
        <f ca="1">IFERROR(__xludf.DUMMYFUNCTION("""COMPUTED_VALUE"""),0.00724537042540637)</f>
        <v>7.24537042540637E-3</v>
      </c>
      <c r="J6" s="17">
        <f ca="1">IFERROR(__xludf.DUMMYFUNCTION("""COMPUTED_VALUE"""),0.00859953765109176)</f>
        <v>8.5995376510917595E-3</v>
      </c>
      <c r="K6" s="18">
        <f ca="1">IFERROR(__xludf.DUMMYFUNCTION("""COMPUTED_VALUE"""),0.000891203998013442)</f>
        <v>8.9120399801344199E-4</v>
      </c>
      <c r="L6" s="19"/>
      <c r="M6" s="19"/>
      <c r="N6" s="19"/>
      <c r="O6" s="19"/>
      <c r="P6" s="19"/>
      <c r="Q6" s="19"/>
      <c r="R6" s="19"/>
      <c r="S6" s="19"/>
      <c r="T6" s="19"/>
      <c r="U6" s="19"/>
      <c r="V6" s="20"/>
      <c r="W6" s="20"/>
      <c r="X6" s="20"/>
      <c r="Y6" s="20"/>
      <c r="Z6" s="21"/>
      <c r="AA6" s="22"/>
      <c r="AB6" s="23"/>
    </row>
    <row r="7" spans="1:28" ht="13.5" customHeight="1" x14ac:dyDescent="0.35">
      <c r="A7" s="24">
        <f ca="1">IFERROR(__xludf.DUMMYFUNCTION("""COMPUTED_VALUE"""),6)</f>
        <v>6</v>
      </c>
      <c r="B7" s="25" t="str">
        <f ca="1">IFERROR(__xludf.DUMMYFUNCTION("""COMPUTED_VALUE"""),"136")</f>
        <v>136</v>
      </c>
      <c r="C7" s="26" t="str">
        <f ca="1">IFERROR(__xludf.DUMMYFUNCTION("""COMPUTED_VALUE"""),"MOYSAN")</f>
        <v>MOYSAN</v>
      </c>
      <c r="D7" s="27" t="str">
        <f ca="1">IFERROR(__xludf.DUMMYFUNCTION("""COMPUTED_VALUE"""),"PERRINE")</f>
        <v>PERRINE</v>
      </c>
      <c r="E7" s="15" t="str">
        <f ca="1">IFERROR(__xludf.DUMMYFUNCTION("""COMPUTED_VALUE"""),"SF3")</f>
        <v>SF3</v>
      </c>
      <c r="F7" s="51">
        <f ca="1">IFERROR(__xludf.DUMMYFUNCTION("""COMPUTED_VALUE"""),3)</f>
        <v>3</v>
      </c>
      <c r="G7" s="16">
        <f ca="1">IFERROR(__xludf.DUMMYFUNCTION("""COMPUTED_VALUE"""),0.0210879630030359)</f>
        <v>2.1087963003035899E-2</v>
      </c>
      <c r="H7" s="17">
        <f ca="1">IFERROR(__xludf.DUMMYFUNCTION("""COMPUTED_VALUE"""),0.00366898153604767)</f>
        <v>3.6689815360476702E-3</v>
      </c>
      <c r="I7" s="17">
        <f ca="1">IFERROR(__xludf.DUMMYFUNCTION("""COMPUTED_VALUE"""),0.00800925936813935)</f>
        <v>8.0092593681393501E-3</v>
      </c>
      <c r="J7" s="17">
        <f ca="1">IFERROR(__xludf.DUMMYFUNCTION("""COMPUTED_VALUE"""),0.00862268520416888)</f>
        <v>8.6226852041688794E-3</v>
      </c>
      <c r="K7" s="18">
        <f ca="1">IFERROR(__xludf.DUMMYFUNCTION("""COMPUTED_VALUE"""),0.000787036894680074)</f>
        <v>7.8703689468007402E-4</v>
      </c>
      <c r="L7" s="19"/>
      <c r="M7" s="19"/>
      <c r="N7" s="19"/>
      <c r="O7" s="19"/>
      <c r="P7" s="19"/>
      <c r="Q7" s="19"/>
      <c r="R7" s="19"/>
      <c r="S7" s="19"/>
      <c r="T7" s="19"/>
      <c r="U7" s="19"/>
      <c r="V7" s="20"/>
      <c r="W7" s="20"/>
      <c r="X7" s="20"/>
      <c r="Y7" s="20"/>
      <c r="Z7" s="21"/>
      <c r="AA7" s="22"/>
      <c r="AB7" s="23"/>
    </row>
    <row r="8" spans="1:28" ht="13.5" customHeight="1" x14ac:dyDescent="0.35">
      <c r="A8" s="24">
        <f ca="1">IFERROR(__xludf.DUMMYFUNCTION("""COMPUTED_VALUE"""),7)</f>
        <v>7</v>
      </c>
      <c r="B8" s="25" t="str">
        <f ca="1">IFERROR(__xludf.DUMMYFUNCTION("""COMPUTED_VALUE"""),"193")</f>
        <v>193</v>
      </c>
      <c r="C8" s="26" t="str">
        <f ca="1">IFERROR(__xludf.DUMMYFUNCTION("""COMPUTED_VALUE"""),"HENRY")</f>
        <v>HENRY</v>
      </c>
      <c r="D8" s="27" t="str">
        <f ca="1">IFERROR(__xludf.DUMMYFUNCTION("""COMPUTED_VALUE"""),"CHARLOTTE")</f>
        <v>CHARLOTTE</v>
      </c>
      <c r="E8" s="15" t="str">
        <f ca="1">IFERROR(__xludf.DUMMYFUNCTION("""COMPUTED_VALUE"""),"SF4")</f>
        <v>SF4</v>
      </c>
      <c r="F8" s="51">
        <f ca="1">IFERROR(__xludf.DUMMYFUNCTION("""COMPUTED_VALUE"""),4)</f>
        <v>4</v>
      </c>
      <c r="G8" s="16">
        <f ca="1">IFERROR(__xludf.DUMMYFUNCTION("""COMPUTED_VALUE"""),0.0211226851994291)</f>
        <v>2.11226851994291E-2</v>
      </c>
      <c r="H8" s="17">
        <f ca="1">IFERROR(__xludf.DUMMYFUNCTION("""COMPUTED_VALUE"""),0.00424768518680452)</f>
        <v>4.2476851868045199E-3</v>
      </c>
      <c r="I8" s="17">
        <f ca="1">IFERROR(__xludf.DUMMYFUNCTION("""COMPUTED_VALUE"""),0.00783564825061133)</f>
        <v>7.8356482506113292E-3</v>
      </c>
      <c r="J8" s="17">
        <f ca="1">IFERROR(__xludf.DUMMYFUNCTION("""COMPUTED_VALUE"""),0.00847222189472509)</f>
        <v>8.4722218947250894E-3</v>
      </c>
      <c r="K8" s="18">
        <f ca="1">IFERROR(__xludf.DUMMYFUNCTION("""COMPUTED_VALUE"""),0.000567129867288223)</f>
        <v>5.6712986728822299E-4</v>
      </c>
      <c r="L8" s="19"/>
      <c r="M8" s="19"/>
      <c r="N8" s="19"/>
      <c r="O8" s="19"/>
      <c r="P8" s="19"/>
      <c r="Q8" s="19"/>
      <c r="R8" s="19"/>
      <c r="S8" s="19"/>
      <c r="T8" s="19"/>
      <c r="U8" s="19"/>
      <c r="V8" s="20"/>
      <c r="W8" s="20"/>
      <c r="X8" s="20"/>
      <c r="Y8" s="20"/>
      <c r="Z8" s="21"/>
      <c r="AA8" s="22"/>
      <c r="AB8" s="23"/>
    </row>
    <row r="9" spans="1:28" ht="13.5" customHeight="1" x14ac:dyDescent="0.35">
      <c r="A9" s="24">
        <f ca="1">IFERROR(__xludf.DUMMYFUNCTION("""COMPUTED_VALUE"""),8)</f>
        <v>8</v>
      </c>
      <c r="B9" s="25" t="str">
        <f ca="1">IFERROR(__xludf.DUMMYFUNCTION("""COMPUTED_VALUE"""),"176")</f>
        <v>176</v>
      </c>
      <c r="C9" s="26" t="str">
        <f ca="1">IFERROR(__xludf.DUMMYFUNCTION("""COMPUTED_VALUE"""),"MORET")</f>
        <v>MORET</v>
      </c>
      <c r="D9" s="27" t="str">
        <f ca="1">IFERROR(__xludf.DUMMYFUNCTION("""COMPUTED_VALUE"""),"FLORIANE")</f>
        <v>FLORIANE</v>
      </c>
      <c r="E9" s="15" t="str">
        <f ca="1">IFERROR(__xludf.DUMMYFUNCTION("""COMPUTED_VALUE"""),"SF2")</f>
        <v>SF2</v>
      </c>
      <c r="F9" s="51">
        <f ca="1">IFERROR(__xludf.DUMMYFUNCTION("""COMPUTED_VALUE"""),1)</f>
        <v>1</v>
      </c>
      <c r="G9" s="16">
        <f ca="1">IFERROR(__xludf.DUMMYFUNCTION("""COMPUTED_VALUE"""),0.0213078707671899)</f>
        <v>2.1307870767189901E-2</v>
      </c>
      <c r="H9" s="17">
        <f ca="1">IFERROR(__xludf.DUMMYFUNCTION("""COMPUTED_VALUE"""),0.00439814825341624)</f>
        <v>4.3981482534162404E-3</v>
      </c>
      <c r="I9" s="17">
        <f ca="1">IFERROR(__xludf.DUMMYFUNCTION("""COMPUTED_VALUE"""),0.00793981488253568)</f>
        <v>7.9398148825356799E-3</v>
      </c>
      <c r="J9" s="17">
        <f ca="1">IFERROR(__xludf.DUMMYFUNCTION("""COMPUTED_VALUE"""),0.0077546294497071)</f>
        <v>7.7546294497071004E-3</v>
      </c>
      <c r="K9" s="18">
        <f ca="1">IFERROR(__xludf.DUMMYFUNCTION("""COMPUTED_VALUE"""),0.00121527818153091)</f>
        <v>1.2152781815309101E-3</v>
      </c>
      <c r="L9" s="19"/>
      <c r="M9" s="19"/>
      <c r="N9" s="19"/>
      <c r="O9" s="19"/>
      <c r="P9" s="19"/>
      <c r="Q9" s="19"/>
      <c r="R9" s="19"/>
      <c r="S9" s="19"/>
      <c r="T9" s="19"/>
      <c r="U9" s="19"/>
      <c r="V9" s="20"/>
      <c r="W9" s="20"/>
      <c r="X9" s="20"/>
      <c r="Y9" s="20"/>
      <c r="Z9" s="21"/>
      <c r="AA9" s="22"/>
      <c r="AB9" s="23"/>
    </row>
    <row r="10" spans="1:28" ht="13.5" customHeight="1" x14ac:dyDescent="0.35">
      <c r="A10" s="24">
        <f ca="1">IFERROR(__xludf.DUMMYFUNCTION("""COMPUTED_VALUE"""),9)</f>
        <v>9</v>
      </c>
      <c r="B10" s="25" t="str">
        <f ca="1">IFERROR(__xludf.DUMMYFUNCTION("""COMPUTED_VALUE"""),"11")</f>
        <v>11</v>
      </c>
      <c r="C10" s="26" t="str">
        <f ca="1">IFERROR(__xludf.DUMMYFUNCTION("""COMPUTED_VALUE"""),"BERTHAULT")</f>
        <v>BERTHAULT</v>
      </c>
      <c r="D10" s="27" t="str">
        <f ca="1">IFERROR(__xludf.DUMMYFUNCTION("""COMPUTED_VALUE"""),"CAMILLE")</f>
        <v>CAMILLE</v>
      </c>
      <c r="E10" s="15" t="str">
        <f ca="1">IFERROR(__xludf.DUMMYFUNCTION("""COMPUTED_VALUE"""),"SF3")</f>
        <v>SF3</v>
      </c>
      <c r="F10" s="51">
        <f ca="1">IFERROR(__xludf.DUMMYFUNCTION("""COMPUTED_VALUE"""),4)</f>
        <v>4</v>
      </c>
      <c r="G10" s="16">
        <f ca="1">IFERROR(__xludf.DUMMYFUNCTION("""COMPUTED_VALUE"""),0.0216550928605798)</f>
        <v>2.1655092860579799E-2</v>
      </c>
      <c r="H10" s="17">
        <f ca="1">IFERROR(__xludf.DUMMYFUNCTION("""COMPUTED_VALUE"""),0.00347222231904129)</f>
        <v>3.47222231904129E-3</v>
      </c>
      <c r="I10" s="17">
        <f ca="1">IFERROR(__xludf.DUMMYFUNCTION("""COMPUTED_VALUE"""),0.00851851852069233)</f>
        <v>8.5185185206923305E-3</v>
      </c>
      <c r="J10" s="17">
        <f ca="1">IFERROR(__xludf.DUMMYFUNCTION("""COMPUTED_VALUE"""),0.00884259248704096)</f>
        <v>8.8425924870409595E-3</v>
      </c>
      <c r="K10" s="18">
        <f ca="1">IFERROR(__xludf.DUMMYFUNCTION("""COMPUTED_VALUE"""),0.00082175953380526)</f>
        <v>8.2175953380526001E-4</v>
      </c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20"/>
      <c r="W10" s="20"/>
      <c r="X10" s="20"/>
      <c r="Y10" s="20"/>
      <c r="Z10" s="21"/>
      <c r="AA10" s="22"/>
      <c r="AB10" s="23"/>
    </row>
    <row r="11" spans="1:28" ht="13.5" customHeight="1" x14ac:dyDescent="0.35">
      <c r="A11" s="24">
        <f ca="1">IFERROR(__xludf.DUMMYFUNCTION("""COMPUTED_VALUE"""),10)</f>
        <v>10</v>
      </c>
      <c r="B11" s="25" t="str">
        <f ca="1">IFERROR(__xludf.DUMMYFUNCTION("""COMPUTED_VALUE"""),"95")</f>
        <v>95</v>
      </c>
      <c r="C11" s="26" t="str">
        <f ca="1">IFERROR(__xludf.DUMMYFUNCTION("""COMPUTED_VALUE"""),"BOLTENHAGEN")</f>
        <v>BOLTENHAGEN</v>
      </c>
      <c r="D11" s="27" t="str">
        <f ca="1">IFERROR(__xludf.DUMMYFUNCTION("""COMPUTED_VALUE"""),"MATHILDE")</f>
        <v>MATHILDE</v>
      </c>
      <c r="E11" s="15" t="str">
        <f ca="1">IFERROR(__xludf.DUMMYFUNCTION("""COMPUTED_VALUE"""),"SF3")</f>
        <v>SF3</v>
      </c>
      <c r="F11" s="51">
        <f ca="1">IFERROR(__xludf.DUMMYFUNCTION("""COMPUTED_VALUE"""),5)</f>
        <v>5</v>
      </c>
      <c r="G11" s="16">
        <f ca="1">IFERROR(__xludf.DUMMYFUNCTION("""COMPUTED_VALUE"""),0.0216550928627278)</f>
        <v>2.16550928627278E-2</v>
      </c>
      <c r="H11" s="17">
        <f ca="1">IFERROR(__xludf.DUMMYFUNCTION("""COMPUTED_VALUE"""),0.00481481482323596)</f>
        <v>4.81481482323596E-3</v>
      </c>
      <c r="I11" s="17">
        <f ca="1">IFERROR(__xludf.DUMMYFUNCTION("""COMPUTED_VALUE"""),0.00844907416570779)</f>
        <v>8.4490741657077904E-3</v>
      </c>
      <c r="J11" s="17">
        <f ca="1">IFERROR(__xludf.DUMMYFUNCTION("""COMPUTED_VALUE"""),0.0072685184790508)</f>
        <v>7.2685184790507998E-3</v>
      </c>
      <c r="K11" s="18">
        <f ca="1">IFERROR(__xludf.DUMMYFUNCTION("""COMPUTED_VALUE"""),0.00112268539473328)</f>
        <v>1.1226853947332799E-3</v>
      </c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20"/>
      <c r="W11" s="20"/>
      <c r="X11" s="20"/>
      <c r="Y11" s="20"/>
      <c r="Z11" s="21"/>
      <c r="AA11" s="22"/>
      <c r="AB11" s="23"/>
    </row>
    <row r="12" spans="1:28" ht="13.5" customHeight="1" x14ac:dyDescent="0.35">
      <c r="A12" s="24">
        <f ca="1">IFERROR(__xludf.DUMMYFUNCTION("""COMPUTED_VALUE"""),11)</f>
        <v>11</v>
      </c>
      <c r="B12" s="25" t="str">
        <f ca="1">IFERROR(__xludf.DUMMYFUNCTION("""COMPUTED_VALUE"""),"208")</f>
        <v>208</v>
      </c>
      <c r="C12" s="26" t="str">
        <f ca="1">IFERROR(__xludf.DUMMYFUNCTION("""COMPUTED_VALUE"""),"AZADIAN")</f>
        <v>AZADIAN</v>
      </c>
      <c r="D12" s="27" t="str">
        <f ca="1">IFERROR(__xludf.DUMMYFUNCTION("""COMPUTED_VALUE"""),"PHILIPPINE")</f>
        <v>PHILIPPINE</v>
      </c>
      <c r="E12" s="15" t="str">
        <f ca="1">IFERROR(__xludf.DUMMYFUNCTION("""COMPUTED_VALUE"""),"SF3")</f>
        <v>SF3</v>
      </c>
      <c r="F12" s="51">
        <f ca="1">IFERROR(__xludf.DUMMYFUNCTION("""COMPUTED_VALUE"""),6)</f>
        <v>6</v>
      </c>
      <c r="G12" s="16">
        <f ca="1">IFERROR(__xludf.DUMMYFUNCTION("""COMPUTED_VALUE"""),0.021967593594385)</f>
        <v>2.1967593594385E-2</v>
      </c>
      <c r="H12" s="17">
        <f ca="1">IFERROR(__xludf.DUMMYFUNCTION("""COMPUTED_VALUE"""),0.00349537040319838)</f>
        <v>3.4953704031983799E-3</v>
      </c>
      <c r="I12" s="17">
        <f ca="1">IFERROR(__xludf.DUMMYFUNCTION("""COMPUTED_VALUE"""),0.00812500008289872)</f>
        <v>8.1250000828987194E-3</v>
      </c>
      <c r="J12" s="17">
        <f ca="1">IFERROR(__xludf.DUMMYFUNCTION("""COMPUTED_VALUE"""),0.00950231512862935)</f>
        <v>9.5023151286293493E-3</v>
      </c>
      <c r="K12" s="18">
        <f ca="1">IFERROR(__xludf.DUMMYFUNCTION("""COMPUTED_VALUE"""),0.000844907979658573)</f>
        <v>8.4490797965857301E-4</v>
      </c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20"/>
      <c r="W12" s="20"/>
      <c r="X12" s="20"/>
      <c r="Y12" s="20"/>
      <c r="Z12" s="21"/>
      <c r="AA12" s="22"/>
      <c r="AB12" s="23"/>
    </row>
    <row r="13" spans="1:28" ht="13.5" customHeight="1" x14ac:dyDescent="0.35">
      <c r="A13" s="24">
        <f ca="1">IFERROR(__xludf.DUMMYFUNCTION("""COMPUTED_VALUE"""),12)</f>
        <v>12</v>
      </c>
      <c r="B13" s="25" t="str">
        <f ca="1">IFERROR(__xludf.DUMMYFUNCTION("""COMPUTED_VALUE"""),"10")</f>
        <v>10</v>
      </c>
      <c r="C13" s="26" t="str">
        <f ca="1">IFERROR(__xludf.DUMMYFUNCTION("""COMPUTED_VALUE"""),"TISNE")</f>
        <v>TISNE</v>
      </c>
      <c r="D13" s="27" t="str">
        <f ca="1">IFERROR(__xludf.DUMMYFUNCTION("""COMPUTED_VALUE"""),"MAUD")</f>
        <v>MAUD</v>
      </c>
      <c r="E13" s="15" t="str">
        <f ca="1">IFERROR(__xludf.DUMMYFUNCTION("""COMPUTED_VALUE"""),"SF3")</f>
        <v>SF3</v>
      </c>
      <c r="F13" s="51">
        <f ca="1">IFERROR(__xludf.DUMMYFUNCTION("""COMPUTED_VALUE"""),7)</f>
        <v>7</v>
      </c>
      <c r="G13" s="16">
        <f ca="1">IFERROR(__xludf.DUMMYFUNCTION("""COMPUTED_VALUE"""),0.0220138890755765)</f>
        <v>2.2013889075576502E-2</v>
      </c>
      <c r="H13" s="17">
        <f ca="1">IFERROR(__xludf.DUMMYFUNCTION("""COMPUTED_VALUE"""),0.00437500009099672)</f>
        <v>4.3750000909967201E-3</v>
      </c>
      <c r="I13" s="17">
        <f ca="1">IFERROR(__xludf.DUMMYFUNCTION("""COMPUTED_VALUE"""),0.00819444448006282)</f>
        <v>8.1944444800628197E-3</v>
      </c>
      <c r="J13" s="17">
        <f ca="1">IFERROR(__xludf.DUMMYFUNCTION("""COMPUTED_VALUE"""),0.00844907321216157)</f>
        <v>8.4490732121615692E-3</v>
      </c>
      <c r="K13" s="18">
        <f ca="1">IFERROR(__xludf.DUMMYFUNCTION("""COMPUTED_VALUE"""),0.000995371292355414)</f>
        <v>9.9537129235541407E-4</v>
      </c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20"/>
      <c r="W13" s="20"/>
      <c r="X13" s="20"/>
      <c r="Y13" s="20"/>
      <c r="Z13" s="21"/>
      <c r="AA13" s="22"/>
      <c r="AB13" s="23"/>
    </row>
    <row r="14" spans="1:28" ht="13.5" customHeight="1" x14ac:dyDescent="0.35">
      <c r="A14" s="24">
        <f ca="1">IFERROR(__xludf.DUMMYFUNCTION("""COMPUTED_VALUE"""),13)</f>
        <v>13</v>
      </c>
      <c r="B14" s="25" t="str">
        <f ca="1">IFERROR(__xludf.DUMMYFUNCTION("""COMPUTED_VALUE"""),"207")</f>
        <v>207</v>
      </c>
      <c r="C14" s="26" t="str">
        <f ca="1">IFERROR(__xludf.DUMMYFUNCTION("""COMPUTED_VALUE"""),"CARAMELO")</f>
        <v>CARAMELO</v>
      </c>
      <c r="D14" s="27" t="str">
        <f ca="1">IFERROR(__xludf.DUMMYFUNCTION("""COMPUTED_VALUE"""),"MARIOLA")</f>
        <v>MARIOLA</v>
      </c>
      <c r="E14" s="15" t="str">
        <f ca="1">IFERROR(__xludf.DUMMYFUNCTION("""COMPUTED_VALUE"""),"SF2")</f>
        <v>SF2</v>
      </c>
      <c r="F14" s="51">
        <f ca="1">IFERROR(__xludf.DUMMYFUNCTION("""COMPUTED_VALUE"""),2)</f>
        <v>2</v>
      </c>
      <c r="G14" s="16">
        <f ca="1">IFERROR(__xludf.DUMMYFUNCTION("""COMPUTED_VALUE"""),0.0220949085288191)</f>
        <v>2.20949085288191E-2</v>
      </c>
      <c r="H14" s="17">
        <f ca="1">IFERROR(__xludf.DUMMYFUNCTION("""COMPUTED_VALUE"""),0.00303240749282841)</f>
        <v>3.03240749282841E-3</v>
      </c>
      <c r="I14" s="17">
        <f ca="1">IFERROR(__xludf.DUMMYFUNCTION("""COMPUTED_VALUE"""),0.00872685187839419)</f>
        <v>8.7268518783941897E-3</v>
      </c>
      <c r="J14" s="17">
        <f ca="1">IFERROR(__xludf.DUMMYFUNCTION("""COMPUTED_VALUE"""),0.00913194515096127)</f>
        <v>9.1319451509612702E-3</v>
      </c>
      <c r="K14" s="18">
        <f ca="1">IFERROR(__xludf.DUMMYFUNCTION("""COMPUTED_VALUE"""),0.00120370400663525)</f>
        <v>1.20370400663525E-3</v>
      </c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20"/>
      <c r="W14" s="20"/>
      <c r="X14" s="20"/>
      <c r="Y14" s="20"/>
      <c r="Z14" s="21"/>
      <c r="AA14" s="22"/>
      <c r="AB14" s="23"/>
    </row>
    <row r="15" spans="1:28" ht="13.5" customHeight="1" x14ac:dyDescent="0.35">
      <c r="A15" s="24">
        <f ca="1">IFERROR(__xludf.DUMMYFUNCTION("""COMPUTED_VALUE"""),14)</f>
        <v>14</v>
      </c>
      <c r="B15" s="25" t="str">
        <f ca="1">IFERROR(__xludf.DUMMYFUNCTION("""COMPUTED_VALUE"""),"175")</f>
        <v>175</v>
      </c>
      <c r="C15" s="26" t="str">
        <f ca="1">IFERROR(__xludf.DUMMYFUNCTION("""COMPUTED_VALUE"""),"GAUTIER")</f>
        <v>GAUTIER</v>
      </c>
      <c r="D15" s="27" t="str">
        <f ca="1">IFERROR(__xludf.DUMMYFUNCTION("""COMPUTED_VALUE"""),"MATHILDE")</f>
        <v>MATHILDE</v>
      </c>
      <c r="E15" s="15" t="str">
        <f ca="1">IFERROR(__xludf.DUMMYFUNCTION("""COMPUTED_VALUE"""),"SF2")</f>
        <v>SF2</v>
      </c>
      <c r="F15" s="51">
        <f ca="1">IFERROR(__xludf.DUMMYFUNCTION("""COMPUTED_VALUE"""),3)</f>
        <v>3</v>
      </c>
      <c r="G15" s="16">
        <f ca="1">IFERROR(__xludf.DUMMYFUNCTION("""COMPUTED_VALUE"""),0.0221296305936238)</f>
        <v>2.21296305936238E-2</v>
      </c>
      <c r="H15" s="17">
        <f ca="1">IFERROR(__xludf.DUMMYFUNCTION("""COMPUTED_VALUE"""),0.00498842602172525)</f>
        <v>4.9884260217252499E-3</v>
      </c>
      <c r="I15" s="17">
        <f ca="1">IFERROR(__xludf.DUMMYFUNCTION("""COMPUTED_VALUE"""),0.00775462968012191)</f>
        <v>7.75462968012191E-3</v>
      </c>
      <c r="J15" s="17">
        <f ca="1">IFERROR(__xludf.DUMMYFUNCTION("""COMPUTED_VALUE"""),0.0081134268140922)</f>
        <v>8.1134268140921999E-3</v>
      </c>
      <c r="K15" s="18">
        <f ca="1">IFERROR(__xludf.DUMMYFUNCTION("""COMPUTED_VALUE"""),0.00127314807768447)</f>
        <v>1.27314807768447E-3</v>
      </c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20"/>
      <c r="W15" s="20"/>
      <c r="X15" s="20"/>
      <c r="Y15" s="20"/>
      <c r="Z15" s="21"/>
      <c r="AA15" s="22"/>
      <c r="AB15" s="23"/>
    </row>
    <row r="16" spans="1:28" ht="13.5" customHeight="1" x14ac:dyDescent="0.35">
      <c r="A16" s="24">
        <f ca="1">IFERROR(__xludf.DUMMYFUNCTION("""COMPUTED_VALUE"""),15)</f>
        <v>15</v>
      </c>
      <c r="B16" s="25" t="str">
        <f ca="1">IFERROR(__xludf.DUMMYFUNCTION("""COMPUTED_VALUE"""),"69")</f>
        <v>69</v>
      </c>
      <c r="C16" s="26" t="str">
        <f ca="1">IFERROR(__xludf.DUMMYFUNCTION("""COMPUTED_VALUE"""),"ALEXANDRE")</f>
        <v>ALEXANDRE</v>
      </c>
      <c r="D16" s="27" t="str">
        <f ca="1">IFERROR(__xludf.DUMMYFUNCTION("""COMPUTED_VALUE"""),"JULIETTE")</f>
        <v>JULIETTE</v>
      </c>
      <c r="E16" s="15" t="str">
        <f ca="1">IFERROR(__xludf.DUMMYFUNCTION("""COMPUTED_VALUE"""),"SF2")</f>
        <v>SF2</v>
      </c>
      <c r="F16" s="51">
        <f ca="1">IFERROR(__xludf.DUMMYFUNCTION("""COMPUTED_VALUE"""),4)</f>
        <v>4</v>
      </c>
      <c r="G16" s="16">
        <f ca="1">IFERROR(__xludf.DUMMYFUNCTION("""COMPUTED_VALUE"""),0.0222800925993979)</f>
        <v>2.2280092599397901E-2</v>
      </c>
      <c r="H16" s="17">
        <f ca="1">IFERROR(__xludf.DUMMYFUNCTION("""COMPUTED_VALUE"""),0.00377314823070792)</f>
        <v>3.7731482307079198E-3</v>
      </c>
      <c r="I16" s="17">
        <f ca="1">IFERROR(__xludf.DUMMYFUNCTION("""COMPUTED_VALUE"""),0.00861111114254339)</f>
        <v>8.6111111425433897E-3</v>
      </c>
      <c r="J16" s="17">
        <f ca="1">IFERROR(__xludf.DUMMYFUNCTION("""COMPUTED_VALUE"""),0.00903935165609786)</f>
        <v>9.0393516560978594E-3</v>
      </c>
      <c r="K16" s="18">
        <f ca="1">IFERROR(__xludf.DUMMYFUNCTION("""COMPUTED_VALUE"""),0.000856481570048797)</f>
        <v>8.5648157004879699E-4</v>
      </c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20"/>
      <c r="W16" s="20"/>
      <c r="X16" s="20"/>
      <c r="Y16" s="20"/>
      <c r="Z16" s="21"/>
      <c r="AA16" s="22"/>
      <c r="AB16" s="23"/>
    </row>
    <row r="17" spans="1:28" ht="13.5" customHeight="1" x14ac:dyDescent="0.35">
      <c r="A17" s="24">
        <f ca="1">IFERROR(__xludf.DUMMYFUNCTION("""COMPUTED_VALUE"""),16)</f>
        <v>16</v>
      </c>
      <c r="B17" s="25" t="str">
        <f ca="1">IFERROR(__xludf.DUMMYFUNCTION("""COMPUTED_VALUE"""),"108")</f>
        <v>108</v>
      </c>
      <c r="C17" s="26" t="str">
        <f ca="1">IFERROR(__xludf.DUMMYFUNCTION("""COMPUTED_VALUE"""),"GAUTHIER")</f>
        <v>GAUTHIER</v>
      </c>
      <c r="D17" s="27" t="str">
        <f ca="1">IFERROR(__xludf.DUMMYFUNCTION("""COMPUTED_VALUE"""),"CAMILLE")</f>
        <v>CAMILLE</v>
      </c>
      <c r="E17" s="15" t="str">
        <f ca="1">IFERROR(__xludf.DUMMYFUNCTION("""COMPUTED_VALUE"""),"SF3")</f>
        <v>SF3</v>
      </c>
      <c r="F17" s="51">
        <f ca="1">IFERROR(__xludf.DUMMYFUNCTION("""COMPUTED_VALUE"""),8)</f>
        <v>8</v>
      </c>
      <c r="G17" s="16">
        <f ca="1">IFERROR(__xludf.DUMMYFUNCTION("""COMPUTED_VALUE"""),0.0223495373212081)</f>
        <v>2.2349537321208101E-2</v>
      </c>
      <c r="H17" s="17">
        <f ca="1">IFERROR(__xludf.DUMMYFUNCTION("""COMPUTED_VALUE"""),0.00403935196490119)</f>
        <v>4.0393519649011903E-3</v>
      </c>
      <c r="I17" s="17">
        <f ca="1">IFERROR(__xludf.DUMMYFUNCTION("""COMPUTED_VALUE"""),0.0084027777955853)</f>
        <v>8.4027777955852992E-3</v>
      </c>
      <c r="J17" s="17">
        <f ca="1">IFERROR(__xludf.DUMMYFUNCTION("""COMPUTED_VALUE"""),0.00853009178085069)</f>
        <v>8.5300917808506897E-3</v>
      </c>
      <c r="K17" s="18">
        <f ca="1">IFERROR(__xludf.DUMMYFUNCTION("""COMPUTED_VALUE"""),0.00137731577987096)</f>
        <v>1.37731577987096E-3</v>
      </c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20"/>
      <c r="W17" s="20"/>
      <c r="X17" s="20"/>
      <c r="Y17" s="20"/>
      <c r="Z17" s="21"/>
      <c r="AA17" s="22"/>
      <c r="AB17" s="23"/>
    </row>
    <row r="18" spans="1:28" ht="13.5" customHeight="1" x14ac:dyDescent="0.35">
      <c r="A18" s="24">
        <f ca="1">IFERROR(__xludf.DUMMYFUNCTION("""COMPUTED_VALUE"""),17)</f>
        <v>17</v>
      </c>
      <c r="B18" s="25" t="str">
        <f ca="1">IFERROR(__xludf.DUMMYFUNCTION("""COMPUTED_VALUE"""),"149")</f>
        <v>149</v>
      </c>
      <c r="C18" s="26" t="str">
        <f ca="1">IFERROR(__xludf.DUMMYFUNCTION("""COMPUTED_VALUE"""),"BESNARD")</f>
        <v>BESNARD</v>
      </c>
      <c r="D18" s="27" t="str">
        <f ca="1">IFERROR(__xludf.DUMMYFUNCTION("""COMPUTED_VALUE"""),"CAMILLE")</f>
        <v>CAMILLE</v>
      </c>
      <c r="E18" s="15" t="str">
        <f ca="1">IFERROR(__xludf.DUMMYFUNCTION("""COMPUTED_VALUE"""),"SF2")</f>
        <v>SF2</v>
      </c>
      <c r="F18" s="51">
        <f ca="1">IFERROR(__xludf.DUMMYFUNCTION("""COMPUTED_VALUE"""),5)</f>
        <v>5</v>
      </c>
      <c r="G18" s="16">
        <f ca="1">IFERROR(__xludf.DUMMYFUNCTION("""COMPUTED_VALUE"""),0.0224189826218818)</f>
        <v>2.24189826218818E-2</v>
      </c>
      <c r="H18" s="17">
        <f ca="1">IFERROR(__xludf.DUMMYFUNCTION("""COMPUTED_VALUE"""),0.00478009262370891)</f>
        <v>4.7800926237089097E-3</v>
      </c>
      <c r="I18" s="17">
        <f ca="1">IFERROR(__xludf.DUMMYFUNCTION("""COMPUTED_VALUE"""),0.00798611113816353)</f>
        <v>7.9861111381635298E-3</v>
      </c>
      <c r="J18" s="17">
        <f ca="1">IFERROR(__xludf.DUMMYFUNCTION("""COMPUTED_VALUE"""),0.00883101944958685)</f>
        <v>8.8310194495868494E-3</v>
      </c>
      <c r="K18" s="18">
        <f ca="1">IFERROR(__xludf.DUMMYFUNCTION("""COMPUTED_VALUE"""),0.000821759410422529)</f>
        <v>8.21759410422529E-4</v>
      </c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20"/>
      <c r="W18" s="20"/>
      <c r="X18" s="20"/>
      <c r="Y18" s="20"/>
      <c r="Z18" s="21"/>
      <c r="AA18" s="22"/>
      <c r="AB18" s="23"/>
    </row>
    <row r="19" spans="1:28" ht="13.5" customHeight="1" x14ac:dyDescent="0.35">
      <c r="A19" s="24">
        <f ca="1">IFERROR(__xludf.DUMMYFUNCTION("""COMPUTED_VALUE"""),18)</f>
        <v>18</v>
      </c>
      <c r="B19" s="25" t="str">
        <f ca="1">IFERROR(__xludf.DUMMYFUNCTION("""COMPUTED_VALUE"""),"227")</f>
        <v>227</v>
      </c>
      <c r="C19" s="26" t="str">
        <f ca="1">IFERROR(__xludf.DUMMYFUNCTION("""COMPUTED_VALUE"""),"CURVERS-LE QUILLEC")</f>
        <v>CURVERS-LE QUILLEC</v>
      </c>
      <c r="D19" s="27" t="str">
        <f ca="1">IFERROR(__xludf.DUMMYFUNCTION("""COMPUTED_VALUE"""),"THÉO")</f>
        <v>THÉO</v>
      </c>
      <c r="E19" s="15" t="str">
        <f ca="1">IFERROR(__xludf.DUMMYFUNCTION("""COMPUTED_VALUE"""),"SF4")</f>
        <v>SF4</v>
      </c>
      <c r="F19" s="51">
        <f ca="1">IFERROR(__xludf.DUMMYFUNCTION("""COMPUTED_VALUE"""),5)</f>
        <v>5</v>
      </c>
      <c r="G19" s="16">
        <f ca="1">IFERROR(__xludf.DUMMYFUNCTION("""COMPUTED_VALUE"""),0.0232638891366007)</f>
        <v>2.3263889136600699E-2</v>
      </c>
      <c r="H19" s="17">
        <f ca="1">IFERROR(__xludf.DUMMYFUNCTION("""COMPUTED_VALUE"""),0.0032291667062854)</f>
        <v>3.2291667062853999E-3</v>
      </c>
      <c r="I19" s="17">
        <f ca="1">IFERROR(__xludf.DUMMYFUNCTION("""COMPUTED_VALUE"""),0.00803240750106171)</f>
        <v>8.0324075010617096E-3</v>
      </c>
      <c r="J19" s="17">
        <f ca="1">IFERROR(__xludf.DUMMYFUNCTION("""COMPUTED_VALUE"""),0.0110416667933948)</f>
        <v>1.10416667933948E-2</v>
      </c>
      <c r="K19" s="18">
        <f ca="1">IFERROR(__xludf.DUMMYFUNCTION("""COMPUTED_VALUE"""),0.000960648135858762)</f>
        <v>9.6064813585876199E-4</v>
      </c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20"/>
      <c r="W19" s="20"/>
      <c r="X19" s="20"/>
      <c r="Y19" s="20"/>
      <c r="Z19" s="21"/>
      <c r="AA19" s="22"/>
      <c r="AB19" s="23"/>
    </row>
    <row r="20" spans="1:28" ht="13.5" customHeight="1" x14ac:dyDescent="0.35">
      <c r="A20" s="24">
        <f ca="1">IFERROR(__xludf.DUMMYFUNCTION("""COMPUTED_VALUE"""),19)</f>
        <v>19</v>
      </c>
      <c r="B20" s="25" t="str">
        <f ca="1">IFERROR(__xludf.DUMMYFUNCTION("""COMPUTED_VALUE"""),"164")</f>
        <v>164</v>
      </c>
      <c r="C20" s="26" t="str">
        <f ca="1">IFERROR(__xludf.DUMMYFUNCTION("""COMPUTED_VALUE"""),"HEATH")</f>
        <v>HEATH</v>
      </c>
      <c r="D20" s="27" t="str">
        <f ca="1">IFERROR(__xludf.DUMMYFUNCTION("""COMPUTED_VALUE"""),"JULIETTE")</f>
        <v>JULIETTE</v>
      </c>
      <c r="E20" s="15" t="str">
        <f ca="1">IFERROR(__xludf.DUMMYFUNCTION("""COMPUTED_VALUE"""),"SF4")</f>
        <v>SF4</v>
      </c>
      <c r="F20" s="51">
        <f ca="1">IFERROR(__xludf.DUMMYFUNCTION("""COMPUTED_VALUE"""),6)</f>
        <v>6</v>
      </c>
      <c r="G20" s="16">
        <f ca="1">IFERROR(__xludf.DUMMYFUNCTION("""COMPUTED_VALUE"""),0.023402778789695)</f>
        <v>2.3402778789694999E-2</v>
      </c>
      <c r="H20" s="17">
        <f ca="1">IFERROR(__xludf.DUMMYFUNCTION("""COMPUTED_VALUE"""),0.00380787038492456)</f>
        <v>3.8078703849245602E-3</v>
      </c>
      <c r="I20" s="17">
        <f ca="1">IFERROR(__xludf.DUMMYFUNCTION("""COMPUTED_VALUE"""),0.00927083342281461)</f>
        <v>9.2708334228146106E-3</v>
      </c>
      <c r="J20" s="17">
        <f ca="1">IFERROR(__xludf.DUMMYFUNCTION("""COMPUTED_VALUE"""),0.00958333350931303)</f>
        <v>9.5833335093130304E-3</v>
      </c>
      <c r="K20" s="18">
        <f ca="1">IFERROR(__xludf.DUMMYFUNCTION("""COMPUTED_VALUE"""),0.000740741472642802)</f>
        <v>7.4074147264280201E-4</v>
      </c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20"/>
      <c r="W20" s="20"/>
      <c r="X20" s="20"/>
      <c r="Y20" s="20"/>
      <c r="Z20" s="21"/>
      <c r="AA20" s="22"/>
      <c r="AB20" s="23"/>
    </row>
    <row r="21" spans="1:28" ht="13.5" customHeight="1" x14ac:dyDescent="0.35">
      <c r="A21" s="24">
        <f ca="1">IFERROR(__xludf.DUMMYFUNCTION("""COMPUTED_VALUE"""),20)</f>
        <v>20</v>
      </c>
      <c r="B21" s="25" t="str">
        <f ca="1">IFERROR(__xludf.DUMMYFUNCTION("""COMPUTED_VALUE"""),"179")</f>
        <v>179</v>
      </c>
      <c r="C21" s="26" t="str">
        <f ca="1">IFERROR(__xludf.DUMMYFUNCTION("""COMPUTED_VALUE"""),"DRENTIN")</f>
        <v>DRENTIN</v>
      </c>
      <c r="D21" s="27" t="str">
        <f ca="1">IFERROR(__xludf.DUMMYFUNCTION("""COMPUTED_VALUE"""),"MELISSA")</f>
        <v>MELISSA</v>
      </c>
      <c r="E21" s="15" t="str">
        <f ca="1">IFERROR(__xludf.DUMMYFUNCTION("""COMPUTED_VALUE"""),"SF4")</f>
        <v>SF4</v>
      </c>
      <c r="F21" s="51">
        <f ca="1">IFERROR(__xludf.DUMMYFUNCTION("""COMPUTED_VALUE"""),7)</f>
        <v>7</v>
      </c>
      <c r="G21" s="16">
        <f ca="1">IFERROR(__xludf.DUMMYFUNCTION("""COMPUTED_VALUE"""),0.0235532409501457)</f>
        <v>2.3553240950145701E-2</v>
      </c>
      <c r="H21" s="17">
        <f ca="1">IFERROR(__xludf.DUMMYFUNCTION("""COMPUTED_VALUE"""),0.00339120370685526)</f>
        <v>3.3912037068552598E-3</v>
      </c>
      <c r="I21" s="17">
        <f ca="1">IFERROR(__xludf.DUMMYFUNCTION("""COMPUTED_VALUE"""),0.00920138890137561)</f>
        <v>9.2013889013756092E-3</v>
      </c>
      <c r="J21" s="17">
        <f ca="1">IFERROR(__xludf.DUMMYFUNCTION("""COMPUTED_VALUE"""),0.0093981478057018)</f>
        <v>9.3981478057017995E-3</v>
      </c>
      <c r="K21" s="18">
        <f ca="1">IFERROR(__xludf.DUMMYFUNCTION("""COMPUTED_VALUE"""),0.00156250053621309)</f>
        <v>1.5625005362130901E-3</v>
      </c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20"/>
      <c r="W21" s="20"/>
      <c r="X21" s="20"/>
      <c r="Y21" s="20"/>
      <c r="Z21" s="21"/>
      <c r="AA21" s="22"/>
      <c r="AB21" s="23"/>
    </row>
    <row r="22" spans="1:28" ht="13.5" customHeight="1" x14ac:dyDescent="0.35">
      <c r="A22" s="24">
        <f ca="1">IFERROR(__xludf.DUMMYFUNCTION("""COMPUTED_VALUE"""),21)</f>
        <v>21</v>
      </c>
      <c r="B22" s="25" t="str">
        <f ca="1">IFERROR(__xludf.DUMMYFUNCTION("""COMPUTED_VALUE"""),"228")</f>
        <v>228</v>
      </c>
      <c r="C22" s="26" t="str">
        <f ca="1">IFERROR(__xludf.DUMMYFUNCTION("""COMPUTED_VALUE"""),"REY")</f>
        <v>REY</v>
      </c>
      <c r="D22" s="27" t="str">
        <f ca="1">IFERROR(__xludf.DUMMYFUNCTION("""COMPUTED_VALUE"""),"CLÉMENCE")</f>
        <v>CLÉMENCE</v>
      </c>
      <c r="E22" s="15" t="str">
        <f ca="1">IFERROR(__xludf.DUMMYFUNCTION("""COMPUTED_VALUE"""),"SF3")</f>
        <v>SF3</v>
      </c>
      <c r="F22" s="51">
        <f ca="1">IFERROR(__xludf.DUMMYFUNCTION("""COMPUTED_VALUE"""),9)</f>
        <v>9</v>
      </c>
      <c r="G22" s="16">
        <f ca="1">IFERROR(__xludf.DUMMYFUNCTION("""COMPUTED_VALUE"""),0.0235879638331518)</f>
        <v>2.3587963833151801E-2</v>
      </c>
      <c r="H22" s="17">
        <f ca="1">IFERROR(__xludf.DUMMYFUNCTION("""COMPUTED_VALUE"""),0.00340277784491594)</f>
        <v>3.4027778449159398E-3</v>
      </c>
      <c r="I22" s="17">
        <f ca="1">IFERROR(__xludf.DUMMYFUNCTION("""COMPUTED_VALUE"""),0.00912037037888531)</f>
        <v>9.1203703788853095E-3</v>
      </c>
      <c r="J22" s="17">
        <f ca="1">IFERROR(__xludf.DUMMYFUNCTION("""COMPUTED_VALUE"""),0.0101157414131229)</f>
        <v>1.01157414131229E-2</v>
      </c>
      <c r="K22" s="18">
        <f ca="1">IFERROR(__xludf.DUMMYFUNCTION("""COMPUTED_VALUE"""),0.000949074196227628)</f>
        <v>9.4907419622762795E-4</v>
      </c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20"/>
      <c r="W22" s="20"/>
      <c r="X22" s="20"/>
      <c r="Y22" s="20"/>
      <c r="Z22" s="21"/>
      <c r="AA22" s="22"/>
      <c r="AB22" s="23"/>
    </row>
    <row r="23" spans="1:28" ht="13.5" customHeight="1" x14ac:dyDescent="0.35">
      <c r="A23" s="24">
        <f ca="1">IFERROR(__xludf.DUMMYFUNCTION("""COMPUTED_VALUE"""),22)</f>
        <v>22</v>
      </c>
      <c r="B23" s="25" t="str">
        <f ca="1">IFERROR(__xludf.DUMMYFUNCTION("""COMPUTED_VALUE"""),"93")</f>
        <v>93</v>
      </c>
      <c r="C23" s="26" t="str">
        <f ca="1">IFERROR(__xludf.DUMMYFUNCTION("""COMPUTED_VALUE"""),"BRETONNIERE")</f>
        <v>BRETONNIERE</v>
      </c>
      <c r="D23" s="27" t="str">
        <f ca="1">IFERROR(__xludf.DUMMYFUNCTION("""COMPUTED_VALUE"""),"ANNE")</f>
        <v>ANNE</v>
      </c>
      <c r="E23" s="15" t="str">
        <f ca="1">IFERROR(__xludf.DUMMYFUNCTION("""COMPUTED_VALUE"""),"SF3")</f>
        <v>SF3</v>
      </c>
      <c r="F23" s="51">
        <f ca="1">IFERROR(__xludf.DUMMYFUNCTION("""COMPUTED_VALUE"""),10)</f>
        <v>10</v>
      </c>
      <c r="G23" s="16">
        <f ca="1">IFERROR(__xludf.DUMMYFUNCTION("""COMPUTED_VALUE"""),0.0238425933178033)</f>
        <v>2.38425933178033E-2</v>
      </c>
      <c r="H23" s="17">
        <f ca="1">IFERROR(__xludf.DUMMYFUNCTION("""COMPUTED_VALUE"""),0.00434027781723652)</f>
        <v>4.3402778172365198E-3</v>
      </c>
      <c r="I23" s="17">
        <f ca="1">IFERROR(__xludf.DUMMYFUNCTION("""COMPUTED_VALUE"""),0.00896990752308464)</f>
        <v>8.9699075230846408E-3</v>
      </c>
      <c r="J23" s="17">
        <f ca="1">IFERROR(__xludf.DUMMYFUNCTION("""COMPUTED_VALUE"""),0.0090046296038127)</f>
        <v>9.0046296038126996E-3</v>
      </c>
      <c r="K23" s="18">
        <f ca="1">IFERROR(__xludf.DUMMYFUNCTION("""COMPUTED_VALUE"""),0.00152777837366943)</f>
        <v>1.5277783736694301E-3</v>
      </c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20"/>
      <c r="W23" s="20"/>
      <c r="X23" s="20"/>
      <c r="Y23" s="20"/>
      <c r="Z23" s="21"/>
      <c r="AA23" s="22"/>
      <c r="AB23" s="23"/>
    </row>
    <row r="24" spans="1:28" ht="13.5" customHeight="1" x14ac:dyDescent="0.35">
      <c r="A24" s="24">
        <f ca="1">IFERROR(__xludf.DUMMYFUNCTION("""COMPUTED_VALUE"""),23)</f>
        <v>23</v>
      </c>
      <c r="B24" s="25" t="str">
        <f ca="1">IFERROR(__xludf.DUMMYFUNCTION("""COMPUTED_VALUE"""),"180")</f>
        <v>180</v>
      </c>
      <c r="C24" s="26" t="str">
        <f ca="1">IFERROR(__xludf.DUMMYFUNCTION("""COMPUTED_VALUE"""),"HUMPHRIES")</f>
        <v>HUMPHRIES</v>
      </c>
      <c r="D24" s="27" t="str">
        <f ca="1">IFERROR(__xludf.DUMMYFUNCTION("""COMPUTED_VALUE"""),"JENNA")</f>
        <v>JENNA</v>
      </c>
      <c r="E24" s="15" t="str">
        <f ca="1">IFERROR(__xludf.DUMMYFUNCTION("""COMPUTED_VALUE"""),"SF3")</f>
        <v>SF3</v>
      </c>
      <c r="F24" s="51">
        <f ca="1">IFERROR(__xludf.DUMMYFUNCTION("""COMPUTED_VALUE"""),11)</f>
        <v>11</v>
      </c>
      <c r="G24" s="16">
        <f ca="1">IFERROR(__xludf.DUMMYFUNCTION("""COMPUTED_VALUE"""),0.0242245373385427)</f>
        <v>2.4224537338542702E-2</v>
      </c>
      <c r="H24" s="17">
        <f ca="1">IFERROR(__xludf.DUMMYFUNCTION("""COMPUTED_VALUE"""),0.00334490746637617)</f>
        <v>3.3449074663761701E-3</v>
      </c>
      <c r="I24" s="17">
        <f ca="1">IFERROR(__xludf.DUMMYFUNCTION("""COMPUTED_VALUE"""),0.00834490746245454)</f>
        <v>8.3449074624545403E-3</v>
      </c>
      <c r="J24" s="17">
        <f ca="1">IFERROR(__xludf.DUMMYFUNCTION("""COMPUTED_VALUE"""),0.0118055557899645)</f>
        <v>1.1805555789964501E-2</v>
      </c>
      <c r="K24" s="18">
        <f ca="1">IFERROR(__xludf.DUMMYFUNCTION("""COMPUTED_VALUE"""),0.000729166619747493)</f>
        <v>7.2916661974749297E-4</v>
      </c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20"/>
      <c r="W24" s="20"/>
      <c r="X24" s="20"/>
      <c r="Y24" s="20"/>
      <c r="Z24" s="21"/>
      <c r="AA24" s="22"/>
      <c r="AB24" s="23"/>
    </row>
    <row r="25" spans="1:28" ht="13.5" customHeight="1" x14ac:dyDescent="0.35">
      <c r="A25" s="24">
        <f ca="1">IFERROR(__xludf.DUMMYFUNCTION("""COMPUTED_VALUE"""),24)</f>
        <v>24</v>
      </c>
      <c r="B25" s="25" t="str">
        <f ca="1">IFERROR(__xludf.DUMMYFUNCTION("""COMPUTED_VALUE"""),"143")</f>
        <v>143</v>
      </c>
      <c r="C25" s="26" t="str">
        <f ca="1">IFERROR(__xludf.DUMMYFUNCTION("""COMPUTED_VALUE"""),"VRIJBURG")</f>
        <v>VRIJBURG</v>
      </c>
      <c r="D25" s="27" t="str">
        <f ca="1">IFERROR(__xludf.DUMMYFUNCTION("""COMPUTED_VALUE"""),"ELISE")</f>
        <v>ELISE</v>
      </c>
      <c r="E25" s="15" t="str">
        <f ca="1">IFERROR(__xludf.DUMMYFUNCTION("""COMPUTED_VALUE"""),"SF2")</f>
        <v>SF2</v>
      </c>
      <c r="F25" s="51">
        <f ca="1">IFERROR(__xludf.DUMMYFUNCTION("""COMPUTED_VALUE"""),6)</f>
        <v>6</v>
      </c>
      <c r="G25" s="16">
        <f ca="1">IFERROR(__xludf.DUMMYFUNCTION("""COMPUTED_VALUE"""),0.024236111813559)</f>
        <v>2.4236111813558999E-2</v>
      </c>
      <c r="H25" s="17">
        <f ca="1">IFERROR(__xludf.DUMMYFUNCTION("""COMPUTED_VALUE"""),0.00465277780853845)</f>
        <v>4.65277780853845E-3</v>
      </c>
      <c r="I25" s="17">
        <f ca="1">IFERROR(__xludf.DUMMYFUNCTION("""COMPUTED_VALUE"""),0.00797453707672074)</f>
        <v>7.9745370767207394E-3</v>
      </c>
      <c r="J25" s="17">
        <f ca="1">IFERROR(__xludf.DUMMYFUNCTION("""COMPUTED_VALUE"""),0.0104282407812325)</f>
        <v>1.0428240781232501E-2</v>
      </c>
      <c r="K25" s="18">
        <f ca="1">IFERROR(__xludf.DUMMYFUNCTION("""COMPUTED_VALUE"""),0.00118055614706735)</f>
        <v>1.18055614706735E-3</v>
      </c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20"/>
      <c r="W25" s="20"/>
      <c r="X25" s="20"/>
      <c r="Y25" s="20"/>
      <c r="Z25" s="21"/>
      <c r="AA25" s="22"/>
      <c r="AB25" s="23"/>
    </row>
    <row r="26" spans="1:28" ht="13.5" customHeight="1" x14ac:dyDescent="0.35">
      <c r="A26" s="24">
        <f ca="1">IFERROR(__xludf.DUMMYFUNCTION("""COMPUTED_VALUE"""),25)</f>
        <v>25</v>
      </c>
      <c r="B26" s="25" t="str">
        <f ca="1">IFERROR(__xludf.DUMMYFUNCTION("""COMPUTED_VALUE"""),"189")</f>
        <v>189</v>
      </c>
      <c r="C26" s="26" t="str">
        <f ca="1">IFERROR(__xludf.DUMMYFUNCTION("""COMPUTED_VALUE"""),"GUILLEUX")</f>
        <v>GUILLEUX</v>
      </c>
      <c r="D26" s="27" t="str">
        <f ca="1">IFERROR(__xludf.DUMMYFUNCTION("""COMPUTED_VALUE"""),"CHARLOTTE")</f>
        <v>CHARLOTTE</v>
      </c>
      <c r="E26" s="15" t="str">
        <f ca="1">IFERROR(__xludf.DUMMYFUNCTION("""COMPUTED_VALUE"""),"SF1")</f>
        <v>SF1</v>
      </c>
      <c r="F26" s="51">
        <f ca="1">IFERROR(__xludf.DUMMYFUNCTION("""COMPUTED_VALUE"""),1)</f>
        <v>1</v>
      </c>
      <c r="G26" s="16">
        <f ca="1">IFERROR(__xludf.DUMMYFUNCTION("""COMPUTED_VALUE"""),0.0242476857301005)</f>
        <v>2.4247685730100499E-2</v>
      </c>
      <c r="H26" s="17">
        <f ca="1">IFERROR(__xludf.DUMMYFUNCTION("""COMPUTED_VALUE"""),0.00412037038527222)</f>
        <v>4.1203703852722203E-3</v>
      </c>
      <c r="I26" s="17">
        <f ca="1">IFERROR(__xludf.DUMMYFUNCTION("""COMPUTED_VALUE"""),0.00876157409458522)</f>
        <v>8.7615740945852193E-3</v>
      </c>
      <c r="J26" s="17">
        <f ca="1">IFERROR(__xludf.DUMMYFUNCTION("""COMPUTED_VALUE"""),0.0103356478767206)</f>
        <v>1.0335647876720601E-2</v>
      </c>
      <c r="K26" s="18">
        <f ca="1">IFERROR(__xludf.DUMMYFUNCTION("""COMPUTED_VALUE"""),0.00103009337352243)</f>
        <v>1.0300933735224299E-3</v>
      </c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20"/>
      <c r="W26" s="20"/>
      <c r="X26" s="20"/>
      <c r="Y26" s="20"/>
      <c r="Z26" s="21"/>
      <c r="AA26" s="22"/>
      <c r="AB26" s="23"/>
    </row>
    <row r="27" spans="1:28" ht="13.5" customHeight="1" x14ac:dyDescent="0.35">
      <c r="A27" s="24">
        <f ca="1">IFERROR(__xludf.DUMMYFUNCTION("""COMPUTED_VALUE"""),26)</f>
        <v>26</v>
      </c>
      <c r="B27" s="25" t="str">
        <f ca="1">IFERROR(__xludf.DUMMYFUNCTION("""COMPUTED_VALUE"""),"119")</f>
        <v>119</v>
      </c>
      <c r="C27" s="26" t="str">
        <f ca="1">IFERROR(__xludf.DUMMYFUNCTION("""COMPUTED_VALUE"""),"CRÉMON")</f>
        <v>CRÉMON</v>
      </c>
      <c r="D27" s="27" t="str">
        <f ca="1">IFERROR(__xludf.DUMMYFUNCTION("""COMPUTED_VALUE"""),"LYSIANE")</f>
        <v>LYSIANE</v>
      </c>
      <c r="E27" s="15" t="str">
        <f ca="1">IFERROR(__xludf.DUMMYFUNCTION("""COMPUTED_VALUE"""),"SF4")</f>
        <v>SF4</v>
      </c>
      <c r="F27" s="51">
        <f ca="1">IFERROR(__xludf.DUMMYFUNCTION("""COMPUTED_VALUE"""),8)</f>
        <v>8</v>
      </c>
      <c r="G27" s="16">
        <f ca="1">IFERROR(__xludf.DUMMYFUNCTION("""COMPUTED_VALUE"""),0.0244907417142765)</f>
        <v>2.4490741714276499E-2</v>
      </c>
      <c r="H27" s="17">
        <f ca="1">IFERROR(__xludf.DUMMYFUNCTION("""COMPUTED_VALUE"""),0.0048032408429678)</f>
        <v>4.8032408429678E-3</v>
      </c>
      <c r="I27" s="17">
        <f ca="1">IFERROR(__xludf.DUMMYFUNCTION("""COMPUTED_VALUE"""),0.0085995370807085)</f>
        <v>8.5995370807084998E-3</v>
      </c>
      <c r="J27" s="17">
        <f ca="1">IFERROR(__xludf.DUMMYFUNCTION("""COMPUTED_VALUE"""),0.0100347231061879)</f>
        <v>1.0034723106187899E-2</v>
      </c>
      <c r="K27" s="18">
        <f ca="1">IFERROR(__xludf.DUMMYFUNCTION("""COMPUTED_VALUE"""),0.0010532406844122)</f>
        <v>1.0532406844122001E-3</v>
      </c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20"/>
      <c r="W27" s="20"/>
      <c r="X27" s="20"/>
      <c r="Y27" s="20"/>
      <c r="Z27" s="21"/>
      <c r="AA27" s="22"/>
      <c r="AB27" s="23"/>
    </row>
    <row r="28" spans="1:28" ht="13.5" customHeight="1" x14ac:dyDescent="0.35">
      <c r="A28" s="24">
        <f ca="1">IFERROR(__xludf.DUMMYFUNCTION("""COMPUTED_VALUE"""),27)</f>
        <v>27</v>
      </c>
      <c r="B28" s="25" t="str">
        <f ca="1">IFERROR(__xludf.DUMMYFUNCTION("""COMPUTED_VALUE"""),"191")</f>
        <v>191</v>
      </c>
      <c r="C28" s="26" t="str">
        <f ca="1">IFERROR(__xludf.DUMMYFUNCTION("""COMPUTED_VALUE"""),"LOCATELLI")</f>
        <v>LOCATELLI</v>
      </c>
      <c r="D28" s="27" t="str">
        <f ca="1">IFERROR(__xludf.DUMMYFUNCTION("""COMPUTED_VALUE"""),"HÉLÈNE")</f>
        <v>HÉLÈNE</v>
      </c>
      <c r="E28" s="15" t="str">
        <f ca="1">IFERROR(__xludf.DUMMYFUNCTION("""COMPUTED_VALUE"""),"SF4")</f>
        <v>SF4</v>
      </c>
      <c r="F28" s="51">
        <f ca="1">IFERROR(__xludf.DUMMYFUNCTION("""COMPUTED_VALUE"""),9)</f>
        <v>9</v>
      </c>
      <c r="G28" s="16">
        <f ca="1">IFERROR(__xludf.DUMMYFUNCTION("""COMPUTED_VALUE"""),0.0245833336921444)</f>
        <v>2.45833336921444E-2</v>
      </c>
      <c r="H28" s="17">
        <f ca="1">IFERROR(__xludf.DUMMYFUNCTION("""COMPUTED_VALUE"""),0.00440972224181677)</f>
        <v>4.4097222418167702E-3</v>
      </c>
      <c r="I28" s="17">
        <f ca="1">IFERROR(__xludf.DUMMYFUNCTION("""COMPUTED_VALUE"""),0.00880787041057652)</f>
        <v>8.8078704105765196E-3</v>
      </c>
      <c r="J28" s="17">
        <f ca="1">IFERROR(__xludf.DUMMYFUNCTION("""COMPUTED_VALUE"""),0.0104745369432974)</f>
        <v>1.04745369432974E-2</v>
      </c>
      <c r="K28" s="18">
        <f ca="1">IFERROR(__xludf.DUMMYFUNCTION("""COMPUTED_VALUE"""),0.00089120409645373)</f>
        <v>8.9120409645373003E-4</v>
      </c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20"/>
      <c r="W28" s="20"/>
      <c r="X28" s="20"/>
      <c r="Y28" s="20"/>
      <c r="Z28" s="21"/>
      <c r="AA28" s="22"/>
      <c r="AB28" s="23"/>
    </row>
    <row r="29" spans="1:28" ht="13.5" customHeight="1" x14ac:dyDescent="0.35">
      <c r="A29" s="24">
        <f ca="1">IFERROR(__xludf.DUMMYFUNCTION("""COMPUTED_VALUE"""),28)</f>
        <v>28</v>
      </c>
      <c r="B29" s="25" t="str">
        <f ca="1">IFERROR(__xludf.DUMMYFUNCTION("""COMPUTED_VALUE"""),"122")</f>
        <v>122</v>
      </c>
      <c r="C29" s="26" t="str">
        <f ca="1">IFERROR(__xludf.DUMMYFUNCTION("""COMPUTED_VALUE"""),"DERVAL")</f>
        <v>DERVAL</v>
      </c>
      <c r="D29" s="27" t="str">
        <f ca="1">IFERROR(__xludf.DUMMYFUNCTION("""COMPUTED_VALUE"""),"CAPUCINE")</f>
        <v>CAPUCINE</v>
      </c>
      <c r="E29" s="15" t="str">
        <f ca="1">IFERROR(__xludf.DUMMYFUNCTION("""COMPUTED_VALUE"""),"SF2")</f>
        <v>SF2</v>
      </c>
      <c r="F29" s="51">
        <f ca="1">IFERROR(__xludf.DUMMYFUNCTION("""COMPUTED_VALUE"""),7)</f>
        <v>7</v>
      </c>
      <c r="G29" s="16">
        <f ca="1">IFERROR(__xludf.DUMMYFUNCTION("""COMPUTED_VALUE"""),0.0247685191882043)</f>
        <v>2.4768519188204299E-2</v>
      </c>
      <c r="H29" s="17">
        <f ca="1">IFERROR(__xludf.DUMMYFUNCTION("""COMPUTED_VALUE"""),0.00436342602348772)</f>
        <v>4.3634260234877197E-3</v>
      </c>
      <c r="I29" s="17">
        <f ca="1">IFERROR(__xludf.DUMMYFUNCTION("""COMPUTED_VALUE"""),0.0090856481615803)</f>
        <v>9.0856481615802995E-3</v>
      </c>
      <c r="J29" s="17">
        <f ca="1">IFERROR(__xludf.DUMMYFUNCTION("""COMPUTED_VALUE"""),0.010231481062658)</f>
        <v>1.0231481062657999E-2</v>
      </c>
      <c r="K29" s="18">
        <f ca="1">IFERROR(__xludf.DUMMYFUNCTION("""COMPUTED_VALUE"""),0.00108796394047827)</f>
        <v>1.0879639404782701E-3</v>
      </c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20"/>
      <c r="W29" s="20"/>
      <c r="X29" s="20"/>
      <c r="Y29" s="20"/>
      <c r="Z29" s="21"/>
      <c r="AA29" s="22"/>
      <c r="AB29" s="23"/>
    </row>
    <row r="30" spans="1:28" ht="13.5" customHeight="1" x14ac:dyDescent="0.35">
      <c r="A30" s="24">
        <f ca="1">IFERROR(__xludf.DUMMYFUNCTION("""COMPUTED_VALUE"""),29)</f>
        <v>29</v>
      </c>
      <c r="B30" s="25" t="str">
        <f ca="1">IFERROR(__xludf.DUMMYFUNCTION("""COMPUTED_VALUE"""),"121")</f>
        <v>121</v>
      </c>
      <c r="C30" s="26" t="str">
        <f ca="1">IFERROR(__xludf.DUMMYFUNCTION("""COMPUTED_VALUE"""),"MARCHETTI")</f>
        <v>MARCHETTI</v>
      </c>
      <c r="D30" s="27" t="str">
        <f ca="1">IFERROR(__xludf.DUMMYFUNCTION("""COMPUTED_VALUE"""),"CAMILLE")</f>
        <v>CAMILLE</v>
      </c>
      <c r="E30" s="15" t="str">
        <f ca="1">IFERROR(__xludf.DUMMYFUNCTION("""COMPUTED_VALUE"""),"SF3")</f>
        <v>SF3</v>
      </c>
      <c r="F30" s="51">
        <f ca="1">IFERROR(__xludf.DUMMYFUNCTION("""COMPUTED_VALUE"""),12)</f>
        <v>12</v>
      </c>
      <c r="G30" s="16">
        <f ca="1">IFERROR(__xludf.DUMMYFUNCTION("""COMPUTED_VALUE"""),0.0251041668048)</f>
        <v>2.5104166804800002E-2</v>
      </c>
      <c r="H30" s="17">
        <f ca="1">IFERROR(__xludf.DUMMYFUNCTION("""COMPUTED_VALUE"""),0.00472222226105048)</f>
        <v>4.7222222610504797E-3</v>
      </c>
      <c r="I30" s="17">
        <f ca="1">IFERROR(__xludf.DUMMYFUNCTION("""COMPUTED_VALUE"""),0.00841435190235243)</f>
        <v>8.4143519023524294E-3</v>
      </c>
      <c r="J30" s="17">
        <f ca="1">IFERROR(__xludf.DUMMYFUNCTION("""COMPUTED_VALUE"""),0.0112847215738139)</f>
        <v>1.12847215738139E-2</v>
      </c>
      <c r="K30" s="18">
        <f ca="1">IFERROR(__xludf.DUMMYFUNCTION("""COMPUTED_VALUE"""),0.000682871067583176)</f>
        <v>6.8287106758317597E-4</v>
      </c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20"/>
      <c r="W30" s="20"/>
      <c r="X30" s="20"/>
      <c r="Y30" s="20"/>
      <c r="Z30" s="21"/>
      <c r="AA30" s="22"/>
      <c r="AB30" s="23"/>
    </row>
    <row r="31" spans="1:28" ht="13.5" customHeight="1" x14ac:dyDescent="0.35">
      <c r="A31" s="24">
        <f ca="1">IFERROR(__xludf.DUMMYFUNCTION("""COMPUTED_VALUE"""),30)</f>
        <v>30</v>
      </c>
      <c r="B31" s="25" t="str">
        <f ca="1">IFERROR(__xludf.DUMMYFUNCTION("""COMPUTED_VALUE"""),"147")</f>
        <v>147</v>
      </c>
      <c r="C31" s="26" t="str">
        <f ca="1">IFERROR(__xludf.DUMMYFUNCTION("""COMPUTED_VALUE"""),"GRABELDINGER")</f>
        <v>GRABELDINGER</v>
      </c>
      <c r="D31" s="27" t="str">
        <f ca="1">IFERROR(__xludf.DUMMYFUNCTION("""COMPUTED_VALUE"""),"LOUISE")</f>
        <v>LOUISE</v>
      </c>
      <c r="E31" s="15" t="str">
        <f ca="1">IFERROR(__xludf.DUMMYFUNCTION("""COMPUTED_VALUE"""),"SF4")</f>
        <v>SF4</v>
      </c>
      <c r="F31" s="51">
        <f ca="1">IFERROR(__xludf.DUMMYFUNCTION("""COMPUTED_VALUE"""),10)</f>
        <v>10</v>
      </c>
      <c r="G31" s="16">
        <f ca="1">IFERROR(__xludf.DUMMYFUNCTION("""COMPUTED_VALUE"""),0.0252430556031244)</f>
        <v>2.5243055603124401E-2</v>
      </c>
      <c r="H31" s="17">
        <f ca="1">IFERROR(__xludf.DUMMYFUNCTION("""COMPUTED_VALUE"""),0.00453703704979733)</f>
        <v>4.5370370497973302E-3</v>
      </c>
      <c r="I31" s="17">
        <f ca="1">IFERROR(__xludf.DUMMYFUNCTION("""COMPUTED_VALUE"""),0.00835648154055616)</f>
        <v>8.3564815405561595E-3</v>
      </c>
      <c r="J31" s="17">
        <f ca="1">IFERROR(__xludf.DUMMYFUNCTION("""COMPUTED_VALUE"""),0.0113657398347162)</f>
        <v>1.13657398347162E-2</v>
      </c>
      <c r="K31" s="18">
        <f ca="1">IFERROR(__xludf.DUMMYFUNCTION("""COMPUTED_VALUE"""),0.000983797178054754)</f>
        <v>9.837971780547539E-4</v>
      </c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20"/>
      <c r="W31" s="20"/>
      <c r="X31" s="20"/>
      <c r="Y31" s="20"/>
      <c r="Z31" s="21"/>
      <c r="AA31" s="22"/>
      <c r="AB31" s="23"/>
    </row>
    <row r="32" spans="1:28" ht="13.5" customHeight="1" x14ac:dyDescent="0.35">
      <c r="A32" s="24">
        <f ca="1">IFERROR(__xludf.DUMMYFUNCTION("""COMPUTED_VALUE"""),31)</f>
        <v>31</v>
      </c>
      <c r="B32" s="25" t="str">
        <f ca="1">IFERROR(__xludf.DUMMYFUNCTION("""COMPUTED_VALUE"""),"96")</f>
        <v>96</v>
      </c>
      <c r="C32" s="26" t="str">
        <f ca="1">IFERROR(__xludf.DUMMYFUNCTION("""COMPUTED_VALUE"""),"VOROS")</f>
        <v>VOROS</v>
      </c>
      <c r="D32" s="27" t="str">
        <f ca="1">IFERROR(__xludf.DUMMYFUNCTION("""COMPUTED_VALUE"""),"CAROLINE")</f>
        <v>CAROLINE</v>
      </c>
      <c r="E32" s="15" t="str">
        <f ca="1">IFERROR(__xludf.DUMMYFUNCTION("""COMPUTED_VALUE"""),"SF2")</f>
        <v>SF2</v>
      </c>
      <c r="F32" s="51">
        <f ca="1">IFERROR(__xludf.DUMMYFUNCTION("""COMPUTED_VALUE"""),8)</f>
        <v>8</v>
      </c>
      <c r="G32" s="16">
        <f ca="1">IFERROR(__xludf.DUMMYFUNCTION("""COMPUTED_VALUE"""),0.0254050936332292)</f>
        <v>2.5405093633229198E-2</v>
      </c>
      <c r="H32" s="17">
        <f ca="1">IFERROR(__xludf.DUMMYFUNCTION("""COMPUTED_VALUE"""),0.0043287037427351)</f>
        <v>4.3287037427350997E-3</v>
      </c>
      <c r="I32" s="17">
        <f ca="1">IFERROR(__xludf.DUMMYFUNCTION("""COMPUTED_VALUE"""),0.00850694445984903)</f>
        <v>8.5069444598490293E-3</v>
      </c>
      <c r="J32" s="17">
        <f ca="1">IFERROR(__xludf.DUMMYFUNCTION("""COMPUTED_VALUE"""),0.011412037797795)</f>
        <v>1.1412037797795E-2</v>
      </c>
      <c r="K32" s="18">
        <f ca="1">IFERROR(__xludf.DUMMYFUNCTION("""COMPUTED_VALUE"""),0.00115740763285001)</f>
        <v>1.1574076328500101E-3</v>
      </c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20"/>
      <c r="W32" s="20"/>
      <c r="X32" s="20"/>
      <c r="Y32" s="20"/>
      <c r="Z32" s="21"/>
      <c r="AA32" s="22"/>
      <c r="AB32" s="23"/>
    </row>
    <row r="33" spans="1:28" ht="13.5" customHeight="1" x14ac:dyDescent="0.35">
      <c r="A33" s="24">
        <f ca="1">IFERROR(__xludf.DUMMYFUNCTION("""COMPUTED_VALUE"""),32)</f>
        <v>32</v>
      </c>
      <c r="B33" s="25" t="str">
        <f ca="1">IFERROR(__xludf.DUMMYFUNCTION("""COMPUTED_VALUE"""),"123")</f>
        <v>123</v>
      </c>
      <c r="C33" s="26" t="str">
        <f ca="1">IFERROR(__xludf.DUMMYFUNCTION("""COMPUTED_VALUE"""),"DUCLOS AMEUR")</f>
        <v>DUCLOS AMEUR</v>
      </c>
      <c r="D33" s="27" t="str">
        <f ca="1">IFERROR(__xludf.DUMMYFUNCTION("""COMPUTED_VALUE"""),"NOAM")</f>
        <v>NOAM</v>
      </c>
      <c r="E33" s="15" t="str">
        <f ca="1">IFERROR(__xludf.DUMMYFUNCTION("""COMPUTED_VALUE"""),"SF2")</f>
        <v>SF2</v>
      </c>
      <c r="F33" s="51">
        <f ca="1">IFERROR(__xludf.DUMMYFUNCTION("""COMPUTED_VALUE"""),9)</f>
        <v>9</v>
      </c>
      <c r="G33" s="16">
        <f ca="1">IFERROR(__xludf.DUMMYFUNCTION("""COMPUTED_VALUE"""),0.025474537338089)</f>
        <v>2.5474537338089E-2</v>
      </c>
      <c r="H33" s="17">
        <f ca="1">IFERROR(__xludf.DUMMYFUNCTION("""COMPUTED_VALUE"""),0.00521990752275978)</f>
        <v>5.2199075227597801E-3</v>
      </c>
      <c r="I33" s="17">
        <f ca="1">IFERROR(__xludf.DUMMYFUNCTION("""COMPUTED_VALUE"""),0.008946759352332)</f>
        <v>8.9467593523320007E-3</v>
      </c>
      <c r="J33" s="17">
        <f ca="1">IFERROR(__xludf.DUMMYFUNCTION("""COMPUTED_VALUE"""),0.0100694439690501)</f>
        <v>1.00694439690501E-2</v>
      </c>
      <c r="K33" s="18">
        <f ca="1">IFERROR(__xludf.DUMMYFUNCTION("""COMPUTED_VALUE"""),0.00123842649394709)</f>
        <v>1.23842649394709E-3</v>
      </c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20"/>
      <c r="W33" s="20"/>
      <c r="X33" s="20"/>
      <c r="Y33" s="20"/>
      <c r="Z33" s="21"/>
      <c r="AA33" s="22"/>
      <c r="AB33" s="23"/>
    </row>
    <row r="34" spans="1:28" ht="13.5" customHeight="1" x14ac:dyDescent="0.35">
      <c r="A34" s="24">
        <f ca="1">IFERROR(__xludf.DUMMYFUNCTION("""COMPUTED_VALUE"""),33)</f>
        <v>33</v>
      </c>
      <c r="B34" s="25" t="str">
        <f ca="1">IFERROR(__xludf.DUMMYFUNCTION("""COMPUTED_VALUE"""),"165")</f>
        <v>165</v>
      </c>
      <c r="C34" s="26" t="str">
        <f ca="1">IFERROR(__xludf.DUMMYFUNCTION("""COMPUTED_VALUE"""),"LE HUËROU")</f>
        <v>LE HUËROU</v>
      </c>
      <c r="D34" s="27" t="str">
        <f ca="1">IFERROR(__xludf.DUMMYFUNCTION("""COMPUTED_VALUE"""),"MORGANE")</f>
        <v>MORGANE</v>
      </c>
      <c r="E34" s="15" t="str">
        <f ca="1">IFERROR(__xludf.DUMMYFUNCTION("""COMPUTED_VALUE"""),"SF3")</f>
        <v>SF3</v>
      </c>
      <c r="F34" s="51">
        <f ca="1">IFERROR(__xludf.DUMMYFUNCTION("""COMPUTED_VALUE"""),13)</f>
        <v>13</v>
      </c>
      <c r="G34" s="16">
        <f ca="1">IFERROR(__xludf.DUMMYFUNCTION("""COMPUTED_VALUE"""),0.0255439826197151)</f>
        <v>2.5543982619715098E-2</v>
      </c>
      <c r="H34" s="17">
        <f ca="1">IFERROR(__xludf.DUMMYFUNCTION("""COMPUTED_VALUE"""),0.0039004630197121)</f>
        <v>3.9004630197120999E-3</v>
      </c>
      <c r="I34" s="17">
        <f ca="1">IFERROR(__xludf.DUMMYFUNCTION("""COMPUTED_VALUE"""),0.00989583340196031)</f>
        <v>9.8958334019603102E-3</v>
      </c>
      <c r="J34" s="17">
        <f ca="1">IFERROR(__xludf.DUMMYFUNCTION("""COMPUTED_VALUE"""),0.0108796299892642)</f>
        <v>1.08796299892642E-2</v>
      </c>
      <c r="K34" s="18">
        <f ca="1">IFERROR(__xludf.DUMMYFUNCTION("""COMPUTED_VALUE"""),0.000868056208778496)</f>
        <v>8.6805620877849598E-4</v>
      </c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20"/>
      <c r="W34" s="20"/>
      <c r="X34" s="20"/>
      <c r="Y34" s="20"/>
      <c r="Z34" s="21"/>
      <c r="AA34" s="22"/>
      <c r="AB34" s="23"/>
    </row>
    <row r="35" spans="1:28" ht="13.5" customHeight="1" x14ac:dyDescent="0.35">
      <c r="A35" s="24">
        <f ca="1">IFERROR(__xludf.DUMMYFUNCTION("""COMPUTED_VALUE"""),34)</f>
        <v>34</v>
      </c>
      <c r="B35" s="25" t="str">
        <f ca="1">IFERROR(__xludf.DUMMYFUNCTION("""COMPUTED_VALUE"""),"67")</f>
        <v>67</v>
      </c>
      <c r="C35" s="26" t="str">
        <f ca="1">IFERROR(__xludf.DUMMYFUNCTION("""COMPUTED_VALUE"""),"LUGBULL")</f>
        <v>LUGBULL</v>
      </c>
      <c r="D35" s="27" t="str">
        <f ca="1">IFERROR(__xludf.DUMMYFUNCTION("""COMPUTED_VALUE"""),"ELINA")</f>
        <v>ELINA</v>
      </c>
      <c r="E35" s="15" t="str">
        <f ca="1">IFERROR(__xludf.DUMMYFUNCTION("""COMPUTED_VALUE"""),"SF3")</f>
        <v>SF3</v>
      </c>
      <c r="F35" s="51">
        <f ca="1">IFERROR(__xludf.DUMMYFUNCTION("""COMPUTED_VALUE"""),14)</f>
        <v>14</v>
      </c>
      <c r="G35" s="16">
        <f ca="1">IFERROR(__xludf.DUMMYFUNCTION("""COMPUTED_VALUE"""),0.0257291675413635)</f>
        <v>2.57291675413635E-2</v>
      </c>
      <c r="H35" s="17">
        <f ca="1">IFERROR(__xludf.DUMMYFUNCTION("""COMPUTED_VALUE"""),0.00534722230932329)</f>
        <v>5.3472223093232896E-3</v>
      </c>
      <c r="I35" s="17">
        <f ca="1">IFERROR(__xludf.DUMMYFUNCTION("""COMPUTED_VALUE"""),0.00819444452137875)</f>
        <v>8.1944445213787496E-3</v>
      </c>
      <c r="J35" s="17">
        <f ca="1">IFERROR(__xludf.DUMMYFUNCTION("""COMPUTED_VALUE"""),0.010949074269992)</f>
        <v>1.0949074269992001E-2</v>
      </c>
      <c r="K35" s="18">
        <f ca="1">IFERROR(__xludf.DUMMYFUNCTION("""COMPUTED_VALUE"""),0.00123842644066947)</f>
        <v>1.23842644066947E-3</v>
      </c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20"/>
      <c r="W35" s="20"/>
      <c r="X35" s="20"/>
      <c r="Y35" s="20"/>
      <c r="Z35" s="21"/>
      <c r="AA35" s="22"/>
      <c r="AB35" s="23"/>
    </row>
    <row r="36" spans="1:28" ht="13.5" customHeight="1" x14ac:dyDescent="0.35">
      <c r="A36" s="24">
        <f ca="1">IFERROR(__xludf.DUMMYFUNCTION("""COMPUTED_VALUE"""),35)</f>
        <v>35</v>
      </c>
      <c r="B36" s="25" t="str">
        <f ca="1">IFERROR(__xludf.DUMMYFUNCTION("""COMPUTED_VALUE"""),"12")</f>
        <v>12</v>
      </c>
      <c r="C36" s="26" t="str">
        <f ca="1">IFERROR(__xludf.DUMMYFUNCTION("""COMPUTED_VALUE"""),"DALLONI")</f>
        <v>DALLONI</v>
      </c>
      <c r="D36" s="27" t="str">
        <f ca="1">IFERROR(__xludf.DUMMYFUNCTION("""COMPUTED_VALUE"""),"EVE")</f>
        <v>EVE</v>
      </c>
      <c r="E36" s="15" t="str">
        <f ca="1">IFERROR(__xludf.DUMMYFUNCTION("""COMPUTED_VALUE"""),"SF3")</f>
        <v>SF3</v>
      </c>
      <c r="F36" s="51">
        <f ca="1">IFERROR(__xludf.DUMMYFUNCTION("""COMPUTED_VALUE"""),15)</f>
        <v>15</v>
      </c>
      <c r="G36" s="16">
        <f ca="1">IFERROR(__xludf.DUMMYFUNCTION("""COMPUTED_VALUE"""),0.0261458334927834)</f>
        <v>2.6145833492783401E-2</v>
      </c>
      <c r="H36" s="17">
        <f ca="1">IFERROR(__xludf.DUMMYFUNCTION("""COMPUTED_VALUE"""),0.00511574078804776)</f>
        <v>5.1157407880477604E-3</v>
      </c>
      <c r="I36" s="17">
        <f ca="1">IFERROR(__xludf.DUMMYFUNCTION("""COMPUTED_VALUE"""),0.00850694455485086)</f>
        <v>8.5069445548508604E-3</v>
      </c>
      <c r="J36" s="17">
        <f ca="1">IFERROR(__xludf.DUMMYFUNCTION("""COMPUTED_VALUE"""),0.0110069445961869)</f>
        <v>1.10069445961869E-2</v>
      </c>
      <c r="K36" s="18">
        <f ca="1">IFERROR(__xludf.DUMMYFUNCTION("""COMPUTED_VALUE"""),0.00151620355369785)</f>
        <v>1.51620355369785E-3</v>
      </c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20"/>
      <c r="W36" s="20"/>
      <c r="X36" s="20"/>
      <c r="Y36" s="20"/>
      <c r="Z36" s="21"/>
      <c r="AA36" s="22"/>
      <c r="AB36" s="23"/>
    </row>
    <row r="37" spans="1:28" ht="13.5" customHeight="1" x14ac:dyDescent="0.35">
      <c r="A37" s="24">
        <f ca="1">IFERROR(__xludf.DUMMYFUNCTION("""COMPUTED_VALUE"""),36)</f>
        <v>36</v>
      </c>
      <c r="B37" s="25" t="str">
        <f ca="1">IFERROR(__xludf.DUMMYFUNCTION("""COMPUTED_VALUE"""),"56")</f>
        <v>56</v>
      </c>
      <c r="C37" s="26" t="str">
        <f ca="1">IFERROR(__xludf.DUMMYFUNCTION("""COMPUTED_VALUE"""),"BARREAU")</f>
        <v>BARREAU</v>
      </c>
      <c r="D37" s="27" t="str">
        <f ca="1">IFERROR(__xludf.DUMMYFUNCTION("""COMPUTED_VALUE"""),"AXELLE")</f>
        <v>AXELLE</v>
      </c>
      <c r="E37" s="15" t="str">
        <f ca="1">IFERROR(__xludf.DUMMYFUNCTION("""COMPUTED_VALUE"""),"SF3")</f>
        <v>SF3</v>
      </c>
      <c r="F37" s="51">
        <f ca="1">IFERROR(__xludf.DUMMYFUNCTION("""COMPUTED_VALUE"""),16)</f>
        <v>16</v>
      </c>
      <c r="G37" s="16">
        <f ca="1">IFERROR(__xludf.DUMMYFUNCTION("""COMPUTED_VALUE"""),0.0263773151580049)</f>
        <v>2.6377315158004899E-2</v>
      </c>
      <c r="H37" s="17">
        <f ca="1">IFERROR(__xludf.DUMMYFUNCTION("""COMPUTED_VALUE"""),0.00513888890283706)</f>
        <v>5.1388889028370598E-3</v>
      </c>
      <c r="I37" s="17">
        <f ca="1">IFERROR(__xludf.DUMMYFUNCTION("""COMPUTED_VALUE"""),0.00909722223372957)</f>
        <v>9.0972222337295707E-3</v>
      </c>
      <c r="J37" s="17">
        <f ca="1">IFERROR(__xludf.DUMMYFUNCTION("""COMPUTED_VALUE"""),0.0108912035694999)</f>
        <v>1.0891203569499901E-2</v>
      </c>
      <c r="K37" s="18">
        <f ca="1">IFERROR(__xludf.DUMMYFUNCTION("""COMPUTED_VALUE"""),0.00125000045193843)</f>
        <v>1.2500004519384301E-3</v>
      </c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20"/>
      <c r="W37" s="20"/>
      <c r="X37" s="20"/>
      <c r="Y37" s="20"/>
      <c r="Z37" s="21"/>
      <c r="AA37" s="22"/>
      <c r="AB37" s="23"/>
    </row>
    <row r="38" spans="1:28" ht="13.5" customHeight="1" x14ac:dyDescent="0.35">
      <c r="A38" s="24">
        <f ca="1">IFERROR(__xludf.DUMMYFUNCTION("""COMPUTED_VALUE"""),37)</f>
        <v>37</v>
      </c>
      <c r="B38" s="25" t="str">
        <f ca="1">IFERROR(__xludf.DUMMYFUNCTION("""COMPUTED_VALUE"""),"57")</f>
        <v>57</v>
      </c>
      <c r="C38" s="26" t="str">
        <f ca="1">IFERROR(__xludf.DUMMYFUNCTION("""COMPUTED_VALUE"""),"ROUAUD")</f>
        <v>ROUAUD</v>
      </c>
      <c r="D38" s="27" t="str">
        <f ca="1">IFERROR(__xludf.DUMMYFUNCTION("""COMPUTED_VALUE"""),"CLEMENCE")</f>
        <v>CLEMENCE</v>
      </c>
      <c r="E38" s="15" t="str">
        <f ca="1">IFERROR(__xludf.DUMMYFUNCTION("""COMPUTED_VALUE"""),"SF3")</f>
        <v>SF3</v>
      </c>
      <c r="F38" s="51">
        <f ca="1">IFERROR(__xludf.DUMMYFUNCTION("""COMPUTED_VALUE"""),17)</f>
        <v>17</v>
      </c>
      <c r="G38" s="16">
        <f ca="1">IFERROR(__xludf.DUMMYFUNCTION("""COMPUTED_VALUE"""),0.026377315840755)</f>
        <v>2.6377315840754999E-2</v>
      </c>
      <c r="H38" s="17">
        <f ca="1">IFERROR(__xludf.DUMMYFUNCTION("""COMPUTED_VALUE"""),0.00503472224990895)</f>
        <v>5.0347222499089496E-3</v>
      </c>
      <c r="I38" s="17">
        <f ca="1">IFERROR(__xludf.DUMMYFUNCTION("""COMPUTED_VALUE"""),0.00907407414704983)</f>
        <v>9.0740741470498303E-3</v>
      </c>
      <c r="J38" s="17">
        <f ca="1">IFERROR(__xludf.DUMMYFUNCTION("""COMPUTED_VALUE"""),0.0109722225840529)</f>
        <v>1.09722225840529E-2</v>
      </c>
      <c r="K38" s="18">
        <f ca="1">IFERROR(__xludf.DUMMYFUNCTION("""COMPUTED_VALUE"""),0.00129629685974338)</f>
        <v>1.29629685974338E-3</v>
      </c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20"/>
      <c r="W38" s="20"/>
      <c r="X38" s="20"/>
      <c r="Y38" s="20"/>
      <c r="Z38" s="21"/>
      <c r="AA38" s="22"/>
      <c r="AB38" s="23"/>
    </row>
    <row r="39" spans="1:28" ht="13.5" customHeight="1" x14ac:dyDescent="0.35">
      <c r="A39" s="24">
        <f ca="1">IFERROR(__xludf.DUMMYFUNCTION("""COMPUTED_VALUE"""),38)</f>
        <v>38</v>
      </c>
      <c r="B39" s="25" t="str">
        <f ca="1">IFERROR(__xludf.DUMMYFUNCTION("""COMPUTED_VALUE"""),"190")</f>
        <v>190</v>
      </c>
      <c r="C39" s="26" t="str">
        <f ca="1">IFERROR(__xludf.DUMMYFUNCTION("""COMPUTED_VALUE"""),"LE POËZELLER")</f>
        <v>LE POËZELLER</v>
      </c>
      <c r="D39" s="27" t="str">
        <f ca="1">IFERROR(__xludf.DUMMYFUNCTION("""COMPUTED_VALUE"""),"DIANE")</f>
        <v>DIANE</v>
      </c>
      <c r="E39" s="15" t="str">
        <f ca="1">IFERROR(__xludf.DUMMYFUNCTION("""COMPUTED_VALUE"""),"SF1")</f>
        <v>SF1</v>
      </c>
      <c r="F39" s="51">
        <f ca="1">IFERROR(__xludf.DUMMYFUNCTION("""COMPUTED_VALUE"""),2)</f>
        <v>2</v>
      </c>
      <c r="G39" s="16">
        <f ca="1">IFERROR(__xludf.DUMMYFUNCTION("""COMPUTED_VALUE"""),0.0264699084074793)</f>
        <v>2.6469908407479301E-2</v>
      </c>
      <c r="H39" s="17">
        <f ca="1">IFERROR(__xludf.DUMMYFUNCTION("""COMPUTED_VALUE"""),0.00484953712406991)</f>
        <v>4.8495371240699098E-3</v>
      </c>
      <c r="I39" s="17">
        <f ca="1">IFERROR(__xludf.DUMMYFUNCTION("""COMPUTED_VALUE"""),0.00961805565833208)</f>
        <v>9.6180556583320802E-3</v>
      </c>
      <c r="J39" s="17">
        <f ca="1">IFERROR(__xludf.DUMMYFUNCTION("""COMPUTED_VALUE"""),0.0105208336240584)</f>
        <v>1.0520833624058401E-2</v>
      </c>
      <c r="K39" s="18">
        <f ca="1">IFERROR(__xludf.DUMMYFUNCTION("""COMPUTED_VALUE"""),0.0014814820010189)</f>
        <v>1.4814820010188999E-3</v>
      </c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20"/>
      <c r="W39" s="20"/>
      <c r="X39" s="20"/>
      <c r="Y39" s="20"/>
      <c r="Z39" s="21"/>
      <c r="AA39" s="22"/>
      <c r="AB39" s="23"/>
    </row>
    <row r="40" spans="1:28" ht="13.5" customHeight="1" x14ac:dyDescent="0.35">
      <c r="A40" s="24">
        <f ca="1">IFERROR(__xludf.DUMMYFUNCTION("""COMPUTED_VALUE"""),39)</f>
        <v>39</v>
      </c>
      <c r="B40" s="25" t="str">
        <f ca="1">IFERROR(__xludf.DUMMYFUNCTION("""COMPUTED_VALUE"""),"72")</f>
        <v>72</v>
      </c>
      <c r="C40" s="26" t="str">
        <f ca="1">IFERROR(__xludf.DUMMYFUNCTION("""COMPUTED_VALUE"""),"PETIT")</f>
        <v>PETIT</v>
      </c>
      <c r="D40" s="27" t="str">
        <f ca="1">IFERROR(__xludf.DUMMYFUNCTION("""COMPUTED_VALUE"""),"LAURENE")</f>
        <v>LAURENE</v>
      </c>
      <c r="E40" s="15" t="str">
        <f ca="1">IFERROR(__xludf.DUMMYFUNCTION("""COMPUTED_VALUE"""),"SF3")</f>
        <v>SF3</v>
      </c>
      <c r="F40" s="51">
        <f ca="1">IFERROR(__xludf.DUMMYFUNCTION("""COMPUTED_VALUE"""),18)</f>
        <v>18</v>
      </c>
      <c r="G40" s="16">
        <f ca="1">IFERROR(__xludf.DUMMYFUNCTION("""COMPUTED_VALUE"""),0.0269212974431772)</f>
        <v>2.69212974431772E-2</v>
      </c>
      <c r="H40" s="17">
        <f ca="1">IFERROR(__xludf.DUMMYFUNCTION("""COMPUTED_VALUE"""),0.00554398159123698)</f>
        <v>5.5439815912369803E-3</v>
      </c>
      <c r="I40" s="17">
        <f ca="1">IFERROR(__xludf.DUMMYFUNCTION("""COMPUTED_VALUE"""),0.00928240746089988)</f>
        <v>9.2824074608998802E-3</v>
      </c>
      <c r="J40" s="17">
        <f ca="1">IFERROR(__xludf.DUMMYFUNCTION("""COMPUTED_VALUE"""),0.0111458343396564)</f>
        <v>1.1145834339656401E-2</v>
      </c>
      <c r="K40" s="18">
        <f ca="1">IFERROR(__xludf.DUMMYFUNCTION("""COMPUTED_VALUE"""),0.000949074051383907)</f>
        <v>9.4907405138390695E-4</v>
      </c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20"/>
      <c r="W40" s="20"/>
      <c r="X40" s="20"/>
      <c r="Y40" s="20"/>
      <c r="Z40" s="21"/>
      <c r="AA40" s="22"/>
      <c r="AB40" s="23"/>
    </row>
    <row r="41" spans="1:28" ht="13.5" customHeight="1" x14ac:dyDescent="0.35">
      <c r="A41" s="24">
        <f ca="1">IFERROR(__xludf.DUMMYFUNCTION("""COMPUTED_VALUE"""),40)</f>
        <v>40</v>
      </c>
      <c r="B41" s="25" t="str">
        <f ca="1">IFERROR(__xludf.DUMMYFUNCTION("""COMPUTED_VALUE"""),"68")</f>
        <v>68</v>
      </c>
      <c r="C41" s="26" t="str">
        <f ca="1">IFERROR(__xludf.DUMMYFUNCTION("""COMPUTED_VALUE"""),"POSTEL-VINAY")</f>
        <v>POSTEL-VINAY</v>
      </c>
      <c r="D41" s="27" t="str">
        <f ca="1">IFERROR(__xludf.DUMMYFUNCTION("""COMPUTED_VALUE"""),"MARINE")</f>
        <v>MARINE</v>
      </c>
      <c r="E41" s="15" t="str">
        <f ca="1">IFERROR(__xludf.DUMMYFUNCTION("""COMPUTED_VALUE"""),"SF3")</f>
        <v>SF3</v>
      </c>
      <c r="F41" s="51">
        <f ca="1">IFERROR(__xludf.DUMMYFUNCTION("""COMPUTED_VALUE"""),19)</f>
        <v>19</v>
      </c>
      <c r="G41" s="16">
        <f ca="1">IFERROR(__xludf.DUMMYFUNCTION("""COMPUTED_VALUE"""),0.0273495381873771)</f>
        <v>2.73495381873771E-2</v>
      </c>
      <c r="H41" s="17">
        <f ca="1">IFERROR(__xludf.DUMMYFUNCTION("""COMPUTED_VALUE"""),0.00545138892554666)</f>
        <v>5.4513889255466599E-3</v>
      </c>
      <c r="I41" s="17">
        <f ca="1">IFERROR(__xludf.DUMMYFUNCTION("""COMPUTED_VALUE"""),0.0101736111581497)</f>
        <v>1.0173611158149701E-2</v>
      </c>
      <c r="J41" s="17">
        <f ca="1">IFERROR(__xludf.DUMMYFUNCTION("""COMPUTED_VALUE"""),0.0106828711745657)</f>
        <v>1.06828711745657E-2</v>
      </c>
      <c r="K41" s="18">
        <f ca="1">IFERROR(__xludf.DUMMYFUNCTION("""COMPUTED_VALUE"""),0.00104166692911499)</f>
        <v>1.0416669291149899E-3</v>
      </c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20"/>
      <c r="W41" s="20"/>
      <c r="X41" s="20"/>
      <c r="Y41" s="20"/>
      <c r="Z41" s="21"/>
      <c r="AA41" s="22"/>
      <c r="AB41" s="23"/>
    </row>
    <row r="42" spans="1:28" ht="13.5" customHeight="1" x14ac:dyDescent="0.35">
      <c r="A42" s="24">
        <f ca="1">IFERROR(__xludf.DUMMYFUNCTION("""COMPUTED_VALUE"""),41)</f>
        <v>41</v>
      </c>
      <c r="B42" s="25" t="str">
        <f ca="1">IFERROR(__xludf.DUMMYFUNCTION("""COMPUTED_VALUE"""),"51")</f>
        <v>51</v>
      </c>
      <c r="C42" s="26" t="str">
        <f ca="1">IFERROR(__xludf.DUMMYFUNCTION("""COMPUTED_VALUE"""),"MARZEC")</f>
        <v>MARZEC</v>
      </c>
      <c r="D42" s="27" t="str">
        <f ca="1">IFERROR(__xludf.DUMMYFUNCTION("""COMPUTED_VALUE"""),"MAGDA")</f>
        <v>MAGDA</v>
      </c>
      <c r="E42" s="15" t="str">
        <f ca="1">IFERROR(__xludf.DUMMYFUNCTION("""COMPUTED_VALUE"""),"SF4")</f>
        <v>SF4</v>
      </c>
      <c r="F42" s="51">
        <f ca="1">IFERROR(__xludf.DUMMYFUNCTION("""COMPUTED_VALUE"""),11)</f>
        <v>11</v>
      </c>
      <c r="G42" s="16">
        <f ca="1">IFERROR(__xludf.DUMMYFUNCTION("""COMPUTED_VALUE"""),0.027465278395777)</f>
        <v>2.7465278395777001E-2</v>
      </c>
      <c r="H42" s="17">
        <f ca="1">IFERROR(__xludf.DUMMYFUNCTION("""COMPUTED_VALUE"""),0.00512731486121523)</f>
        <v>5.1273148612152302E-3</v>
      </c>
      <c r="I42" s="17">
        <f ca="1">IFERROR(__xludf.DUMMYFUNCTION("""COMPUTED_VALUE"""),0.00884259261842291)</f>
        <v>8.8425926184229099E-3</v>
      </c>
      <c r="J42" s="17">
        <f ca="1">IFERROR(__xludf.DUMMYFUNCTION("""COMPUTED_VALUE"""),0.011180555675218)</f>
        <v>1.1180555675218E-2</v>
      </c>
      <c r="K42" s="18">
        <f ca="1">IFERROR(__xludf.DUMMYFUNCTION("""COMPUTED_VALUE"""),0.00231481524092083)</f>
        <v>2.3148152409208302E-3</v>
      </c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20"/>
      <c r="W42" s="20"/>
      <c r="X42" s="20"/>
      <c r="Y42" s="20"/>
      <c r="Z42" s="21"/>
      <c r="AA42" s="22"/>
      <c r="AB42" s="23"/>
    </row>
    <row r="43" spans="1:28" ht="13.5" customHeight="1" x14ac:dyDescent="0.35">
      <c r="A43" s="24">
        <f ca="1">IFERROR(__xludf.DUMMYFUNCTION("""COMPUTED_VALUE"""),42)</f>
        <v>42</v>
      </c>
      <c r="B43" s="25" t="str">
        <f ca="1">IFERROR(__xludf.DUMMYFUNCTION("""COMPUTED_VALUE"""),"137")</f>
        <v>137</v>
      </c>
      <c r="C43" s="26" t="str">
        <f ca="1">IFERROR(__xludf.DUMMYFUNCTION("""COMPUTED_VALUE"""),"GÈZE PALLARES")</f>
        <v>GÈZE PALLARES</v>
      </c>
      <c r="D43" s="27" t="str">
        <f ca="1">IFERROR(__xludf.DUMMYFUNCTION("""COMPUTED_VALUE"""),"CHARLOTTE")</f>
        <v>CHARLOTTE</v>
      </c>
      <c r="E43" s="15" t="str">
        <f ca="1">IFERROR(__xludf.DUMMYFUNCTION("""COMPUTED_VALUE"""),"SF4")</f>
        <v>SF4</v>
      </c>
      <c r="F43" s="51">
        <f ca="1">IFERROR(__xludf.DUMMYFUNCTION("""COMPUTED_VALUE"""),12)</f>
        <v>12</v>
      </c>
      <c r="G43" s="16">
        <f ca="1">IFERROR(__xludf.DUMMYFUNCTION("""COMPUTED_VALUE"""),0.0286689820555898)</f>
        <v>2.8668982055589799E-2</v>
      </c>
      <c r="H43" s="17">
        <f ca="1">IFERROR(__xludf.DUMMYFUNCTION("""COMPUTED_VALUE"""),0.00509259260043388)</f>
        <v>5.0925926004338797E-3</v>
      </c>
      <c r="I43" s="17">
        <f ca="1">IFERROR(__xludf.DUMMYFUNCTION("""COMPUTED_VALUE"""),0.00909722222785857)</f>
        <v>9.0972222278585708E-3</v>
      </c>
      <c r="J43" s="17">
        <f ca="1">IFERROR(__xludf.DUMMYFUNCTION("""COMPUTED_VALUE"""),0.0134143518143189)</f>
        <v>1.34143518143189E-2</v>
      </c>
      <c r="K43" s="18">
        <f ca="1">IFERROR(__xludf.DUMMYFUNCTION("""COMPUTED_VALUE"""),0.00106481541297843)</f>
        <v>1.0648154129784301E-3</v>
      </c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20"/>
      <c r="W43" s="20"/>
      <c r="X43" s="20"/>
      <c r="Y43" s="20"/>
      <c r="Z43" s="21"/>
      <c r="AA43" s="22"/>
      <c r="AB43" s="23"/>
    </row>
    <row r="44" spans="1:28" ht="13.5" customHeight="1" x14ac:dyDescent="0.35">
      <c r="A44" s="24">
        <f ca="1">IFERROR(__xludf.DUMMYFUNCTION("""COMPUTED_VALUE"""),43)</f>
        <v>43</v>
      </c>
      <c r="B44" s="25" t="str">
        <f ca="1">IFERROR(__xludf.DUMMYFUNCTION("""COMPUTED_VALUE"""),"71")</f>
        <v>71</v>
      </c>
      <c r="C44" s="26" t="str">
        <f ca="1">IFERROR(__xludf.DUMMYFUNCTION("""COMPUTED_VALUE"""),"MARTINEZ")</f>
        <v>MARTINEZ</v>
      </c>
      <c r="D44" s="27" t="str">
        <f ca="1">IFERROR(__xludf.DUMMYFUNCTION("""COMPUTED_VALUE"""),"CHARLOTTE")</f>
        <v>CHARLOTTE</v>
      </c>
      <c r="E44" s="15" t="str">
        <f ca="1">IFERROR(__xludf.DUMMYFUNCTION("""COMPUTED_VALUE"""),"SF4")</f>
        <v>SF4</v>
      </c>
      <c r="F44" s="51">
        <f ca="1">IFERROR(__xludf.DUMMYFUNCTION("""COMPUTED_VALUE"""),13)</f>
        <v>13</v>
      </c>
      <c r="G44" s="16">
        <f ca="1">IFERROR(__xludf.DUMMYFUNCTION("""COMPUTED_VALUE"""),0.0293634264866852)</f>
        <v>2.9363426486685201E-2</v>
      </c>
      <c r="H44" s="17">
        <f ca="1">IFERROR(__xludf.DUMMYFUNCTION("""COMPUTED_VALUE"""),0.00503472230303574)</f>
        <v>5.0347223030357399E-3</v>
      </c>
      <c r="I44" s="17">
        <f ca="1">IFERROR(__xludf.DUMMYFUNCTION("""COMPUTED_VALUE"""),0.00936342593415787)</f>
        <v>9.3634259341578707E-3</v>
      </c>
      <c r="J44" s="17">
        <f ca="1">IFERROR(__xludf.DUMMYFUNCTION("""COMPUTED_VALUE"""),0.0128587961573895)</f>
        <v>1.2858796157389499E-2</v>
      </c>
      <c r="K44" s="18">
        <f ca="1">IFERROR(__xludf.DUMMYFUNCTION("""COMPUTED_VALUE"""),0.00210648209210202)</f>
        <v>2.1064820921020198E-3</v>
      </c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20"/>
      <c r="W44" s="20"/>
      <c r="X44" s="20"/>
      <c r="Y44" s="20"/>
      <c r="Z44" s="21"/>
      <c r="AA44" s="22"/>
      <c r="AB44" s="23"/>
    </row>
    <row r="45" spans="1:28" ht="13.5" customHeight="1" x14ac:dyDescent="0.35">
      <c r="A45" s="24" t="str">
        <f ca="1">IFERROR(__xludf.DUMMYFUNCTION("""COMPUTED_VALUE"""),"")</f>
        <v/>
      </c>
      <c r="B45" s="28" t="str">
        <f ca="1">IFERROR(__xludf.DUMMYFUNCTION("""COMPUTED_VALUE"""),"")</f>
        <v/>
      </c>
      <c r="C45" s="27" t="str">
        <f ca="1">IFERROR(__xludf.DUMMYFUNCTION("""COMPUTED_VALUE"""),"")</f>
        <v/>
      </c>
      <c r="D45" s="27" t="str">
        <f ca="1">IFERROR(__xludf.DUMMYFUNCTION("""COMPUTED_VALUE"""),"")</f>
        <v/>
      </c>
      <c r="E45" s="15" t="str">
        <f ca="1">IFERROR(__xludf.DUMMYFUNCTION("""COMPUTED_VALUE"""),"")</f>
        <v/>
      </c>
      <c r="F45" s="51" t="str">
        <f ca="1">IFERROR(__xludf.DUMMYFUNCTION("""COMPUTED_VALUE"""),"")</f>
        <v/>
      </c>
      <c r="G45" s="16" t="str">
        <f ca="1">IFERROR(__xludf.DUMMYFUNCTION("""COMPUTED_VALUE"""),"")</f>
        <v/>
      </c>
      <c r="H45" s="17" t="str">
        <f ca="1">IFERROR(__xludf.DUMMYFUNCTION("""COMPUTED_VALUE"""),"")</f>
        <v/>
      </c>
      <c r="I45" s="17" t="str">
        <f ca="1">IFERROR(__xludf.DUMMYFUNCTION("""COMPUTED_VALUE"""),"")</f>
        <v/>
      </c>
      <c r="J45" s="17" t="str">
        <f ca="1">IFERROR(__xludf.DUMMYFUNCTION("""COMPUTED_VALUE"""),"")</f>
        <v/>
      </c>
      <c r="K45" s="18" t="str">
        <f ca="1">IFERROR(__xludf.DUMMYFUNCTION("""COMPUTED_VALUE"""),"")</f>
        <v/>
      </c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20"/>
      <c r="W45" s="20"/>
      <c r="X45" s="20"/>
      <c r="Y45" s="20"/>
      <c r="Z45" s="21"/>
      <c r="AA45" s="22"/>
      <c r="AB45" s="23"/>
    </row>
    <row r="46" spans="1:28" ht="13.5" customHeight="1" x14ac:dyDescent="0.35">
      <c r="A46" s="24" t="str">
        <f ca="1">IFERROR(__xludf.DUMMYFUNCTION("""COMPUTED_VALUE"""),"")</f>
        <v/>
      </c>
      <c r="B46" s="28" t="str">
        <f ca="1">IFERROR(__xludf.DUMMYFUNCTION("""COMPUTED_VALUE"""),"")</f>
        <v/>
      </c>
      <c r="C46" s="27" t="str">
        <f ca="1">IFERROR(__xludf.DUMMYFUNCTION("""COMPUTED_VALUE"""),"")</f>
        <v/>
      </c>
      <c r="D46" s="27" t="str">
        <f ca="1">IFERROR(__xludf.DUMMYFUNCTION("""COMPUTED_VALUE"""),"")</f>
        <v/>
      </c>
      <c r="E46" s="15" t="str">
        <f ca="1">IFERROR(__xludf.DUMMYFUNCTION("""COMPUTED_VALUE"""),"")</f>
        <v/>
      </c>
      <c r="F46" s="51" t="str">
        <f ca="1">IFERROR(__xludf.DUMMYFUNCTION("""COMPUTED_VALUE"""),"")</f>
        <v/>
      </c>
      <c r="G46" s="16" t="str">
        <f ca="1">IFERROR(__xludf.DUMMYFUNCTION("""COMPUTED_VALUE"""),"")</f>
        <v/>
      </c>
      <c r="H46" s="17" t="str">
        <f ca="1">IFERROR(__xludf.DUMMYFUNCTION("""COMPUTED_VALUE"""),"")</f>
        <v/>
      </c>
      <c r="I46" s="17" t="str">
        <f ca="1">IFERROR(__xludf.DUMMYFUNCTION("""COMPUTED_VALUE"""),"")</f>
        <v/>
      </c>
      <c r="J46" s="17" t="str">
        <f ca="1">IFERROR(__xludf.DUMMYFUNCTION("""COMPUTED_VALUE"""),"")</f>
        <v/>
      </c>
      <c r="K46" s="18" t="str">
        <f ca="1">IFERROR(__xludf.DUMMYFUNCTION("""COMPUTED_VALUE"""),"")</f>
        <v/>
      </c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20"/>
      <c r="W46" s="20"/>
      <c r="X46" s="20"/>
      <c r="Y46" s="20"/>
      <c r="Z46" s="21"/>
      <c r="AA46" s="22"/>
      <c r="AB46" s="23"/>
    </row>
    <row r="47" spans="1:28" ht="13.5" customHeight="1" x14ac:dyDescent="0.35">
      <c r="A47" s="24" t="str">
        <f ca="1">IFERROR(__xludf.DUMMYFUNCTION("""COMPUTED_VALUE"""),"")</f>
        <v/>
      </c>
      <c r="B47" s="28" t="str">
        <f ca="1">IFERROR(__xludf.DUMMYFUNCTION("""COMPUTED_VALUE"""),"")</f>
        <v/>
      </c>
      <c r="C47" s="27" t="str">
        <f ca="1">IFERROR(__xludf.DUMMYFUNCTION("""COMPUTED_VALUE"""),"")</f>
        <v/>
      </c>
      <c r="D47" s="27" t="str">
        <f ca="1">IFERROR(__xludf.DUMMYFUNCTION("""COMPUTED_VALUE"""),"")</f>
        <v/>
      </c>
      <c r="E47" s="15" t="str">
        <f ca="1">IFERROR(__xludf.DUMMYFUNCTION("""COMPUTED_VALUE"""),"")</f>
        <v/>
      </c>
      <c r="F47" s="51" t="str">
        <f ca="1">IFERROR(__xludf.DUMMYFUNCTION("""COMPUTED_VALUE"""),"")</f>
        <v/>
      </c>
      <c r="G47" s="16" t="str">
        <f ca="1">IFERROR(__xludf.DUMMYFUNCTION("""COMPUTED_VALUE"""),"")</f>
        <v/>
      </c>
      <c r="H47" s="17" t="str">
        <f ca="1">IFERROR(__xludf.DUMMYFUNCTION("""COMPUTED_VALUE"""),"")</f>
        <v/>
      </c>
      <c r="I47" s="17" t="str">
        <f ca="1">IFERROR(__xludf.DUMMYFUNCTION("""COMPUTED_VALUE"""),"")</f>
        <v/>
      </c>
      <c r="J47" s="17" t="str">
        <f ca="1">IFERROR(__xludf.DUMMYFUNCTION("""COMPUTED_VALUE"""),"")</f>
        <v/>
      </c>
      <c r="K47" s="18" t="str">
        <f ca="1">IFERROR(__xludf.DUMMYFUNCTION("""COMPUTED_VALUE"""),"")</f>
        <v/>
      </c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20"/>
      <c r="W47" s="20"/>
      <c r="X47" s="20"/>
      <c r="Y47" s="20"/>
      <c r="Z47" s="21"/>
      <c r="AA47" s="22"/>
      <c r="AB47" s="23"/>
    </row>
    <row r="48" spans="1:28" ht="13.5" customHeight="1" x14ac:dyDescent="0.35">
      <c r="A48" s="24" t="str">
        <f ca="1">IFERROR(__xludf.DUMMYFUNCTION("""COMPUTED_VALUE"""),"")</f>
        <v/>
      </c>
      <c r="B48" s="28" t="str">
        <f ca="1">IFERROR(__xludf.DUMMYFUNCTION("""COMPUTED_VALUE"""),"")</f>
        <v/>
      </c>
      <c r="C48" s="27" t="str">
        <f ca="1">IFERROR(__xludf.DUMMYFUNCTION("""COMPUTED_VALUE"""),"")</f>
        <v/>
      </c>
      <c r="D48" s="27" t="str">
        <f ca="1">IFERROR(__xludf.DUMMYFUNCTION("""COMPUTED_VALUE"""),"")</f>
        <v/>
      </c>
      <c r="E48" s="15" t="str">
        <f ca="1">IFERROR(__xludf.DUMMYFUNCTION("""COMPUTED_VALUE"""),"")</f>
        <v/>
      </c>
      <c r="F48" s="51" t="str">
        <f ca="1">IFERROR(__xludf.DUMMYFUNCTION("""COMPUTED_VALUE"""),"")</f>
        <v/>
      </c>
      <c r="G48" s="16" t="str">
        <f ca="1">IFERROR(__xludf.DUMMYFUNCTION("""COMPUTED_VALUE"""),"")</f>
        <v/>
      </c>
      <c r="H48" s="17" t="str">
        <f ca="1">IFERROR(__xludf.DUMMYFUNCTION("""COMPUTED_VALUE"""),"")</f>
        <v/>
      </c>
      <c r="I48" s="17" t="str">
        <f ca="1">IFERROR(__xludf.DUMMYFUNCTION("""COMPUTED_VALUE"""),"")</f>
        <v/>
      </c>
      <c r="J48" s="17" t="str">
        <f ca="1">IFERROR(__xludf.DUMMYFUNCTION("""COMPUTED_VALUE"""),"")</f>
        <v/>
      </c>
      <c r="K48" s="18" t="str">
        <f ca="1">IFERROR(__xludf.DUMMYFUNCTION("""COMPUTED_VALUE"""),"")</f>
        <v/>
      </c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20"/>
      <c r="W48" s="20"/>
      <c r="X48" s="20"/>
      <c r="Y48" s="20"/>
      <c r="Z48" s="21"/>
      <c r="AA48" s="22"/>
      <c r="AB48" s="23"/>
    </row>
    <row r="49" spans="1:28" ht="13.5" customHeight="1" x14ac:dyDescent="0.35">
      <c r="A49" s="24" t="str">
        <f ca="1">IFERROR(__xludf.DUMMYFUNCTION("""COMPUTED_VALUE"""),"")</f>
        <v/>
      </c>
      <c r="B49" s="28" t="str">
        <f ca="1">IFERROR(__xludf.DUMMYFUNCTION("""COMPUTED_VALUE"""),"")</f>
        <v/>
      </c>
      <c r="C49" s="27" t="str">
        <f ca="1">IFERROR(__xludf.DUMMYFUNCTION("""COMPUTED_VALUE"""),"")</f>
        <v/>
      </c>
      <c r="D49" s="27" t="str">
        <f ca="1">IFERROR(__xludf.DUMMYFUNCTION("""COMPUTED_VALUE"""),"")</f>
        <v/>
      </c>
      <c r="E49" s="15" t="str">
        <f ca="1">IFERROR(__xludf.DUMMYFUNCTION("""COMPUTED_VALUE"""),"")</f>
        <v/>
      </c>
      <c r="F49" s="51" t="str">
        <f ca="1">IFERROR(__xludf.DUMMYFUNCTION("""COMPUTED_VALUE"""),"")</f>
        <v/>
      </c>
      <c r="G49" s="16" t="str">
        <f ca="1">IFERROR(__xludf.DUMMYFUNCTION("""COMPUTED_VALUE"""),"")</f>
        <v/>
      </c>
      <c r="H49" s="17" t="str">
        <f ca="1">IFERROR(__xludf.DUMMYFUNCTION("""COMPUTED_VALUE"""),"")</f>
        <v/>
      </c>
      <c r="I49" s="17" t="str">
        <f ca="1">IFERROR(__xludf.DUMMYFUNCTION("""COMPUTED_VALUE"""),"")</f>
        <v/>
      </c>
      <c r="J49" s="17" t="str">
        <f ca="1">IFERROR(__xludf.DUMMYFUNCTION("""COMPUTED_VALUE"""),"")</f>
        <v/>
      </c>
      <c r="K49" s="18" t="str">
        <f ca="1">IFERROR(__xludf.DUMMYFUNCTION("""COMPUTED_VALUE"""),"")</f>
        <v/>
      </c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20"/>
      <c r="W49" s="20"/>
      <c r="X49" s="20"/>
      <c r="Y49" s="20"/>
      <c r="Z49" s="21"/>
      <c r="AA49" s="22"/>
      <c r="AB49" s="23"/>
    </row>
    <row r="50" spans="1:28" ht="13.5" customHeight="1" x14ac:dyDescent="0.35">
      <c r="A50" s="24" t="str">
        <f ca="1">IFERROR(__xludf.DUMMYFUNCTION("""COMPUTED_VALUE"""),"")</f>
        <v/>
      </c>
      <c r="B50" s="28" t="str">
        <f ca="1">IFERROR(__xludf.DUMMYFUNCTION("""COMPUTED_VALUE"""),"")</f>
        <v/>
      </c>
      <c r="C50" s="27" t="str">
        <f ca="1">IFERROR(__xludf.DUMMYFUNCTION("""COMPUTED_VALUE"""),"")</f>
        <v/>
      </c>
      <c r="D50" s="27" t="str">
        <f ca="1">IFERROR(__xludf.DUMMYFUNCTION("""COMPUTED_VALUE"""),"")</f>
        <v/>
      </c>
      <c r="E50" s="15" t="str">
        <f ca="1">IFERROR(__xludf.DUMMYFUNCTION("""COMPUTED_VALUE"""),"")</f>
        <v/>
      </c>
      <c r="F50" s="51" t="str">
        <f ca="1">IFERROR(__xludf.DUMMYFUNCTION("""COMPUTED_VALUE"""),"")</f>
        <v/>
      </c>
      <c r="G50" s="16" t="str">
        <f ca="1">IFERROR(__xludf.DUMMYFUNCTION("""COMPUTED_VALUE"""),"")</f>
        <v/>
      </c>
      <c r="H50" s="17" t="str">
        <f ca="1">IFERROR(__xludf.DUMMYFUNCTION("""COMPUTED_VALUE"""),"")</f>
        <v/>
      </c>
      <c r="I50" s="17" t="str">
        <f ca="1">IFERROR(__xludf.DUMMYFUNCTION("""COMPUTED_VALUE"""),"")</f>
        <v/>
      </c>
      <c r="J50" s="17" t="str">
        <f ca="1">IFERROR(__xludf.DUMMYFUNCTION("""COMPUTED_VALUE"""),"")</f>
        <v/>
      </c>
      <c r="K50" s="18" t="str">
        <f ca="1">IFERROR(__xludf.DUMMYFUNCTION("""COMPUTED_VALUE"""),"")</f>
        <v/>
      </c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20"/>
      <c r="W50" s="20"/>
      <c r="X50" s="20"/>
      <c r="Y50" s="20"/>
      <c r="Z50" s="21"/>
      <c r="AA50" s="22"/>
      <c r="AB50" s="23"/>
    </row>
    <row r="51" spans="1:28" ht="13.5" customHeight="1" x14ac:dyDescent="0.35">
      <c r="A51" s="24" t="str">
        <f ca="1">IFERROR(__xludf.DUMMYFUNCTION("""COMPUTED_VALUE"""),"")</f>
        <v/>
      </c>
      <c r="B51" s="28" t="str">
        <f ca="1">IFERROR(__xludf.DUMMYFUNCTION("""COMPUTED_VALUE"""),"")</f>
        <v/>
      </c>
      <c r="C51" s="27" t="str">
        <f ca="1">IFERROR(__xludf.DUMMYFUNCTION("""COMPUTED_VALUE"""),"")</f>
        <v/>
      </c>
      <c r="D51" s="27" t="str">
        <f ca="1">IFERROR(__xludf.DUMMYFUNCTION("""COMPUTED_VALUE"""),"")</f>
        <v/>
      </c>
      <c r="E51" s="15" t="str">
        <f ca="1">IFERROR(__xludf.DUMMYFUNCTION("""COMPUTED_VALUE"""),"")</f>
        <v/>
      </c>
      <c r="F51" s="51" t="str">
        <f ca="1">IFERROR(__xludf.DUMMYFUNCTION("""COMPUTED_VALUE"""),"")</f>
        <v/>
      </c>
      <c r="G51" s="16" t="str">
        <f ca="1">IFERROR(__xludf.DUMMYFUNCTION("""COMPUTED_VALUE"""),"")</f>
        <v/>
      </c>
      <c r="H51" s="17" t="str">
        <f ca="1">IFERROR(__xludf.DUMMYFUNCTION("""COMPUTED_VALUE"""),"")</f>
        <v/>
      </c>
      <c r="I51" s="17" t="str">
        <f ca="1">IFERROR(__xludf.DUMMYFUNCTION("""COMPUTED_VALUE"""),"")</f>
        <v/>
      </c>
      <c r="J51" s="17" t="str">
        <f ca="1">IFERROR(__xludf.DUMMYFUNCTION("""COMPUTED_VALUE"""),"")</f>
        <v/>
      </c>
      <c r="K51" s="18" t="str">
        <f ca="1">IFERROR(__xludf.DUMMYFUNCTION("""COMPUTED_VALUE"""),"")</f>
        <v/>
      </c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20"/>
      <c r="W51" s="20"/>
      <c r="X51" s="20"/>
      <c r="Y51" s="20"/>
      <c r="Z51" s="21"/>
      <c r="AA51" s="22"/>
      <c r="AB51" s="23"/>
    </row>
    <row r="52" spans="1:28" ht="13.5" customHeight="1" x14ac:dyDescent="0.35">
      <c r="A52" s="24" t="str">
        <f ca="1">IFERROR(__xludf.DUMMYFUNCTION("""COMPUTED_VALUE"""),"")</f>
        <v/>
      </c>
      <c r="B52" s="28" t="str">
        <f ca="1">IFERROR(__xludf.DUMMYFUNCTION("""COMPUTED_VALUE"""),"")</f>
        <v/>
      </c>
      <c r="C52" s="27" t="str">
        <f ca="1">IFERROR(__xludf.DUMMYFUNCTION("""COMPUTED_VALUE"""),"")</f>
        <v/>
      </c>
      <c r="D52" s="27" t="str">
        <f ca="1">IFERROR(__xludf.DUMMYFUNCTION("""COMPUTED_VALUE"""),"")</f>
        <v/>
      </c>
      <c r="E52" s="15" t="str">
        <f ca="1">IFERROR(__xludf.DUMMYFUNCTION("""COMPUTED_VALUE"""),"")</f>
        <v/>
      </c>
      <c r="F52" s="51" t="str">
        <f ca="1">IFERROR(__xludf.DUMMYFUNCTION("""COMPUTED_VALUE"""),"")</f>
        <v/>
      </c>
      <c r="G52" s="16" t="str">
        <f ca="1">IFERROR(__xludf.DUMMYFUNCTION("""COMPUTED_VALUE"""),"")</f>
        <v/>
      </c>
      <c r="H52" s="17" t="str">
        <f ca="1">IFERROR(__xludf.DUMMYFUNCTION("""COMPUTED_VALUE"""),"")</f>
        <v/>
      </c>
      <c r="I52" s="17" t="str">
        <f ca="1">IFERROR(__xludf.DUMMYFUNCTION("""COMPUTED_VALUE"""),"")</f>
        <v/>
      </c>
      <c r="J52" s="17" t="str">
        <f ca="1">IFERROR(__xludf.DUMMYFUNCTION("""COMPUTED_VALUE"""),"")</f>
        <v/>
      </c>
      <c r="K52" s="18" t="str">
        <f ca="1">IFERROR(__xludf.DUMMYFUNCTION("""COMPUTED_VALUE"""),"")</f>
        <v/>
      </c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20"/>
      <c r="W52" s="20"/>
      <c r="X52" s="20"/>
      <c r="Y52" s="20"/>
      <c r="Z52" s="21"/>
      <c r="AA52" s="22"/>
      <c r="AB52" s="23"/>
    </row>
    <row r="53" spans="1:28" ht="13.5" customHeight="1" x14ac:dyDescent="0.35">
      <c r="A53" s="24" t="str">
        <f ca="1">IFERROR(__xludf.DUMMYFUNCTION("""COMPUTED_VALUE"""),"")</f>
        <v/>
      </c>
      <c r="B53" s="28" t="str">
        <f ca="1">IFERROR(__xludf.DUMMYFUNCTION("""COMPUTED_VALUE"""),"")</f>
        <v/>
      </c>
      <c r="C53" s="27" t="str">
        <f ca="1">IFERROR(__xludf.DUMMYFUNCTION("""COMPUTED_VALUE"""),"")</f>
        <v/>
      </c>
      <c r="D53" s="27" t="str">
        <f ca="1">IFERROR(__xludf.DUMMYFUNCTION("""COMPUTED_VALUE"""),"")</f>
        <v/>
      </c>
      <c r="E53" s="15" t="str">
        <f ca="1">IFERROR(__xludf.DUMMYFUNCTION("""COMPUTED_VALUE"""),"")</f>
        <v/>
      </c>
      <c r="F53" s="51" t="str">
        <f ca="1">IFERROR(__xludf.DUMMYFUNCTION("""COMPUTED_VALUE"""),"")</f>
        <v/>
      </c>
      <c r="G53" s="16" t="str">
        <f ca="1">IFERROR(__xludf.DUMMYFUNCTION("""COMPUTED_VALUE"""),"")</f>
        <v/>
      </c>
      <c r="H53" s="17" t="str">
        <f ca="1">IFERROR(__xludf.DUMMYFUNCTION("""COMPUTED_VALUE"""),"")</f>
        <v/>
      </c>
      <c r="I53" s="17" t="str">
        <f ca="1">IFERROR(__xludf.DUMMYFUNCTION("""COMPUTED_VALUE"""),"")</f>
        <v/>
      </c>
      <c r="J53" s="17" t="str">
        <f ca="1">IFERROR(__xludf.DUMMYFUNCTION("""COMPUTED_VALUE"""),"")</f>
        <v/>
      </c>
      <c r="K53" s="18" t="str">
        <f ca="1">IFERROR(__xludf.DUMMYFUNCTION("""COMPUTED_VALUE"""),"")</f>
        <v/>
      </c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20"/>
      <c r="W53" s="20"/>
      <c r="X53" s="20"/>
      <c r="Y53" s="20"/>
      <c r="Z53" s="21"/>
      <c r="AA53" s="22"/>
      <c r="AB53" s="23"/>
    </row>
    <row r="54" spans="1:28" ht="13.5" customHeight="1" x14ac:dyDescent="0.35">
      <c r="A54" s="24" t="str">
        <f ca="1">IFERROR(__xludf.DUMMYFUNCTION("""COMPUTED_VALUE"""),"")</f>
        <v/>
      </c>
      <c r="B54" s="28" t="str">
        <f ca="1">IFERROR(__xludf.DUMMYFUNCTION("""COMPUTED_VALUE"""),"")</f>
        <v/>
      </c>
      <c r="C54" s="27" t="str">
        <f ca="1">IFERROR(__xludf.DUMMYFUNCTION("""COMPUTED_VALUE"""),"")</f>
        <v/>
      </c>
      <c r="D54" s="27" t="str">
        <f ca="1">IFERROR(__xludf.DUMMYFUNCTION("""COMPUTED_VALUE"""),"")</f>
        <v/>
      </c>
      <c r="E54" s="15" t="str">
        <f ca="1">IFERROR(__xludf.DUMMYFUNCTION("""COMPUTED_VALUE"""),"")</f>
        <v/>
      </c>
      <c r="F54" s="51" t="str">
        <f ca="1">IFERROR(__xludf.DUMMYFUNCTION("""COMPUTED_VALUE"""),"")</f>
        <v/>
      </c>
      <c r="G54" s="16" t="str">
        <f ca="1">IFERROR(__xludf.DUMMYFUNCTION("""COMPUTED_VALUE"""),"")</f>
        <v/>
      </c>
      <c r="H54" s="17" t="str">
        <f ca="1">IFERROR(__xludf.DUMMYFUNCTION("""COMPUTED_VALUE"""),"")</f>
        <v/>
      </c>
      <c r="I54" s="17" t="str">
        <f ca="1">IFERROR(__xludf.DUMMYFUNCTION("""COMPUTED_VALUE"""),"")</f>
        <v/>
      </c>
      <c r="J54" s="17" t="str">
        <f ca="1">IFERROR(__xludf.DUMMYFUNCTION("""COMPUTED_VALUE"""),"")</f>
        <v/>
      </c>
      <c r="K54" s="18" t="str">
        <f ca="1">IFERROR(__xludf.DUMMYFUNCTION("""COMPUTED_VALUE"""),"")</f>
        <v/>
      </c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20"/>
      <c r="W54" s="20"/>
      <c r="X54" s="20"/>
      <c r="Y54" s="20"/>
      <c r="Z54" s="21"/>
      <c r="AA54" s="22"/>
      <c r="AB54" s="23"/>
    </row>
    <row r="55" spans="1:28" ht="13.5" customHeight="1" x14ac:dyDescent="0.35">
      <c r="A55" s="24" t="str">
        <f ca="1">IFERROR(__xludf.DUMMYFUNCTION("""COMPUTED_VALUE"""),"")</f>
        <v/>
      </c>
      <c r="B55" s="28" t="str">
        <f ca="1">IFERROR(__xludf.DUMMYFUNCTION("""COMPUTED_VALUE"""),"")</f>
        <v/>
      </c>
      <c r="C55" s="27" t="str">
        <f ca="1">IFERROR(__xludf.DUMMYFUNCTION("""COMPUTED_VALUE"""),"")</f>
        <v/>
      </c>
      <c r="D55" s="27" t="str">
        <f ca="1">IFERROR(__xludf.DUMMYFUNCTION("""COMPUTED_VALUE"""),"")</f>
        <v/>
      </c>
      <c r="E55" s="15" t="str">
        <f ca="1">IFERROR(__xludf.DUMMYFUNCTION("""COMPUTED_VALUE"""),"")</f>
        <v/>
      </c>
      <c r="F55" s="51" t="str">
        <f ca="1">IFERROR(__xludf.DUMMYFUNCTION("""COMPUTED_VALUE"""),"")</f>
        <v/>
      </c>
      <c r="G55" s="16" t="str">
        <f ca="1">IFERROR(__xludf.DUMMYFUNCTION("""COMPUTED_VALUE"""),"")</f>
        <v/>
      </c>
      <c r="H55" s="17" t="str">
        <f ca="1">IFERROR(__xludf.DUMMYFUNCTION("""COMPUTED_VALUE"""),"")</f>
        <v/>
      </c>
      <c r="I55" s="17" t="str">
        <f ca="1">IFERROR(__xludf.DUMMYFUNCTION("""COMPUTED_VALUE"""),"")</f>
        <v/>
      </c>
      <c r="J55" s="17" t="str">
        <f ca="1">IFERROR(__xludf.DUMMYFUNCTION("""COMPUTED_VALUE"""),"")</f>
        <v/>
      </c>
      <c r="K55" s="18" t="str">
        <f ca="1">IFERROR(__xludf.DUMMYFUNCTION("""COMPUTED_VALUE"""),"")</f>
        <v/>
      </c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20"/>
      <c r="W55" s="20"/>
      <c r="X55" s="20"/>
      <c r="Y55" s="20"/>
      <c r="Z55" s="21"/>
      <c r="AA55" s="22"/>
      <c r="AB55" s="23"/>
    </row>
    <row r="56" spans="1:28" ht="13.5" customHeight="1" x14ac:dyDescent="0.35">
      <c r="A56" s="24" t="str">
        <f ca="1">IFERROR(__xludf.DUMMYFUNCTION("""COMPUTED_VALUE"""),"")</f>
        <v/>
      </c>
      <c r="B56" s="28" t="str">
        <f ca="1">IFERROR(__xludf.DUMMYFUNCTION("""COMPUTED_VALUE"""),"")</f>
        <v/>
      </c>
      <c r="C56" s="27" t="str">
        <f ca="1">IFERROR(__xludf.DUMMYFUNCTION("""COMPUTED_VALUE"""),"")</f>
        <v/>
      </c>
      <c r="D56" s="27" t="str">
        <f ca="1">IFERROR(__xludf.DUMMYFUNCTION("""COMPUTED_VALUE"""),"")</f>
        <v/>
      </c>
      <c r="E56" s="15" t="str">
        <f ca="1">IFERROR(__xludf.DUMMYFUNCTION("""COMPUTED_VALUE"""),"")</f>
        <v/>
      </c>
      <c r="F56" s="51" t="str">
        <f ca="1">IFERROR(__xludf.DUMMYFUNCTION("""COMPUTED_VALUE"""),"")</f>
        <v/>
      </c>
      <c r="G56" s="16" t="str">
        <f ca="1">IFERROR(__xludf.DUMMYFUNCTION("""COMPUTED_VALUE"""),"")</f>
        <v/>
      </c>
      <c r="H56" s="17" t="str">
        <f ca="1">IFERROR(__xludf.DUMMYFUNCTION("""COMPUTED_VALUE"""),"")</f>
        <v/>
      </c>
      <c r="I56" s="17" t="str">
        <f ca="1">IFERROR(__xludf.DUMMYFUNCTION("""COMPUTED_VALUE"""),"")</f>
        <v/>
      </c>
      <c r="J56" s="17" t="str">
        <f ca="1">IFERROR(__xludf.DUMMYFUNCTION("""COMPUTED_VALUE"""),"")</f>
        <v/>
      </c>
      <c r="K56" s="18" t="str">
        <f ca="1">IFERROR(__xludf.DUMMYFUNCTION("""COMPUTED_VALUE"""),"")</f>
        <v/>
      </c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20"/>
      <c r="W56" s="20"/>
      <c r="X56" s="20"/>
      <c r="Y56" s="20"/>
      <c r="Z56" s="21"/>
      <c r="AA56" s="22"/>
      <c r="AB56" s="23"/>
    </row>
    <row r="57" spans="1:28" ht="13.5" customHeight="1" x14ac:dyDescent="0.35">
      <c r="A57" s="24" t="str">
        <f ca="1">IFERROR(__xludf.DUMMYFUNCTION("""COMPUTED_VALUE"""),"")</f>
        <v/>
      </c>
      <c r="B57" s="28" t="str">
        <f ca="1">IFERROR(__xludf.DUMMYFUNCTION("""COMPUTED_VALUE"""),"")</f>
        <v/>
      </c>
      <c r="C57" s="27" t="str">
        <f ca="1">IFERROR(__xludf.DUMMYFUNCTION("""COMPUTED_VALUE"""),"")</f>
        <v/>
      </c>
      <c r="D57" s="27" t="str">
        <f ca="1">IFERROR(__xludf.DUMMYFUNCTION("""COMPUTED_VALUE"""),"")</f>
        <v/>
      </c>
      <c r="E57" s="15" t="str">
        <f ca="1">IFERROR(__xludf.DUMMYFUNCTION("""COMPUTED_VALUE"""),"")</f>
        <v/>
      </c>
      <c r="F57" s="51" t="str">
        <f ca="1">IFERROR(__xludf.DUMMYFUNCTION("""COMPUTED_VALUE"""),"")</f>
        <v/>
      </c>
      <c r="G57" s="16" t="str">
        <f ca="1">IFERROR(__xludf.DUMMYFUNCTION("""COMPUTED_VALUE"""),"")</f>
        <v/>
      </c>
      <c r="H57" s="17" t="str">
        <f ca="1">IFERROR(__xludf.DUMMYFUNCTION("""COMPUTED_VALUE"""),"")</f>
        <v/>
      </c>
      <c r="I57" s="17" t="str">
        <f ca="1">IFERROR(__xludf.DUMMYFUNCTION("""COMPUTED_VALUE"""),"")</f>
        <v/>
      </c>
      <c r="J57" s="17" t="str">
        <f ca="1">IFERROR(__xludf.DUMMYFUNCTION("""COMPUTED_VALUE"""),"")</f>
        <v/>
      </c>
      <c r="K57" s="18" t="str">
        <f ca="1">IFERROR(__xludf.DUMMYFUNCTION("""COMPUTED_VALUE"""),"")</f>
        <v/>
      </c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20"/>
      <c r="W57" s="20"/>
      <c r="X57" s="20"/>
      <c r="Y57" s="20"/>
      <c r="Z57" s="21"/>
      <c r="AA57" s="22"/>
      <c r="AB57" s="23"/>
    </row>
    <row r="58" spans="1:28" ht="13.5" customHeight="1" x14ac:dyDescent="0.35">
      <c r="A58" s="24" t="str">
        <f ca="1">IFERROR(__xludf.DUMMYFUNCTION("""COMPUTED_VALUE"""),"")</f>
        <v/>
      </c>
      <c r="B58" s="28" t="str">
        <f ca="1">IFERROR(__xludf.DUMMYFUNCTION("""COMPUTED_VALUE"""),"")</f>
        <v/>
      </c>
      <c r="C58" s="27" t="str">
        <f ca="1">IFERROR(__xludf.DUMMYFUNCTION("""COMPUTED_VALUE"""),"")</f>
        <v/>
      </c>
      <c r="D58" s="27" t="str">
        <f ca="1">IFERROR(__xludf.DUMMYFUNCTION("""COMPUTED_VALUE"""),"")</f>
        <v/>
      </c>
      <c r="E58" s="15" t="str">
        <f ca="1">IFERROR(__xludf.DUMMYFUNCTION("""COMPUTED_VALUE"""),"")</f>
        <v/>
      </c>
      <c r="F58" s="51" t="str">
        <f ca="1">IFERROR(__xludf.DUMMYFUNCTION("""COMPUTED_VALUE"""),"")</f>
        <v/>
      </c>
      <c r="G58" s="16" t="str">
        <f ca="1">IFERROR(__xludf.DUMMYFUNCTION("""COMPUTED_VALUE"""),"")</f>
        <v/>
      </c>
      <c r="H58" s="17" t="str">
        <f ca="1">IFERROR(__xludf.DUMMYFUNCTION("""COMPUTED_VALUE"""),"")</f>
        <v/>
      </c>
      <c r="I58" s="17" t="str">
        <f ca="1">IFERROR(__xludf.DUMMYFUNCTION("""COMPUTED_VALUE"""),"")</f>
        <v/>
      </c>
      <c r="J58" s="17" t="str">
        <f ca="1">IFERROR(__xludf.DUMMYFUNCTION("""COMPUTED_VALUE"""),"")</f>
        <v/>
      </c>
      <c r="K58" s="18" t="str">
        <f ca="1">IFERROR(__xludf.DUMMYFUNCTION("""COMPUTED_VALUE"""),"")</f>
        <v/>
      </c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20"/>
      <c r="W58" s="20"/>
      <c r="X58" s="20"/>
      <c r="Y58" s="20"/>
      <c r="Z58" s="21"/>
      <c r="AA58" s="22"/>
      <c r="AB58" s="23"/>
    </row>
    <row r="59" spans="1:28" ht="13.5" customHeight="1" x14ac:dyDescent="0.35">
      <c r="A59" s="24" t="str">
        <f ca="1">IFERROR(__xludf.DUMMYFUNCTION("""COMPUTED_VALUE"""),"")</f>
        <v/>
      </c>
      <c r="B59" s="28" t="str">
        <f ca="1">IFERROR(__xludf.DUMMYFUNCTION("""COMPUTED_VALUE"""),"")</f>
        <v/>
      </c>
      <c r="C59" s="27" t="str">
        <f ca="1">IFERROR(__xludf.DUMMYFUNCTION("""COMPUTED_VALUE"""),"")</f>
        <v/>
      </c>
      <c r="D59" s="27" t="str">
        <f ca="1">IFERROR(__xludf.DUMMYFUNCTION("""COMPUTED_VALUE"""),"")</f>
        <v/>
      </c>
      <c r="E59" s="15" t="str">
        <f ca="1">IFERROR(__xludf.DUMMYFUNCTION("""COMPUTED_VALUE"""),"")</f>
        <v/>
      </c>
      <c r="F59" s="51" t="str">
        <f ca="1">IFERROR(__xludf.DUMMYFUNCTION("""COMPUTED_VALUE"""),"")</f>
        <v/>
      </c>
      <c r="G59" s="16" t="str">
        <f ca="1">IFERROR(__xludf.DUMMYFUNCTION("""COMPUTED_VALUE"""),"")</f>
        <v/>
      </c>
      <c r="H59" s="17" t="str">
        <f ca="1">IFERROR(__xludf.DUMMYFUNCTION("""COMPUTED_VALUE"""),"")</f>
        <v/>
      </c>
      <c r="I59" s="17" t="str">
        <f ca="1">IFERROR(__xludf.DUMMYFUNCTION("""COMPUTED_VALUE"""),"")</f>
        <v/>
      </c>
      <c r="J59" s="17" t="str">
        <f ca="1">IFERROR(__xludf.DUMMYFUNCTION("""COMPUTED_VALUE"""),"")</f>
        <v/>
      </c>
      <c r="K59" s="18" t="str">
        <f ca="1">IFERROR(__xludf.DUMMYFUNCTION("""COMPUTED_VALUE"""),"")</f>
        <v/>
      </c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20"/>
      <c r="W59" s="20"/>
      <c r="X59" s="20"/>
      <c r="Y59" s="20"/>
      <c r="Z59" s="21"/>
      <c r="AA59" s="22"/>
      <c r="AB59" s="23"/>
    </row>
    <row r="60" spans="1:28" ht="13.5" customHeight="1" x14ac:dyDescent="0.35">
      <c r="A60" s="24" t="str">
        <f ca="1">IFERROR(__xludf.DUMMYFUNCTION("""COMPUTED_VALUE"""),"")</f>
        <v/>
      </c>
      <c r="B60" s="28" t="str">
        <f ca="1">IFERROR(__xludf.DUMMYFUNCTION("""COMPUTED_VALUE"""),"")</f>
        <v/>
      </c>
      <c r="C60" s="27" t="str">
        <f ca="1">IFERROR(__xludf.DUMMYFUNCTION("""COMPUTED_VALUE"""),"")</f>
        <v/>
      </c>
      <c r="D60" s="27" t="str">
        <f ca="1">IFERROR(__xludf.DUMMYFUNCTION("""COMPUTED_VALUE"""),"")</f>
        <v/>
      </c>
      <c r="E60" s="15" t="str">
        <f ca="1">IFERROR(__xludf.DUMMYFUNCTION("""COMPUTED_VALUE"""),"")</f>
        <v/>
      </c>
      <c r="F60" s="51" t="str">
        <f ca="1">IFERROR(__xludf.DUMMYFUNCTION("""COMPUTED_VALUE"""),"")</f>
        <v/>
      </c>
      <c r="G60" s="16" t="str">
        <f ca="1">IFERROR(__xludf.DUMMYFUNCTION("""COMPUTED_VALUE"""),"")</f>
        <v/>
      </c>
      <c r="H60" s="17" t="str">
        <f ca="1">IFERROR(__xludf.DUMMYFUNCTION("""COMPUTED_VALUE"""),"")</f>
        <v/>
      </c>
      <c r="I60" s="17" t="str">
        <f ca="1">IFERROR(__xludf.DUMMYFUNCTION("""COMPUTED_VALUE"""),"")</f>
        <v/>
      </c>
      <c r="J60" s="17" t="str">
        <f ca="1">IFERROR(__xludf.DUMMYFUNCTION("""COMPUTED_VALUE"""),"")</f>
        <v/>
      </c>
      <c r="K60" s="18" t="str">
        <f ca="1">IFERROR(__xludf.DUMMYFUNCTION("""COMPUTED_VALUE"""),"")</f>
        <v/>
      </c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20"/>
      <c r="W60" s="20"/>
      <c r="X60" s="20"/>
      <c r="Y60" s="20"/>
      <c r="Z60" s="21"/>
      <c r="AA60" s="22"/>
      <c r="AB60" s="23"/>
    </row>
    <row r="61" spans="1:28" ht="13.5" customHeight="1" x14ac:dyDescent="0.35">
      <c r="A61" s="24" t="str">
        <f ca="1">IFERROR(__xludf.DUMMYFUNCTION("""COMPUTED_VALUE"""),"")</f>
        <v/>
      </c>
      <c r="B61" s="28" t="str">
        <f ca="1">IFERROR(__xludf.DUMMYFUNCTION("""COMPUTED_VALUE"""),"")</f>
        <v/>
      </c>
      <c r="C61" s="27" t="str">
        <f ca="1">IFERROR(__xludf.DUMMYFUNCTION("""COMPUTED_VALUE"""),"")</f>
        <v/>
      </c>
      <c r="D61" s="27" t="str">
        <f ca="1">IFERROR(__xludf.DUMMYFUNCTION("""COMPUTED_VALUE"""),"")</f>
        <v/>
      </c>
      <c r="E61" s="15" t="str">
        <f ca="1">IFERROR(__xludf.DUMMYFUNCTION("""COMPUTED_VALUE"""),"")</f>
        <v/>
      </c>
      <c r="F61" s="51" t="str">
        <f ca="1">IFERROR(__xludf.DUMMYFUNCTION("""COMPUTED_VALUE"""),"")</f>
        <v/>
      </c>
      <c r="G61" s="16" t="str">
        <f ca="1">IFERROR(__xludf.DUMMYFUNCTION("""COMPUTED_VALUE"""),"")</f>
        <v/>
      </c>
      <c r="H61" s="17" t="str">
        <f ca="1">IFERROR(__xludf.DUMMYFUNCTION("""COMPUTED_VALUE"""),"")</f>
        <v/>
      </c>
      <c r="I61" s="17" t="str">
        <f ca="1">IFERROR(__xludf.DUMMYFUNCTION("""COMPUTED_VALUE"""),"")</f>
        <v/>
      </c>
      <c r="J61" s="17" t="str">
        <f ca="1">IFERROR(__xludf.DUMMYFUNCTION("""COMPUTED_VALUE"""),"")</f>
        <v/>
      </c>
      <c r="K61" s="18" t="str">
        <f ca="1">IFERROR(__xludf.DUMMYFUNCTION("""COMPUTED_VALUE"""),"")</f>
        <v/>
      </c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20"/>
      <c r="W61" s="20"/>
      <c r="X61" s="20"/>
      <c r="Y61" s="20"/>
      <c r="Z61" s="21"/>
      <c r="AA61" s="22"/>
      <c r="AB61" s="23"/>
    </row>
    <row r="62" spans="1:28" ht="13.5" customHeight="1" x14ac:dyDescent="0.35">
      <c r="A62" s="24" t="str">
        <f ca="1">IFERROR(__xludf.DUMMYFUNCTION("""COMPUTED_VALUE"""),"")</f>
        <v/>
      </c>
      <c r="B62" s="28" t="str">
        <f ca="1">IFERROR(__xludf.DUMMYFUNCTION("""COMPUTED_VALUE"""),"")</f>
        <v/>
      </c>
      <c r="C62" s="27" t="str">
        <f ca="1">IFERROR(__xludf.DUMMYFUNCTION("""COMPUTED_VALUE"""),"")</f>
        <v/>
      </c>
      <c r="D62" s="27" t="str">
        <f ca="1">IFERROR(__xludf.DUMMYFUNCTION("""COMPUTED_VALUE"""),"")</f>
        <v/>
      </c>
      <c r="E62" s="15" t="str">
        <f ca="1">IFERROR(__xludf.DUMMYFUNCTION("""COMPUTED_VALUE"""),"")</f>
        <v/>
      </c>
      <c r="F62" s="51" t="str">
        <f ca="1">IFERROR(__xludf.DUMMYFUNCTION("""COMPUTED_VALUE"""),"")</f>
        <v/>
      </c>
      <c r="G62" s="16" t="str">
        <f ca="1">IFERROR(__xludf.DUMMYFUNCTION("""COMPUTED_VALUE"""),"")</f>
        <v/>
      </c>
      <c r="H62" s="17" t="str">
        <f ca="1">IFERROR(__xludf.DUMMYFUNCTION("""COMPUTED_VALUE"""),"")</f>
        <v/>
      </c>
      <c r="I62" s="17" t="str">
        <f ca="1">IFERROR(__xludf.DUMMYFUNCTION("""COMPUTED_VALUE"""),"")</f>
        <v/>
      </c>
      <c r="J62" s="17" t="str">
        <f ca="1">IFERROR(__xludf.DUMMYFUNCTION("""COMPUTED_VALUE"""),"")</f>
        <v/>
      </c>
      <c r="K62" s="18" t="str">
        <f ca="1">IFERROR(__xludf.DUMMYFUNCTION("""COMPUTED_VALUE"""),"")</f>
        <v/>
      </c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20"/>
      <c r="W62" s="20"/>
      <c r="X62" s="20"/>
      <c r="Y62" s="20"/>
      <c r="Z62" s="21"/>
      <c r="AA62" s="22"/>
      <c r="AB62" s="23"/>
    </row>
    <row r="63" spans="1:28" ht="13.5" customHeight="1" x14ac:dyDescent="0.35">
      <c r="A63" s="24" t="str">
        <f ca="1">IFERROR(__xludf.DUMMYFUNCTION("""COMPUTED_VALUE"""),"")</f>
        <v/>
      </c>
      <c r="B63" s="28" t="str">
        <f ca="1">IFERROR(__xludf.DUMMYFUNCTION("""COMPUTED_VALUE"""),"")</f>
        <v/>
      </c>
      <c r="C63" s="27" t="str">
        <f ca="1">IFERROR(__xludf.DUMMYFUNCTION("""COMPUTED_VALUE"""),"")</f>
        <v/>
      </c>
      <c r="D63" s="27" t="str">
        <f ca="1">IFERROR(__xludf.DUMMYFUNCTION("""COMPUTED_VALUE"""),"")</f>
        <v/>
      </c>
      <c r="E63" s="15" t="str">
        <f ca="1">IFERROR(__xludf.DUMMYFUNCTION("""COMPUTED_VALUE"""),"")</f>
        <v/>
      </c>
      <c r="F63" s="51" t="str">
        <f ca="1">IFERROR(__xludf.DUMMYFUNCTION("""COMPUTED_VALUE"""),"")</f>
        <v/>
      </c>
      <c r="G63" s="16" t="str">
        <f ca="1">IFERROR(__xludf.DUMMYFUNCTION("""COMPUTED_VALUE"""),"")</f>
        <v/>
      </c>
      <c r="H63" s="17" t="str">
        <f ca="1">IFERROR(__xludf.DUMMYFUNCTION("""COMPUTED_VALUE"""),"")</f>
        <v/>
      </c>
      <c r="I63" s="17" t="str">
        <f ca="1">IFERROR(__xludf.DUMMYFUNCTION("""COMPUTED_VALUE"""),"")</f>
        <v/>
      </c>
      <c r="J63" s="17" t="str">
        <f ca="1">IFERROR(__xludf.DUMMYFUNCTION("""COMPUTED_VALUE"""),"")</f>
        <v/>
      </c>
      <c r="K63" s="18" t="str">
        <f ca="1">IFERROR(__xludf.DUMMYFUNCTION("""COMPUTED_VALUE"""),"")</f>
        <v/>
      </c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20"/>
      <c r="W63" s="20"/>
      <c r="X63" s="20"/>
      <c r="Y63" s="20"/>
      <c r="Z63" s="21"/>
      <c r="AA63" s="22"/>
      <c r="AB63" s="23"/>
    </row>
    <row r="64" spans="1:28" ht="13.5" customHeight="1" x14ac:dyDescent="0.35">
      <c r="A64" s="24" t="str">
        <f ca="1">IFERROR(__xludf.DUMMYFUNCTION("""COMPUTED_VALUE"""),"")</f>
        <v/>
      </c>
      <c r="B64" s="28" t="str">
        <f ca="1">IFERROR(__xludf.DUMMYFUNCTION("""COMPUTED_VALUE"""),"")</f>
        <v/>
      </c>
      <c r="C64" s="27" t="str">
        <f ca="1">IFERROR(__xludf.DUMMYFUNCTION("""COMPUTED_VALUE"""),"")</f>
        <v/>
      </c>
      <c r="D64" s="27" t="str">
        <f ca="1">IFERROR(__xludf.DUMMYFUNCTION("""COMPUTED_VALUE"""),"")</f>
        <v/>
      </c>
      <c r="E64" s="15" t="str">
        <f ca="1">IFERROR(__xludf.DUMMYFUNCTION("""COMPUTED_VALUE"""),"")</f>
        <v/>
      </c>
      <c r="F64" s="51" t="str">
        <f ca="1">IFERROR(__xludf.DUMMYFUNCTION("""COMPUTED_VALUE"""),"")</f>
        <v/>
      </c>
      <c r="G64" s="16" t="str">
        <f ca="1">IFERROR(__xludf.DUMMYFUNCTION("""COMPUTED_VALUE"""),"")</f>
        <v/>
      </c>
      <c r="H64" s="17" t="str">
        <f ca="1">IFERROR(__xludf.DUMMYFUNCTION("""COMPUTED_VALUE"""),"")</f>
        <v/>
      </c>
      <c r="I64" s="17" t="str">
        <f ca="1">IFERROR(__xludf.DUMMYFUNCTION("""COMPUTED_VALUE"""),"")</f>
        <v/>
      </c>
      <c r="J64" s="17" t="str">
        <f ca="1">IFERROR(__xludf.DUMMYFUNCTION("""COMPUTED_VALUE"""),"")</f>
        <v/>
      </c>
      <c r="K64" s="18" t="str">
        <f ca="1">IFERROR(__xludf.DUMMYFUNCTION("""COMPUTED_VALUE"""),"")</f>
        <v/>
      </c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20"/>
      <c r="W64" s="20"/>
      <c r="X64" s="20"/>
      <c r="Y64" s="20"/>
      <c r="Z64" s="21"/>
      <c r="AA64" s="22"/>
      <c r="AB64" s="23"/>
    </row>
    <row r="65" spans="1:28" ht="13.5" customHeight="1" x14ac:dyDescent="0.35">
      <c r="A65" s="24" t="str">
        <f ca="1">IFERROR(__xludf.DUMMYFUNCTION("""COMPUTED_VALUE"""),"")</f>
        <v/>
      </c>
      <c r="B65" s="28" t="str">
        <f ca="1">IFERROR(__xludf.DUMMYFUNCTION("""COMPUTED_VALUE"""),"")</f>
        <v/>
      </c>
      <c r="C65" s="27" t="str">
        <f ca="1">IFERROR(__xludf.DUMMYFUNCTION("""COMPUTED_VALUE"""),"")</f>
        <v/>
      </c>
      <c r="D65" s="27" t="str">
        <f ca="1">IFERROR(__xludf.DUMMYFUNCTION("""COMPUTED_VALUE"""),"")</f>
        <v/>
      </c>
      <c r="E65" s="15" t="str">
        <f ca="1">IFERROR(__xludf.DUMMYFUNCTION("""COMPUTED_VALUE"""),"")</f>
        <v/>
      </c>
      <c r="F65" s="51" t="str">
        <f ca="1">IFERROR(__xludf.DUMMYFUNCTION("""COMPUTED_VALUE"""),"")</f>
        <v/>
      </c>
      <c r="G65" s="16" t="str">
        <f ca="1">IFERROR(__xludf.DUMMYFUNCTION("""COMPUTED_VALUE"""),"")</f>
        <v/>
      </c>
      <c r="H65" s="17" t="str">
        <f ca="1">IFERROR(__xludf.DUMMYFUNCTION("""COMPUTED_VALUE"""),"")</f>
        <v/>
      </c>
      <c r="I65" s="17" t="str">
        <f ca="1">IFERROR(__xludf.DUMMYFUNCTION("""COMPUTED_VALUE"""),"")</f>
        <v/>
      </c>
      <c r="J65" s="17" t="str">
        <f ca="1">IFERROR(__xludf.DUMMYFUNCTION("""COMPUTED_VALUE"""),"")</f>
        <v/>
      </c>
      <c r="K65" s="18" t="str">
        <f ca="1">IFERROR(__xludf.DUMMYFUNCTION("""COMPUTED_VALUE"""),"")</f>
        <v/>
      </c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20"/>
      <c r="W65" s="20"/>
      <c r="X65" s="20"/>
      <c r="Y65" s="20"/>
      <c r="Z65" s="21"/>
      <c r="AA65" s="22"/>
      <c r="AB65" s="23"/>
    </row>
    <row r="66" spans="1:28" ht="13.5" customHeight="1" x14ac:dyDescent="0.35">
      <c r="A66" s="24" t="str">
        <f ca="1">IFERROR(__xludf.DUMMYFUNCTION("""COMPUTED_VALUE"""),"")</f>
        <v/>
      </c>
      <c r="B66" s="28" t="str">
        <f ca="1">IFERROR(__xludf.DUMMYFUNCTION("""COMPUTED_VALUE"""),"")</f>
        <v/>
      </c>
      <c r="C66" s="27" t="str">
        <f ca="1">IFERROR(__xludf.DUMMYFUNCTION("""COMPUTED_VALUE"""),"")</f>
        <v/>
      </c>
      <c r="D66" s="27" t="str">
        <f ca="1">IFERROR(__xludf.DUMMYFUNCTION("""COMPUTED_VALUE"""),"")</f>
        <v/>
      </c>
      <c r="E66" s="15" t="str">
        <f ca="1">IFERROR(__xludf.DUMMYFUNCTION("""COMPUTED_VALUE"""),"")</f>
        <v/>
      </c>
      <c r="F66" s="51" t="str">
        <f ca="1">IFERROR(__xludf.DUMMYFUNCTION("""COMPUTED_VALUE"""),"")</f>
        <v/>
      </c>
      <c r="G66" s="16" t="str">
        <f ca="1">IFERROR(__xludf.DUMMYFUNCTION("""COMPUTED_VALUE"""),"")</f>
        <v/>
      </c>
      <c r="H66" s="17" t="str">
        <f ca="1">IFERROR(__xludf.DUMMYFUNCTION("""COMPUTED_VALUE"""),"")</f>
        <v/>
      </c>
      <c r="I66" s="17" t="str">
        <f ca="1">IFERROR(__xludf.DUMMYFUNCTION("""COMPUTED_VALUE"""),"")</f>
        <v/>
      </c>
      <c r="J66" s="17" t="str">
        <f ca="1">IFERROR(__xludf.DUMMYFUNCTION("""COMPUTED_VALUE"""),"")</f>
        <v/>
      </c>
      <c r="K66" s="18" t="str">
        <f ca="1">IFERROR(__xludf.DUMMYFUNCTION("""COMPUTED_VALUE"""),"")</f>
        <v/>
      </c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20"/>
      <c r="W66" s="20"/>
      <c r="X66" s="20"/>
      <c r="Y66" s="20"/>
      <c r="Z66" s="21"/>
      <c r="AA66" s="22"/>
      <c r="AB66" s="23"/>
    </row>
    <row r="67" spans="1:28" ht="13.5" customHeight="1" x14ac:dyDescent="0.35">
      <c r="A67" s="24" t="str">
        <f ca="1">IFERROR(__xludf.DUMMYFUNCTION("""COMPUTED_VALUE"""),"")</f>
        <v/>
      </c>
      <c r="B67" s="28" t="str">
        <f ca="1">IFERROR(__xludf.DUMMYFUNCTION("""COMPUTED_VALUE"""),"")</f>
        <v/>
      </c>
      <c r="C67" s="27" t="str">
        <f ca="1">IFERROR(__xludf.DUMMYFUNCTION("""COMPUTED_VALUE"""),"")</f>
        <v/>
      </c>
      <c r="D67" s="27" t="str">
        <f ca="1">IFERROR(__xludf.DUMMYFUNCTION("""COMPUTED_VALUE"""),"")</f>
        <v/>
      </c>
      <c r="E67" s="15" t="str">
        <f ca="1">IFERROR(__xludf.DUMMYFUNCTION("""COMPUTED_VALUE"""),"")</f>
        <v/>
      </c>
      <c r="F67" s="51" t="str">
        <f ca="1">IFERROR(__xludf.DUMMYFUNCTION("""COMPUTED_VALUE"""),"")</f>
        <v/>
      </c>
      <c r="G67" s="16" t="str">
        <f ca="1">IFERROR(__xludf.DUMMYFUNCTION("""COMPUTED_VALUE"""),"")</f>
        <v/>
      </c>
      <c r="H67" s="17" t="str">
        <f ca="1">IFERROR(__xludf.DUMMYFUNCTION("""COMPUTED_VALUE"""),"")</f>
        <v/>
      </c>
      <c r="I67" s="17" t="str">
        <f ca="1">IFERROR(__xludf.DUMMYFUNCTION("""COMPUTED_VALUE"""),"")</f>
        <v/>
      </c>
      <c r="J67" s="17" t="str">
        <f ca="1">IFERROR(__xludf.DUMMYFUNCTION("""COMPUTED_VALUE"""),"")</f>
        <v/>
      </c>
      <c r="K67" s="18" t="str">
        <f ca="1">IFERROR(__xludf.DUMMYFUNCTION("""COMPUTED_VALUE"""),"")</f>
        <v/>
      </c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20"/>
      <c r="W67" s="20"/>
      <c r="X67" s="20"/>
      <c r="Y67" s="20"/>
      <c r="Z67" s="21"/>
      <c r="AA67" s="22"/>
      <c r="AB67" s="23"/>
    </row>
    <row r="68" spans="1:28" ht="13.5" customHeight="1" x14ac:dyDescent="0.35">
      <c r="A68" s="24" t="str">
        <f ca="1">IFERROR(__xludf.DUMMYFUNCTION("""COMPUTED_VALUE"""),"")</f>
        <v/>
      </c>
      <c r="B68" s="28" t="str">
        <f ca="1">IFERROR(__xludf.DUMMYFUNCTION("""COMPUTED_VALUE"""),"")</f>
        <v/>
      </c>
      <c r="C68" s="27" t="str">
        <f ca="1">IFERROR(__xludf.DUMMYFUNCTION("""COMPUTED_VALUE"""),"")</f>
        <v/>
      </c>
      <c r="D68" s="27" t="str">
        <f ca="1">IFERROR(__xludf.DUMMYFUNCTION("""COMPUTED_VALUE"""),"")</f>
        <v/>
      </c>
      <c r="E68" s="15" t="str">
        <f ca="1">IFERROR(__xludf.DUMMYFUNCTION("""COMPUTED_VALUE"""),"")</f>
        <v/>
      </c>
      <c r="F68" s="51" t="str">
        <f ca="1">IFERROR(__xludf.DUMMYFUNCTION("""COMPUTED_VALUE"""),"")</f>
        <v/>
      </c>
      <c r="G68" s="16" t="str">
        <f ca="1">IFERROR(__xludf.DUMMYFUNCTION("""COMPUTED_VALUE"""),"")</f>
        <v/>
      </c>
      <c r="H68" s="17" t="str">
        <f ca="1">IFERROR(__xludf.DUMMYFUNCTION("""COMPUTED_VALUE"""),"")</f>
        <v/>
      </c>
      <c r="I68" s="17" t="str">
        <f ca="1">IFERROR(__xludf.DUMMYFUNCTION("""COMPUTED_VALUE"""),"")</f>
        <v/>
      </c>
      <c r="J68" s="17" t="str">
        <f ca="1">IFERROR(__xludf.DUMMYFUNCTION("""COMPUTED_VALUE"""),"")</f>
        <v/>
      </c>
      <c r="K68" s="18" t="str">
        <f ca="1">IFERROR(__xludf.DUMMYFUNCTION("""COMPUTED_VALUE"""),"")</f>
        <v/>
      </c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20"/>
      <c r="W68" s="20"/>
      <c r="X68" s="20"/>
      <c r="Y68" s="20"/>
      <c r="Z68" s="21"/>
      <c r="AA68" s="22"/>
      <c r="AB68" s="23"/>
    </row>
    <row r="69" spans="1:28" ht="13.5" customHeight="1" x14ac:dyDescent="0.35">
      <c r="A69" s="24" t="str">
        <f ca="1">IFERROR(__xludf.DUMMYFUNCTION("""COMPUTED_VALUE"""),"")</f>
        <v/>
      </c>
      <c r="B69" s="28" t="str">
        <f ca="1">IFERROR(__xludf.DUMMYFUNCTION("""COMPUTED_VALUE"""),"")</f>
        <v/>
      </c>
      <c r="C69" s="27" t="str">
        <f ca="1">IFERROR(__xludf.DUMMYFUNCTION("""COMPUTED_VALUE"""),"")</f>
        <v/>
      </c>
      <c r="D69" s="27" t="str">
        <f ca="1">IFERROR(__xludf.DUMMYFUNCTION("""COMPUTED_VALUE"""),"")</f>
        <v/>
      </c>
      <c r="E69" s="15" t="str">
        <f ca="1">IFERROR(__xludf.DUMMYFUNCTION("""COMPUTED_VALUE"""),"")</f>
        <v/>
      </c>
      <c r="F69" s="51" t="str">
        <f ca="1">IFERROR(__xludf.DUMMYFUNCTION("""COMPUTED_VALUE"""),"")</f>
        <v/>
      </c>
      <c r="G69" s="16" t="str">
        <f ca="1">IFERROR(__xludf.DUMMYFUNCTION("""COMPUTED_VALUE"""),"")</f>
        <v/>
      </c>
      <c r="H69" s="17" t="str">
        <f ca="1">IFERROR(__xludf.DUMMYFUNCTION("""COMPUTED_VALUE"""),"")</f>
        <v/>
      </c>
      <c r="I69" s="17" t="str">
        <f ca="1">IFERROR(__xludf.DUMMYFUNCTION("""COMPUTED_VALUE"""),"")</f>
        <v/>
      </c>
      <c r="J69" s="17" t="str">
        <f ca="1">IFERROR(__xludf.DUMMYFUNCTION("""COMPUTED_VALUE"""),"")</f>
        <v/>
      </c>
      <c r="K69" s="18" t="str">
        <f ca="1">IFERROR(__xludf.DUMMYFUNCTION("""COMPUTED_VALUE"""),"")</f>
        <v/>
      </c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20"/>
      <c r="W69" s="20"/>
      <c r="X69" s="20"/>
      <c r="Y69" s="20"/>
      <c r="Z69" s="21"/>
      <c r="AA69" s="22"/>
      <c r="AB69" s="23"/>
    </row>
    <row r="70" spans="1:28" ht="13.5" customHeight="1" x14ac:dyDescent="0.35">
      <c r="A70" s="24" t="str">
        <f ca="1">IFERROR(__xludf.DUMMYFUNCTION("""COMPUTED_VALUE"""),"")</f>
        <v/>
      </c>
      <c r="B70" s="28" t="str">
        <f ca="1">IFERROR(__xludf.DUMMYFUNCTION("""COMPUTED_VALUE"""),"")</f>
        <v/>
      </c>
      <c r="C70" s="27" t="str">
        <f ca="1">IFERROR(__xludf.DUMMYFUNCTION("""COMPUTED_VALUE"""),"")</f>
        <v/>
      </c>
      <c r="D70" s="27" t="str">
        <f ca="1">IFERROR(__xludf.DUMMYFUNCTION("""COMPUTED_VALUE"""),"")</f>
        <v/>
      </c>
      <c r="E70" s="15" t="str">
        <f ca="1">IFERROR(__xludf.DUMMYFUNCTION("""COMPUTED_VALUE"""),"")</f>
        <v/>
      </c>
      <c r="F70" s="51" t="str">
        <f ca="1">IFERROR(__xludf.DUMMYFUNCTION("""COMPUTED_VALUE"""),"")</f>
        <v/>
      </c>
      <c r="G70" s="16" t="str">
        <f ca="1">IFERROR(__xludf.DUMMYFUNCTION("""COMPUTED_VALUE"""),"")</f>
        <v/>
      </c>
      <c r="H70" s="17" t="str">
        <f ca="1">IFERROR(__xludf.DUMMYFUNCTION("""COMPUTED_VALUE"""),"")</f>
        <v/>
      </c>
      <c r="I70" s="17" t="str">
        <f ca="1">IFERROR(__xludf.DUMMYFUNCTION("""COMPUTED_VALUE"""),"")</f>
        <v/>
      </c>
      <c r="J70" s="17" t="str">
        <f ca="1">IFERROR(__xludf.DUMMYFUNCTION("""COMPUTED_VALUE"""),"")</f>
        <v/>
      </c>
      <c r="K70" s="18" t="str">
        <f ca="1">IFERROR(__xludf.DUMMYFUNCTION("""COMPUTED_VALUE"""),"")</f>
        <v/>
      </c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20"/>
      <c r="W70" s="20"/>
      <c r="X70" s="20"/>
      <c r="Y70" s="20"/>
      <c r="Z70" s="21"/>
      <c r="AA70" s="22"/>
      <c r="AB70" s="23"/>
    </row>
    <row r="71" spans="1:28" ht="13.5" customHeight="1" x14ac:dyDescent="0.35">
      <c r="A71" s="24" t="str">
        <f ca="1">IFERROR(__xludf.DUMMYFUNCTION("""COMPUTED_VALUE"""),"")</f>
        <v/>
      </c>
      <c r="B71" s="28" t="str">
        <f ca="1">IFERROR(__xludf.DUMMYFUNCTION("""COMPUTED_VALUE"""),"")</f>
        <v/>
      </c>
      <c r="C71" s="27" t="str">
        <f ca="1">IFERROR(__xludf.DUMMYFUNCTION("""COMPUTED_VALUE"""),"")</f>
        <v/>
      </c>
      <c r="D71" s="27" t="str">
        <f ca="1">IFERROR(__xludf.DUMMYFUNCTION("""COMPUTED_VALUE"""),"")</f>
        <v/>
      </c>
      <c r="E71" s="15" t="str">
        <f ca="1">IFERROR(__xludf.DUMMYFUNCTION("""COMPUTED_VALUE"""),"")</f>
        <v/>
      </c>
      <c r="F71" s="51" t="str">
        <f ca="1">IFERROR(__xludf.DUMMYFUNCTION("""COMPUTED_VALUE"""),"")</f>
        <v/>
      </c>
      <c r="G71" s="16" t="str">
        <f ca="1">IFERROR(__xludf.DUMMYFUNCTION("""COMPUTED_VALUE"""),"")</f>
        <v/>
      </c>
      <c r="H71" s="17" t="str">
        <f ca="1">IFERROR(__xludf.DUMMYFUNCTION("""COMPUTED_VALUE"""),"")</f>
        <v/>
      </c>
      <c r="I71" s="17" t="str">
        <f ca="1">IFERROR(__xludf.DUMMYFUNCTION("""COMPUTED_VALUE"""),"")</f>
        <v/>
      </c>
      <c r="J71" s="17" t="str">
        <f ca="1">IFERROR(__xludf.DUMMYFUNCTION("""COMPUTED_VALUE"""),"")</f>
        <v/>
      </c>
      <c r="K71" s="18" t="str">
        <f ca="1">IFERROR(__xludf.DUMMYFUNCTION("""COMPUTED_VALUE"""),"")</f>
        <v/>
      </c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20"/>
      <c r="W71" s="20"/>
      <c r="X71" s="20"/>
      <c r="Y71" s="20"/>
      <c r="Z71" s="21"/>
      <c r="AA71" s="22"/>
      <c r="AB71" s="23"/>
    </row>
    <row r="72" spans="1:28" ht="13.5" customHeight="1" x14ac:dyDescent="0.35">
      <c r="A72" s="24" t="str">
        <f ca="1">IFERROR(__xludf.DUMMYFUNCTION("""COMPUTED_VALUE"""),"")</f>
        <v/>
      </c>
      <c r="B72" s="28" t="str">
        <f ca="1">IFERROR(__xludf.DUMMYFUNCTION("""COMPUTED_VALUE"""),"")</f>
        <v/>
      </c>
      <c r="C72" s="27" t="str">
        <f ca="1">IFERROR(__xludf.DUMMYFUNCTION("""COMPUTED_VALUE"""),"")</f>
        <v/>
      </c>
      <c r="D72" s="27" t="str">
        <f ca="1">IFERROR(__xludf.DUMMYFUNCTION("""COMPUTED_VALUE"""),"")</f>
        <v/>
      </c>
      <c r="E72" s="15" t="str">
        <f ca="1">IFERROR(__xludf.DUMMYFUNCTION("""COMPUTED_VALUE"""),"")</f>
        <v/>
      </c>
      <c r="F72" s="51" t="str">
        <f ca="1">IFERROR(__xludf.DUMMYFUNCTION("""COMPUTED_VALUE"""),"")</f>
        <v/>
      </c>
      <c r="G72" s="16" t="str">
        <f ca="1">IFERROR(__xludf.DUMMYFUNCTION("""COMPUTED_VALUE"""),"")</f>
        <v/>
      </c>
      <c r="H72" s="17" t="str">
        <f ca="1">IFERROR(__xludf.DUMMYFUNCTION("""COMPUTED_VALUE"""),"")</f>
        <v/>
      </c>
      <c r="I72" s="17" t="str">
        <f ca="1">IFERROR(__xludf.DUMMYFUNCTION("""COMPUTED_VALUE"""),"")</f>
        <v/>
      </c>
      <c r="J72" s="17" t="str">
        <f ca="1">IFERROR(__xludf.DUMMYFUNCTION("""COMPUTED_VALUE"""),"")</f>
        <v/>
      </c>
      <c r="K72" s="18" t="str">
        <f ca="1">IFERROR(__xludf.DUMMYFUNCTION("""COMPUTED_VALUE"""),"")</f>
        <v/>
      </c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20"/>
      <c r="W72" s="20"/>
      <c r="X72" s="20"/>
      <c r="Y72" s="20"/>
      <c r="Z72" s="21"/>
      <c r="AA72" s="22"/>
      <c r="AB72" s="23"/>
    </row>
    <row r="73" spans="1:28" ht="13.5" customHeight="1" x14ac:dyDescent="0.35">
      <c r="A73" s="24" t="str">
        <f ca="1">IFERROR(__xludf.DUMMYFUNCTION("""COMPUTED_VALUE"""),"")</f>
        <v/>
      </c>
      <c r="B73" s="28" t="str">
        <f ca="1">IFERROR(__xludf.DUMMYFUNCTION("""COMPUTED_VALUE"""),"")</f>
        <v/>
      </c>
      <c r="C73" s="27" t="str">
        <f ca="1">IFERROR(__xludf.DUMMYFUNCTION("""COMPUTED_VALUE"""),"")</f>
        <v/>
      </c>
      <c r="D73" s="27" t="str">
        <f ca="1">IFERROR(__xludf.DUMMYFUNCTION("""COMPUTED_VALUE"""),"")</f>
        <v/>
      </c>
      <c r="E73" s="15" t="str">
        <f ca="1">IFERROR(__xludf.DUMMYFUNCTION("""COMPUTED_VALUE"""),"")</f>
        <v/>
      </c>
      <c r="F73" s="51" t="str">
        <f ca="1">IFERROR(__xludf.DUMMYFUNCTION("""COMPUTED_VALUE"""),"")</f>
        <v/>
      </c>
      <c r="G73" s="16" t="str">
        <f ca="1">IFERROR(__xludf.DUMMYFUNCTION("""COMPUTED_VALUE"""),"")</f>
        <v/>
      </c>
      <c r="H73" s="17" t="str">
        <f ca="1">IFERROR(__xludf.DUMMYFUNCTION("""COMPUTED_VALUE"""),"")</f>
        <v/>
      </c>
      <c r="I73" s="17" t="str">
        <f ca="1">IFERROR(__xludf.DUMMYFUNCTION("""COMPUTED_VALUE"""),"")</f>
        <v/>
      </c>
      <c r="J73" s="17" t="str">
        <f ca="1">IFERROR(__xludf.DUMMYFUNCTION("""COMPUTED_VALUE"""),"")</f>
        <v/>
      </c>
      <c r="K73" s="18" t="str">
        <f ca="1">IFERROR(__xludf.DUMMYFUNCTION("""COMPUTED_VALUE"""),"")</f>
        <v/>
      </c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20"/>
      <c r="W73" s="20"/>
      <c r="X73" s="20"/>
      <c r="Y73" s="20"/>
      <c r="Z73" s="21"/>
      <c r="AA73" s="22"/>
      <c r="AB73" s="23"/>
    </row>
    <row r="74" spans="1:28" ht="13.5" customHeight="1" x14ac:dyDescent="0.35">
      <c r="A74" s="24" t="str">
        <f ca="1">IFERROR(__xludf.DUMMYFUNCTION("""COMPUTED_VALUE"""),"")</f>
        <v/>
      </c>
      <c r="B74" s="28" t="str">
        <f ca="1">IFERROR(__xludf.DUMMYFUNCTION("""COMPUTED_VALUE"""),"")</f>
        <v/>
      </c>
      <c r="C74" s="27" t="str">
        <f ca="1">IFERROR(__xludf.DUMMYFUNCTION("""COMPUTED_VALUE"""),"")</f>
        <v/>
      </c>
      <c r="D74" s="27" t="str">
        <f ca="1">IFERROR(__xludf.DUMMYFUNCTION("""COMPUTED_VALUE"""),"")</f>
        <v/>
      </c>
      <c r="E74" s="15" t="str">
        <f ca="1">IFERROR(__xludf.DUMMYFUNCTION("""COMPUTED_VALUE"""),"")</f>
        <v/>
      </c>
      <c r="F74" s="51" t="str">
        <f ca="1">IFERROR(__xludf.DUMMYFUNCTION("""COMPUTED_VALUE"""),"")</f>
        <v/>
      </c>
      <c r="G74" s="16" t="str">
        <f ca="1">IFERROR(__xludf.DUMMYFUNCTION("""COMPUTED_VALUE"""),"")</f>
        <v/>
      </c>
      <c r="H74" s="17" t="str">
        <f ca="1">IFERROR(__xludf.DUMMYFUNCTION("""COMPUTED_VALUE"""),"")</f>
        <v/>
      </c>
      <c r="I74" s="17" t="str">
        <f ca="1">IFERROR(__xludf.DUMMYFUNCTION("""COMPUTED_VALUE"""),"")</f>
        <v/>
      </c>
      <c r="J74" s="17" t="str">
        <f ca="1">IFERROR(__xludf.DUMMYFUNCTION("""COMPUTED_VALUE"""),"")</f>
        <v/>
      </c>
      <c r="K74" s="18" t="str">
        <f ca="1">IFERROR(__xludf.DUMMYFUNCTION("""COMPUTED_VALUE"""),"")</f>
        <v/>
      </c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20"/>
      <c r="W74" s="20"/>
      <c r="X74" s="20"/>
      <c r="Y74" s="20"/>
      <c r="Z74" s="21"/>
      <c r="AA74" s="22"/>
      <c r="AB74" s="23"/>
    </row>
    <row r="75" spans="1:28" ht="13.5" customHeight="1" x14ac:dyDescent="0.35">
      <c r="A75" s="24" t="str">
        <f ca="1">IFERROR(__xludf.DUMMYFUNCTION("""COMPUTED_VALUE"""),"")</f>
        <v/>
      </c>
      <c r="B75" s="28" t="str">
        <f ca="1">IFERROR(__xludf.DUMMYFUNCTION("""COMPUTED_VALUE"""),"")</f>
        <v/>
      </c>
      <c r="C75" s="27" t="str">
        <f ca="1">IFERROR(__xludf.DUMMYFUNCTION("""COMPUTED_VALUE"""),"")</f>
        <v/>
      </c>
      <c r="D75" s="27" t="str">
        <f ca="1">IFERROR(__xludf.DUMMYFUNCTION("""COMPUTED_VALUE"""),"")</f>
        <v/>
      </c>
      <c r="E75" s="15" t="str">
        <f ca="1">IFERROR(__xludf.DUMMYFUNCTION("""COMPUTED_VALUE"""),"")</f>
        <v/>
      </c>
      <c r="F75" s="51" t="str">
        <f ca="1">IFERROR(__xludf.DUMMYFUNCTION("""COMPUTED_VALUE"""),"")</f>
        <v/>
      </c>
      <c r="G75" s="16" t="str">
        <f ca="1">IFERROR(__xludf.DUMMYFUNCTION("""COMPUTED_VALUE"""),"")</f>
        <v/>
      </c>
      <c r="H75" s="17" t="str">
        <f ca="1">IFERROR(__xludf.DUMMYFUNCTION("""COMPUTED_VALUE"""),"")</f>
        <v/>
      </c>
      <c r="I75" s="17" t="str">
        <f ca="1">IFERROR(__xludf.DUMMYFUNCTION("""COMPUTED_VALUE"""),"")</f>
        <v/>
      </c>
      <c r="J75" s="17" t="str">
        <f ca="1">IFERROR(__xludf.DUMMYFUNCTION("""COMPUTED_VALUE"""),"")</f>
        <v/>
      </c>
      <c r="K75" s="18" t="str">
        <f ca="1">IFERROR(__xludf.DUMMYFUNCTION("""COMPUTED_VALUE"""),"")</f>
        <v/>
      </c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20"/>
      <c r="W75" s="20"/>
      <c r="X75" s="20"/>
      <c r="Y75" s="20"/>
      <c r="Z75" s="21"/>
      <c r="AA75" s="22"/>
      <c r="AB75" s="23"/>
    </row>
    <row r="76" spans="1:28" ht="13.5" customHeight="1" x14ac:dyDescent="0.35">
      <c r="A76" s="24" t="str">
        <f ca="1">IFERROR(__xludf.DUMMYFUNCTION("""COMPUTED_VALUE"""),"")</f>
        <v/>
      </c>
      <c r="B76" s="28" t="str">
        <f ca="1">IFERROR(__xludf.DUMMYFUNCTION("""COMPUTED_VALUE"""),"")</f>
        <v/>
      </c>
      <c r="C76" s="27" t="str">
        <f ca="1">IFERROR(__xludf.DUMMYFUNCTION("""COMPUTED_VALUE"""),"")</f>
        <v/>
      </c>
      <c r="D76" s="27" t="str">
        <f ca="1">IFERROR(__xludf.DUMMYFUNCTION("""COMPUTED_VALUE"""),"")</f>
        <v/>
      </c>
      <c r="E76" s="15" t="str">
        <f ca="1">IFERROR(__xludf.DUMMYFUNCTION("""COMPUTED_VALUE"""),"")</f>
        <v/>
      </c>
      <c r="F76" s="51" t="str">
        <f ca="1">IFERROR(__xludf.DUMMYFUNCTION("""COMPUTED_VALUE"""),"")</f>
        <v/>
      </c>
      <c r="G76" s="16" t="str">
        <f ca="1">IFERROR(__xludf.DUMMYFUNCTION("""COMPUTED_VALUE"""),"")</f>
        <v/>
      </c>
      <c r="H76" s="17" t="str">
        <f ca="1">IFERROR(__xludf.DUMMYFUNCTION("""COMPUTED_VALUE"""),"")</f>
        <v/>
      </c>
      <c r="I76" s="17" t="str">
        <f ca="1">IFERROR(__xludf.DUMMYFUNCTION("""COMPUTED_VALUE"""),"")</f>
        <v/>
      </c>
      <c r="J76" s="17" t="str">
        <f ca="1">IFERROR(__xludf.DUMMYFUNCTION("""COMPUTED_VALUE"""),"")</f>
        <v/>
      </c>
      <c r="K76" s="18" t="str">
        <f ca="1">IFERROR(__xludf.DUMMYFUNCTION("""COMPUTED_VALUE"""),"")</f>
        <v/>
      </c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20"/>
      <c r="W76" s="20"/>
      <c r="X76" s="20"/>
      <c r="Y76" s="20"/>
      <c r="Z76" s="21"/>
      <c r="AA76" s="22"/>
      <c r="AB76" s="23"/>
    </row>
    <row r="77" spans="1:28" ht="13.5" customHeight="1" x14ac:dyDescent="0.35">
      <c r="A77" s="24" t="str">
        <f ca="1">IFERROR(__xludf.DUMMYFUNCTION("""COMPUTED_VALUE"""),"")</f>
        <v/>
      </c>
      <c r="B77" s="28" t="str">
        <f ca="1">IFERROR(__xludf.DUMMYFUNCTION("""COMPUTED_VALUE"""),"")</f>
        <v/>
      </c>
      <c r="C77" s="27" t="str">
        <f ca="1">IFERROR(__xludf.DUMMYFUNCTION("""COMPUTED_VALUE"""),"")</f>
        <v/>
      </c>
      <c r="D77" s="27" t="str">
        <f ca="1">IFERROR(__xludf.DUMMYFUNCTION("""COMPUTED_VALUE"""),"")</f>
        <v/>
      </c>
      <c r="E77" s="15" t="str">
        <f ca="1">IFERROR(__xludf.DUMMYFUNCTION("""COMPUTED_VALUE"""),"")</f>
        <v/>
      </c>
      <c r="F77" s="51" t="str">
        <f ca="1">IFERROR(__xludf.DUMMYFUNCTION("""COMPUTED_VALUE"""),"")</f>
        <v/>
      </c>
      <c r="G77" s="16" t="str">
        <f ca="1">IFERROR(__xludf.DUMMYFUNCTION("""COMPUTED_VALUE"""),"")</f>
        <v/>
      </c>
      <c r="H77" s="17" t="str">
        <f ca="1">IFERROR(__xludf.DUMMYFUNCTION("""COMPUTED_VALUE"""),"")</f>
        <v/>
      </c>
      <c r="I77" s="17" t="str">
        <f ca="1">IFERROR(__xludf.DUMMYFUNCTION("""COMPUTED_VALUE"""),"")</f>
        <v/>
      </c>
      <c r="J77" s="17" t="str">
        <f ca="1">IFERROR(__xludf.DUMMYFUNCTION("""COMPUTED_VALUE"""),"")</f>
        <v/>
      </c>
      <c r="K77" s="18" t="str">
        <f ca="1">IFERROR(__xludf.DUMMYFUNCTION("""COMPUTED_VALUE"""),"")</f>
        <v/>
      </c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20"/>
      <c r="W77" s="20"/>
      <c r="X77" s="20"/>
      <c r="Y77" s="20"/>
      <c r="Z77" s="21"/>
      <c r="AA77" s="22"/>
      <c r="AB77" s="23"/>
    </row>
    <row r="78" spans="1:28" ht="13.5" customHeight="1" x14ac:dyDescent="0.35">
      <c r="A78" s="24" t="str">
        <f ca="1">IFERROR(__xludf.DUMMYFUNCTION("""COMPUTED_VALUE"""),"")</f>
        <v/>
      </c>
      <c r="B78" s="28" t="str">
        <f ca="1">IFERROR(__xludf.DUMMYFUNCTION("""COMPUTED_VALUE"""),"")</f>
        <v/>
      </c>
      <c r="C78" s="27" t="str">
        <f ca="1">IFERROR(__xludf.DUMMYFUNCTION("""COMPUTED_VALUE"""),"")</f>
        <v/>
      </c>
      <c r="D78" s="27" t="str">
        <f ca="1">IFERROR(__xludf.DUMMYFUNCTION("""COMPUTED_VALUE"""),"")</f>
        <v/>
      </c>
      <c r="E78" s="15" t="str">
        <f ca="1">IFERROR(__xludf.DUMMYFUNCTION("""COMPUTED_VALUE"""),"")</f>
        <v/>
      </c>
      <c r="F78" s="51" t="str">
        <f ca="1">IFERROR(__xludf.DUMMYFUNCTION("""COMPUTED_VALUE"""),"")</f>
        <v/>
      </c>
      <c r="G78" s="16" t="str">
        <f ca="1">IFERROR(__xludf.DUMMYFUNCTION("""COMPUTED_VALUE"""),"")</f>
        <v/>
      </c>
      <c r="H78" s="17" t="str">
        <f ca="1">IFERROR(__xludf.DUMMYFUNCTION("""COMPUTED_VALUE"""),"")</f>
        <v/>
      </c>
      <c r="I78" s="17" t="str">
        <f ca="1">IFERROR(__xludf.DUMMYFUNCTION("""COMPUTED_VALUE"""),"")</f>
        <v/>
      </c>
      <c r="J78" s="17" t="str">
        <f ca="1">IFERROR(__xludf.DUMMYFUNCTION("""COMPUTED_VALUE"""),"")</f>
        <v/>
      </c>
      <c r="K78" s="18" t="str">
        <f ca="1">IFERROR(__xludf.DUMMYFUNCTION("""COMPUTED_VALUE"""),"")</f>
        <v/>
      </c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20"/>
      <c r="W78" s="20"/>
      <c r="X78" s="20"/>
      <c r="Y78" s="20"/>
      <c r="Z78" s="21"/>
      <c r="AA78" s="22"/>
      <c r="AB78" s="23"/>
    </row>
    <row r="79" spans="1:28" ht="13.5" customHeight="1" x14ac:dyDescent="0.35">
      <c r="A79" s="24" t="str">
        <f ca="1">IFERROR(__xludf.DUMMYFUNCTION("""COMPUTED_VALUE"""),"")</f>
        <v/>
      </c>
      <c r="B79" s="28" t="str">
        <f ca="1">IFERROR(__xludf.DUMMYFUNCTION("""COMPUTED_VALUE"""),"")</f>
        <v/>
      </c>
      <c r="C79" s="27" t="str">
        <f ca="1">IFERROR(__xludf.DUMMYFUNCTION("""COMPUTED_VALUE"""),"")</f>
        <v/>
      </c>
      <c r="D79" s="27" t="str">
        <f ca="1">IFERROR(__xludf.DUMMYFUNCTION("""COMPUTED_VALUE"""),"")</f>
        <v/>
      </c>
      <c r="E79" s="15" t="str">
        <f ca="1">IFERROR(__xludf.DUMMYFUNCTION("""COMPUTED_VALUE"""),"")</f>
        <v/>
      </c>
      <c r="F79" s="51" t="str">
        <f ca="1">IFERROR(__xludf.DUMMYFUNCTION("""COMPUTED_VALUE"""),"")</f>
        <v/>
      </c>
      <c r="G79" s="16" t="str">
        <f ca="1">IFERROR(__xludf.DUMMYFUNCTION("""COMPUTED_VALUE"""),"")</f>
        <v/>
      </c>
      <c r="H79" s="17" t="str">
        <f ca="1">IFERROR(__xludf.DUMMYFUNCTION("""COMPUTED_VALUE"""),"")</f>
        <v/>
      </c>
      <c r="I79" s="17" t="str">
        <f ca="1">IFERROR(__xludf.DUMMYFUNCTION("""COMPUTED_VALUE"""),"")</f>
        <v/>
      </c>
      <c r="J79" s="17" t="str">
        <f ca="1">IFERROR(__xludf.DUMMYFUNCTION("""COMPUTED_VALUE"""),"")</f>
        <v/>
      </c>
      <c r="K79" s="18" t="str">
        <f ca="1">IFERROR(__xludf.DUMMYFUNCTION("""COMPUTED_VALUE"""),"")</f>
        <v/>
      </c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20"/>
      <c r="W79" s="20"/>
      <c r="X79" s="20"/>
      <c r="Y79" s="20"/>
      <c r="Z79" s="21"/>
      <c r="AA79" s="22"/>
      <c r="AB79" s="23"/>
    </row>
    <row r="80" spans="1:28" ht="13.5" customHeight="1" x14ac:dyDescent="0.35">
      <c r="A80" s="24" t="str">
        <f ca="1">IFERROR(__xludf.DUMMYFUNCTION("""COMPUTED_VALUE"""),"")</f>
        <v/>
      </c>
      <c r="B80" s="28" t="str">
        <f ca="1">IFERROR(__xludf.DUMMYFUNCTION("""COMPUTED_VALUE"""),"")</f>
        <v/>
      </c>
      <c r="C80" s="27" t="str">
        <f ca="1">IFERROR(__xludf.DUMMYFUNCTION("""COMPUTED_VALUE"""),"")</f>
        <v/>
      </c>
      <c r="D80" s="27" t="str">
        <f ca="1">IFERROR(__xludf.DUMMYFUNCTION("""COMPUTED_VALUE"""),"")</f>
        <v/>
      </c>
      <c r="E80" s="15" t="str">
        <f ca="1">IFERROR(__xludf.DUMMYFUNCTION("""COMPUTED_VALUE"""),"")</f>
        <v/>
      </c>
      <c r="F80" s="51" t="str">
        <f ca="1">IFERROR(__xludf.DUMMYFUNCTION("""COMPUTED_VALUE"""),"")</f>
        <v/>
      </c>
      <c r="G80" s="16" t="str">
        <f ca="1">IFERROR(__xludf.DUMMYFUNCTION("""COMPUTED_VALUE"""),"")</f>
        <v/>
      </c>
      <c r="H80" s="17" t="str">
        <f ca="1">IFERROR(__xludf.DUMMYFUNCTION("""COMPUTED_VALUE"""),"")</f>
        <v/>
      </c>
      <c r="I80" s="17" t="str">
        <f ca="1">IFERROR(__xludf.DUMMYFUNCTION("""COMPUTED_VALUE"""),"")</f>
        <v/>
      </c>
      <c r="J80" s="17" t="str">
        <f ca="1">IFERROR(__xludf.DUMMYFUNCTION("""COMPUTED_VALUE"""),"")</f>
        <v/>
      </c>
      <c r="K80" s="18" t="str">
        <f ca="1">IFERROR(__xludf.DUMMYFUNCTION("""COMPUTED_VALUE"""),"")</f>
        <v/>
      </c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20"/>
      <c r="W80" s="20"/>
      <c r="X80" s="20"/>
      <c r="Y80" s="20"/>
      <c r="Z80" s="21"/>
      <c r="AA80" s="22"/>
      <c r="AB80" s="23"/>
    </row>
    <row r="81" spans="1:28" ht="13.5" customHeight="1" x14ac:dyDescent="0.35">
      <c r="A81" s="24" t="str">
        <f ca="1">IFERROR(__xludf.DUMMYFUNCTION("""COMPUTED_VALUE"""),"")</f>
        <v/>
      </c>
      <c r="B81" s="28" t="str">
        <f ca="1">IFERROR(__xludf.DUMMYFUNCTION("""COMPUTED_VALUE"""),"")</f>
        <v/>
      </c>
      <c r="C81" s="27" t="str">
        <f ca="1">IFERROR(__xludf.DUMMYFUNCTION("""COMPUTED_VALUE"""),"")</f>
        <v/>
      </c>
      <c r="D81" s="27" t="str">
        <f ca="1">IFERROR(__xludf.DUMMYFUNCTION("""COMPUTED_VALUE"""),"")</f>
        <v/>
      </c>
      <c r="E81" s="15" t="str">
        <f ca="1">IFERROR(__xludf.DUMMYFUNCTION("""COMPUTED_VALUE"""),"")</f>
        <v/>
      </c>
      <c r="F81" s="51" t="str">
        <f ca="1">IFERROR(__xludf.DUMMYFUNCTION("""COMPUTED_VALUE"""),"")</f>
        <v/>
      </c>
      <c r="G81" s="16" t="str">
        <f ca="1">IFERROR(__xludf.DUMMYFUNCTION("""COMPUTED_VALUE"""),"")</f>
        <v/>
      </c>
      <c r="H81" s="17" t="str">
        <f ca="1">IFERROR(__xludf.DUMMYFUNCTION("""COMPUTED_VALUE"""),"")</f>
        <v/>
      </c>
      <c r="I81" s="17" t="str">
        <f ca="1">IFERROR(__xludf.DUMMYFUNCTION("""COMPUTED_VALUE"""),"")</f>
        <v/>
      </c>
      <c r="J81" s="17" t="str">
        <f ca="1">IFERROR(__xludf.DUMMYFUNCTION("""COMPUTED_VALUE"""),"")</f>
        <v/>
      </c>
      <c r="K81" s="18" t="str">
        <f ca="1">IFERROR(__xludf.DUMMYFUNCTION("""COMPUTED_VALUE"""),"")</f>
        <v/>
      </c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20"/>
      <c r="W81" s="20"/>
      <c r="X81" s="20"/>
      <c r="Y81" s="20"/>
      <c r="Z81" s="21"/>
      <c r="AA81" s="22"/>
      <c r="AB81" s="23"/>
    </row>
    <row r="82" spans="1:28" ht="13.5" customHeight="1" x14ac:dyDescent="0.35">
      <c r="A82" s="24" t="str">
        <f ca="1">IFERROR(__xludf.DUMMYFUNCTION("""COMPUTED_VALUE"""),"")</f>
        <v/>
      </c>
      <c r="B82" s="28" t="str">
        <f ca="1">IFERROR(__xludf.DUMMYFUNCTION("""COMPUTED_VALUE"""),"")</f>
        <v/>
      </c>
      <c r="C82" s="27" t="str">
        <f ca="1">IFERROR(__xludf.DUMMYFUNCTION("""COMPUTED_VALUE"""),"")</f>
        <v/>
      </c>
      <c r="D82" s="27" t="str">
        <f ca="1">IFERROR(__xludf.DUMMYFUNCTION("""COMPUTED_VALUE"""),"")</f>
        <v/>
      </c>
      <c r="E82" s="15" t="str">
        <f ca="1">IFERROR(__xludf.DUMMYFUNCTION("""COMPUTED_VALUE"""),"")</f>
        <v/>
      </c>
      <c r="F82" s="51" t="str">
        <f ca="1">IFERROR(__xludf.DUMMYFUNCTION("""COMPUTED_VALUE"""),"")</f>
        <v/>
      </c>
      <c r="G82" s="16" t="str">
        <f ca="1">IFERROR(__xludf.DUMMYFUNCTION("""COMPUTED_VALUE"""),"")</f>
        <v/>
      </c>
      <c r="H82" s="17" t="str">
        <f ca="1">IFERROR(__xludf.DUMMYFUNCTION("""COMPUTED_VALUE"""),"")</f>
        <v/>
      </c>
      <c r="I82" s="17" t="str">
        <f ca="1">IFERROR(__xludf.DUMMYFUNCTION("""COMPUTED_VALUE"""),"")</f>
        <v/>
      </c>
      <c r="J82" s="17" t="str">
        <f ca="1">IFERROR(__xludf.DUMMYFUNCTION("""COMPUTED_VALUE"""),"")</f>
        <v/>
      </c>
      <c r="K82" s="18" t="str">
        <f ca="1">IFERROR(__xludf.DUMMYFUNCTION("""COMPUTED_VALUE"""),"")</f>
        <v/>
      </c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20"/>
      <c r="W82" s="20"/>
      <c r="X82" s="20"/>
      <c r="Y82" s="20"/>
      <c r="Z82" s="21"/>
      <c r="AA82" s="22"/>
      <c r="AB82" s="23"/>
    </row>
    <row r="83" spans="1:28" ht="13.5" customHeight="1" x14ac:dyDescent="0.35">
      <c r="A83" s="24" t="str">
        <f ca="1">IFERROR(__xludf.DUMMYFUNCTION("""COMPUTED_VALUE"""),"")</f>
        <v/>
      </c>
      <c r="B83" s="28" t="str">
        <f ca="1">IFERROR(__xludf.DUMMYFUNCTION("""COMPUTED_VALUE"""),"")</f>
        <v/>
      </c>
      <c r="C83" s="27" t="str">
        <f ca="1">IFERROR(__xludf.DUMMYFUNCTION("""COMPUTED_VALUE"""),"")</f>
        <v/>
      </c>
      <c r="D83" s="27" t="str">
        <f ca="1">IFERROR(__xludf.DUMMYFUNCTION("""COMPUTED_VALUE"""),"")</f>
        <v/>
      </c>
      <c r="E83" s="15" t="str">
        <f ca="1">IFERROR(__xludf.DUMMYFUNCTION("""COMPUTED_VALUE"""),"")</f>
        <v/>
      </c>
      <c r="F83" s="51" t="str">
        <f ca="1">IFERROR(__xludf.DUMMYFUNCTION("""COMPUTED_VALUE"""),"")</f>
        <v/>
      </c>
      <c r="G83" s="16" t="str">
        <f ca="1">IFERROR(__xludf.DUMMYFUNCTION("""COMPUTED_VALUE"""),"")</f>
        <v/>
      </c>
      <c r="H83" s="17" t="str">
        <f ca="1">IFERROR(__xludf.DUMMYFUNCTION("""COMPUTED_VALUE"""),"")</f>
        <v/>
      </c>
      <c r="I83" s="17" t="str">
        <f ca="1">IFERROR(__xludf.DUMMYFUNCTION("""COMPUTED_VALUE"""),"")</f>
        <v/>
      </c>
      <c r="J83" s="17" t="str">
        <f ca="1">IFERROR(__xludf.DUMMYFUNCTION("""COMPUTED_VALUE"""),"")</f>
        <v/>
      </c>
      <c r="K83" s="18" t="str">
        <f ca="1">IFERROR(__xludf.DUMMYFUNCTION("""COMPUTED_VALUE"""),"")</f>
        <v/>
      </c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20"/>
      <c r="W83" s="20"/>
      <c r="X83" s="20"/>
      <c r="Y83" s="20"/>
      <c r="Z83" s="21"/>
      <c r="AA83" s="22"/>
      <c r="AB83" s="23"/>
    </row>
    <row r="84" spans="1:28" ht="13.5" customHeight="1" x14ac:dyDescent="0.35">
      <c r="A84" s="24" t="str">
        <f ca="1">IFERROR(__xludf.DUMMYFUNCTION("""COMPUTED_VALUE"""),"")</f>
        <v/>
      </c>
      <c r="B84" s="28" t="str">
        <f ca="1">IFERROR(__xludf.DUMMYFUNCTION("""COMPUTED_VALUE"""),"")</f>
        <v/>
      </c>
      <c r="C84" s="27" t="str">
        <f ca="1">IFERROR(__xludf.DUMMYFUNCTION("""COMPUTED_VALUE"""),"")</f>
        <v/>
      </c>
      <c r="D84" s="27" t="str">
        <f ca="1">IFERROR(__xludf.DUMMYFUNCTION("""COMPUTED_VALUE"""),"")</f>
        <v/>
      </c>
      <c r="E84" s="15" t="str">
        <f ca="1">IFERROR(__xludf.DUMMYFUNCTION("""COMPUTED_VALUE"""),"")</f>
        <v/>
      </c>
      <c r="F84" s="51" t="str">
        <f ca="1">IFERROR(__xludf.DUMMYFUNCTION("""COMPUTED_VALUE"""),"")</f>
        <v/>
      </c>
      <c r="G84" s="16" t="str">
        <f ca="1">IFERROR(__xludf.DUMMYFUNCTION("""COMPUTED_VALUE"""),"")</f>
        <v/>
      </c>
      <c r="H84" s="17" t="str">
        <f ca="1">IFERROR(__xludf.DUMMYFUNCTION("""COMPUTED_VALUE"""),"")</f>
        <v/>
      </c>
      <c r="I84" s="17" t="str">
        <f ca="1">IFERROR(__xludf.DUMMYFUNCTION("""COMPUTED_VALUE"""),"")</f>
        <v/>
      </c>
      <c r="J84" s="17" t="str">
        <f ca="1">IFERROR(__xludf.DUMMYFUNCTION("""COMPUTED_VALUE"""),"")</f>
        <v/>
      </c>
      <c r="K84" s="18" t="str">
        <f ca="1">IFERROR(__xludf.DUMMYFUNCTION("""COMPUTED_VALUE"""),"")</f>
        <v/>
      </c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20"/>
      <c r="W84" s="20"/>
      <c r="X84" s="20"/>
      <c r="Y84" s="20"/>
      <c r="Z84" s="21"/>
      <c r="AA84" s="22"/>
      <c r="AB84" s="23"/>
    </row>
    <row r="85" spans="1:28" ht="13.5" customHeight="1" x14ac:dyDescent="0.35">
      <c r="A85" s="24" t="str">
        <f ca="1">IFERROR(__xludf.DUMMYFUNCTION("""COMPUTED_VALUE"""),"")</f>
        <v/>
      </c>
      <c r="B85" s="28" t="str">
        <f ca="1">IFERROR(__xludf.DUMMYFUNCTION("""COMPUTED_VALUE"""),"")</f>
        <v/>
      </c>
      <c r="C85" s="27" t="str">
        <f ca="1">IFERROR(__xludf.DUMMYFUNCTION("""COMPUTED_VALUE"""),"")</f>
        <v/>
      </c>
      <c r="D85" s="27" t="str">
        <f ca="1">IFERROR(__xludf.DUMMYFUNCTION("""COMPUTED_VALUE"""),"")</f>
        <v/>
      </c>
      <c r="E85" s="15" t="str">
        <f ca="1">IFERROR(__xludf.DUMMYFUNCTION("""COMPUTED_VALUE"""),"")</f>
        <v/>
      </c>
      <c r="F85" s="51" t="str">
        <f ca="1">IFERROR(__xludf.DUMMYFUNCTION("""COMPUTED_VALUE"""),"")</f>
        <v/>
      </c>
      <c r="G85" s="16" t="str">
        <f ca="1">IFERROR(__xludf.DUMMYFUNCTION("""COMPUTED_VALUE"""),"")</f>
        <v/>
      </c>
      <c r="H85" s="17" t="str">
        <f ca="1">IFERROR(__xludf.DUMMYFUNCTION("""COMPUTED_VALUE"""),"")</f>
        <v/>
      </c>
      <c r="I85" s="17" t="str">
        <f ca="1">IFERROR(__xludf.DUMMYFUNCTION("""COMPUTED_VALUE"""),"")</f>
        <v/>
      </c>
      <c r="J85" s="17" t="str">
        <f ca="1">IFERROR(__xludf.DUMMYFUNCTION("""COMPUTED_VALUE"""),"")</f>
        <v/>
      </c>
      <c r="K85" s="18" t="str">
        <f ca="1">IFERROR(__xludf.DUMMYFUNCTION("""COMPUTED_VALUE"""),"")</f>
        <v/>
      </c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20"/>
      <c r="W85" s="20"/>
      <c r="X85" s="20"/>
      <c r="Y85" s="20"/>
      <c r="Z85" s="21"/>
      <c r="AA85" s="22"/>
      <c r="AB85" s="23"/>
    </row>
    <row r="86" spans="1:28" ht="13.5" customHeight="1" x14ac:dyDescent="0.35">
      <c r="A86" s="24" t="str">
        <f ca="1">IFERROR(__xludf.DUMMYFUNCTION("""COMPUTED_VALUE"""),"")</f>
        <v/>
      </c>
      <c r="B86" s="28" t="str">
        <f ca="1">IFERROR(__xludf.DUMMYFUNCTION("""COMPUTED_VALUE"""),"")</f>
        <v/>
      </c>
      <c r="C86" s="27" t="str">
        <f ca="1">IFERROR(__xludf.DUMMYFUNCTION("""COMPUTED_VALUE"""),"")</f>
        <v/>
      </c>
      <c r="D86" s="27" t="str">
        <f ca="1">IFERROR(__xludf.DUMMYFUNCTION("""COMPUTED_VALUE"""),"")</f>
        <v/>
      </c>
      <c r="E86" s="15" t="str">
        <f ca="1">IFERROR(__xludf.DUMMYFUNCTION("""COMPUTED_VALUE"""),"")</f>
        <v/>
      </c>
      <c r="F86" s="51" t="str">
        <f ca="1">IFERROR(__xludf.DUMMYFUNCTION("""COMPUTED_VALUE"""),"")</f>
        <v/>
      </c>
      <c r="G86" s="16" t="str">
        <f ca="1">IFERROR(__xludf.DUMMYFUNCTION("""COMPUTED_VALUE"""),"")</f>
        <v/>
      </c>
      <c r="H86" s="17" t="str">
        <f ca="1">IFERROR(__xludf.DUMMYFUNCTION("""COMPUTED_VALUE"""),"")</f>
        <v/>
      </c>
      <c r="I86" s="17" t="str">
        <f ca="1">IFERROR(__xludf.DUMMYFUNCTION("""COMPUTED_VALUE"""),"")</f>
        <v/>
      </c>
      <c r="J86" s="17" t="str">
        <f ca="1">IFERROR(__xludf.DUMMYFUNCTION("""COMPUTED_VALUE"""),"")</f>
        <v/>
      </c>
      <c r="K86" s="18" t="str">
        <f ca="1">IFERROR(__xludf.DUMMYFUNCTION("""COMPUTED_VALUE"""),"")</f>
        <v/>
      </c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20"/>
      <c r="W86" s="20"/>
      <c r="X86" s="20"/>
      <c r="Y86" s="20"/>
      <c r="Z86" s="21"/>
      <c r="AA86" s="22"/>
      <c r="AB86" s="23"/>
    </row>
    <row r="87" spans="1:28" ht="13.5" customHeight="1" x14ac:dyDescent="0.35">
      <c r="A87" s="24" t="str">
        <f ca="1">IFERROR(__xludf.DUMMYFUNCTION("""COMPUTED_VALUE"""),"")</f>
        <v/>
      </c>
      <c r="B87" s="28" t="str">
        <f ca="1">IFERROR(__xludf.DUMMYFUNCTION("""COMPUTED_VALUE"""),"")</f>
        <v/>
      </c>
      <c r="C87" s="27" t="str">
        <f ca="1">IFERROR(__xludf.DUMMYFUNCTION("""COMPUTED_VALUE"""),"")</f>
        <v/>
      </c>
      <c r="D87" s="27" t="str">
        <f ca="1">IFERROR(__xludf.DUMMYFUNCTION("""COMPUTED_VALUE"""),"")</f>
        <v/>
      </c>
      <c r="E87" s="15" t="str">
        <f ca="1">IFERROR(__xludf.DUMMYFUNCTION("""COMPUTED_VALUE"""),"")</f>
        <v/>
      </c>
      <c r="F87" s="51" t="str">
        <f ca="1">IFERROR(__xludf.DUMMYFUNCTION("""COMPUTED_VALUE"""),"")</f>
        <v/>
      </c>
      <c r="G87" s="16" t="str">
        <f ca="1">IFERROR(__xludf.DUMMYFUNCTION("""COMPUTED_VALUE"""),"")</f>
        <v/>
      </c>
      <c r="H87" s="17" t="str">
        <f ca="1">IFERROR(__xludf.DUMMYFUNCTION("""COMPUTED_VALUE"""),"")</f>
        <v/>
      </c>
      <c r="I87" s="17" t="str">
        <f ca="1">IFERROR(__xludf.DUMMYFUNCTION("""COMPUTED_VALUE"""),"")</f>
        <v/>
      </c>
      <c r="J87" s="17" t="str">
        <f ca="1">IFERROR(__xludf.DUMMYFUNCTION("""COMPUTED_VALUE"""),"")</f>
        <v/>
      </c>
      <c r="K87" s="18" t="str">
        <f ca="1">IFERROR(__xludf.DUMMYFUNCTION("""COMPUTED_VALUE"""),"")</f>
        <v/>
      </c>
      <c r="L87" s="19"/>
      <c r="M87" s="19"/>
      <c r="N87" s="19"/>
      <c r="O87" s="19"/>
      <c r="P87" s="19"/>
      <c r="Q87" s="19"/>
      <c r="R87" s="19"/>
      <c r="S87" s="19"/>
      <c r="T87" s="19"/>
      <c r="U87" s="19"/>
      <c r="V87" s="20"/>
      <c r="W87" s="20"/>
      <c r="X87" s="20"/>
      <c r="Y87" s="20"/>
      <c r="Z87" s="21"/>
      <c r="AA87" s="22"/>
      <c r="AB87" s="23"/>
    </row>
    <row r="88" spans="1:28" ht="13.5" customHeight="1" x14ac:dyDescent="0.35">
      <c r="A88" s="24" t="str">
        <f ca="1">IFERROR(__xludf.DUMMYFUNCTION("""COMPUTED_VALUE"""),"")</f>
        <v/>
      </c>
      <c r="B88" s="28" t="str">
        <f ca="1">IFERROR(__xludf.DUMMYFUNCTION("""COMPUTED_VALUE"""),"")</f>
        <v/>
      </c>
      <c r="C88" s="27" t="str">
        <f ca="1">IFERROR(__xludf.DUMMYFUNCTION("""COMPUTED_VALUE"""),"")</f>
        <v/>
      </c>
      <c r="D88" s="27" t="str">
        <f ca="1">IFERROR(__xludf.DUMMYFUNCTION("""COMPUTED_VALUE"""),"")</f>
        <v/>
      </c>
      <c r="E88" s="15" t="str">
        <f ca="1">IFERROR(__xludf.DUMMYFUNCTION("""COMPUTED_VALUE"""),"")</f>
        <v/>
      </c>
      <c r="F88" s="51" t="str">
        <f ca="1">IFERROR(__xludf.DUMMYFUNCTION("""COMPUTED_VALUE"""),"")</f>
        <v/>
      </c>
      <c r="G88" s="16" t="str">
        <f ca="1">IFERROR(__xludf.DUMMYFUNCTION("""COMPUTED_VALUE"""),"")</f>
        <v/>
      </c>
      <c r="H88" s="17" t="str">
        <f ca="1">IFERROR(__xludf.DUMMYFUNCTION("""COMPUTED_VALUE"""),"")</f>
        <v/>
      </c>
      <c r="I88" s="17" t="str">
        <f ca="1">IFERROR(__xludf.DUMMYFUNCTION("""COMPUTED_VALUE"""),"")</f>
        <v/>
      </c>
      <c r="J88" s="17" t="str">
        <f ca="1">IFERROR(__xludf.DUMMYFUNCTION("""COMPUTED_VALUE"""),"")</f>
        <v/>
      </c>
      <c r="K88" s="18" t="str">
        <f ca="1">IFERROR(__xludf.DUMMYFUNCTION("""COMPUTED_VALUE"""),"")</f>
        <v/>
      </c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20"/>
      <c r="W88" s="20"/>
      <c r="X88" s="20"/>
      <c r="Y88" s="20"/>
      <c r="Z88" s="21"/>
      <c r="AA88" s="22"/>
      <c r="AB88" s="23"/>
    </row>
    <row r="89" spans="1:28" ht="13.5" customHeight="1" x14ac:dyDescent="0.35">
      <c r="A89" s="24" t="str">
        <f ca="1">IFERROR(__xludf.DUMMYFUNCTION("""COMPUTED_VALUE"""),"")</f>
        <v/>
      </c>
      <c r="B89" s="28" t="str">
        <f ca="1">IFERROR(__xludf.DUMMYFUNCTION("""COMPUTED_VALUE"""),"")</f>
        <v/>
      </c>
      <c r="C89" s="27" t="str">
        <f ca="1">IFERROR(__xludf.DUMMYFUNCTION("""COMPUTED_VALUE"""),"")</f>
        <v/>
      </c>
      <c r="D89" s="27" t="str">
        <f ca="1">IFERROR(__xludf.DUMMYFUNCTION("""COMPUTED_VALUE"""),"")</f>
        <v/>
      </c>
      <c r="E89" s="15" t="str">
        <f ca="1">IFERROR(__xludf.DUMMYFUNCTION("""COMPUTED_VALUE"""),"")</f>
        <v/>
      </c>
      <c r="F89" s="51" t="str">
        <f ca="1">IFERROR(__xludf.DUMMYFUNCTION("""COMPUTED_VALUE"""),"")</f>
        <v/>
      </c>
      <c r="G89" s="16" t="str">
        <f ca="1">IFERROR(__xludf.DUMMYFUNCTION("""COMPUTED_VALUE"""),"")</f>
        <v/>
      </c>
      <c r="H89" s="17" t="str">
        <f ca="1">IFERROR(__xludf.DUMMYFUNCTION("""COMPUTED_VALUE"""),"")</f>
        <v/>
      </c>
      <c r="I89" s="17" t="str">
        <f ca="1">IFERROR(__xludf.DUMMYFUNCTION("""COMPUTED_VALUE"""),"")</f>
        <v/>
      </c>
      <c r="J89" s="17" t="str">
        <f ca="1">IFERROR(__xludf.DUMMYFUNCTION("""COMPUTED_VALUE"""),"")</f>
        <v/>
      </c>
      <c r="K89" s="18" t="str">
        <f ca="1">IFERROR(__xludf.DUMMYFUNCTION("""COMPUTED_VALUE"""),"")</f>
        <v/>
      </c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20"/>
      <c r="W89" s="20"/>
      <c r="X89" s="20"/>
      <c r="Y89" s="20"/>
      <c r="Z89" s="21"/>
      <c r="AA89" s="22"/>
      <c r="AB89" s="23"/>
    </row>
    <row r="90" spans="1:28" ht="13.5" customHeight="1" x14ac:dyDescent="0.35">
      <c r="A90" s="24" t="str">
        <f ca="1">IFERROR(__xludf.DUMMYFUNCTION("""COMPUTED_VALUE"""),"")</f>
        <v/>
      </c>
      <c r="B90" s="28" t="str">
        <f ca="1">IFERROR(__xludf.DUMMYFUNCTION("""COMPUTED_VALUE"""),"")</f>
        <v/>
      </c>
      <c r="C90" s="27" t="str">
        <f ca="1">IFERROR(__xludf.DUMMYFUNCTION("""COMPUTED_VALUE"""),"")</f>
        <v/>
      </c>
      <c r="D90" s="27" t="str">
        <f ca="1">IFERROR(__xludf.DUMMYFUNCTION("""COMPUTED_VALUE"""),"")</f>
        <v/>
      </c>
      <c r="E90" s="15" t="str">
        <f ca="1">IFERROR(__xludf.DUMMYFUNCTION("""COMPUTED_VALUE"""),"")</f>
        <v/>
      </c>
      <c r="F90" s="51" t="str">
        <f ca="1">IFERROR(__xludf.DUMMYFUNCTION("""COMPUTED_VALUE"""),"")</f>
        <v/>
      </c>
      <c r="G90" s="16" t="str">
        <f ca="1">IFERROR(__xludf.DUMMYFUNCTION("""COMPUTED_VALUE"""),"")</f>
        <v/>
      </c>
      <c r="H90" s="17" t="str">
        <f ca="1">IFERROR(__xludf.DUMMYFUNCTION("""COMPUTED_VALUE"""),"")</f>
        <v/>
      </c>
      <c r="I90" s="17" t="str">
        <f ca="1">IFERROR(__xludf.DUMMYFUNCTION("""COMPUTED_VALUE"""),"")</f>
        <v/>
      </c>
      <c r="J90" s="17" t="str">
        <f ca="1">IFERROR(__xludf.DUMMYFUNCTION("""COMPUTED_VALUE"""),"")</f>
        <v/>
      </c>
      <c r="K90" s="18" t="str">
        <f ca="1">IFERROR(__xludf.DUMMYFUNCTION("""COMPUTED_VALUE"""),"")</f>
        <v/>
      </c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20"/>
      <c r="W90" s="20"/>
      <c r="X90" s="20"/>
      <c r="Y90" s="20"/>
      <c r="Z90" s="21"/>
      <c r="AA90" s="22"/>
      <c r="AB90" s="23"/>
    </row>
    <row r="91" spans="1:28" ht="13.5" customHeight="1" x14ac:dyDescent="0.35">
      <c r="A91" s="24" t="str">
        <f ca="1">IFERROR(__xludf.DUMMYFUNCTION("""COMPUTED_VALUE"""),"")</f>
        <v/>
      </c>
      <c r="B91" s="28" t="str">
        <f ca="1">IFERROR(__xludf.DUMMYFUNCTION("""COMPUTED_VALUE"""),"")</f>
        <v/>
      </c>
      <c r="C91" s="27" t="str">
        <f ca="1">IFERROR(__xludf.DUMMYFUNCTION("""COMPUTED_VALUE"""),"")</f>
        <v/>
      </c>
      <c r="D91" s="27" t="str">
        <f ca="1">IFERROR(__xludf.DUMMYFUNCTION("""COMPUTED_VALUE"""),"")</f>
        <v/>
      </c>
      <c r="E91" s="15" t="str">
        <f ca="1">IFERROR(__xludf.DUMMYFUNCTION("""COMPUTED_VALUE"""),"")</f>
        <v/>
      </c>
      <c r="F91" s="51" t="str">
        <f ca="1">IFERROR(__xludf.DUMMYFUNCTION("""COMPUTED_VALUE"""),"")</f>
        <v/>
      </c>
      <c r="G91" s="16" t="str">
        <f ca="1">IFERROR(__xludf.DUMMYFUNCTION("""COMPUTED_VALUE"""),"")</f>
        <v/>
      </c>
      <c r="H91" s="17" t="str">
        <f ca="1">IFERROR(__xludf.DUMMYFUNCTION("""COMPUTED_VALUE"""),"")</f>
        <v/>
      </c>
      <c r="I91" s="17" t="str">
        <f ca="1">IFERROR(__xludf.DUMMYFUNCTION("""COMPUTED_VALUE"""),"")</f>
        <v/>
      </c>
      <c r="J91" s="17" t="str">
        <f ca="1">IFERROR(__xludf.DUMMYFUNCTION("""COMPUTED_VALUE"""),"")</f>
        <v/>
      </c>
      <c r="K91" s="18" t="str">
        <f ca="1">IFERROR(__xludf.DUMMYFUNCTION("""COMPUTED_VALUE"""),"")</f>
        <v/>
      </c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20"/>
      <c r="W91" s="20"/>
      <c r="X91" s="20"/>
      <c r="Y91" s="20"/>
      <c r="Z91" s="21"/>
      <c r="AA91" s="22"/>
      <c r="AB91" s="23"/>
    </row>
    <row r="92" spans="1:28" ht="13.5" customHeight="1" x14ac:dyDescent="0.35">
      <c r="A92" s="24" t="str">
        <f ca="1">IFERROR(__xludf.DUMMYFUNCTION("""COMPUTED_VALUE"""),"")</f>
        <v/>
      </c>
      <c r="B92" s="28" t="str">
        <f ca="1">IFERROR(__xludf.DUMMYFUNCTION("""COMPUTED_VALUE"""),"")</f>
        <v/>
      </c>
      <c r="C92" s="27" t="str">
        <f ca="1">IFERROR(__xludf.DUMMYFUNCTION("""COMPUTED_VALUE"""),"")</f>
        <v/>
      </c>
      <c r="D92" s="27" t="str">
        <f ca="1">IFERROR(__xludf.DUMMYFUNCTION("""COMPUTED_VALUE"""),"")</f>
        <v/>
      </c>
      <c r="E92" s="15" t="str">
        <f ca="1">IFERROR(__xludf.DUMMYFUNCTION("""COMPUTED_VALUE"""),"")</f>
        <v/>
      </c>
      <c r="F92" s="51" t="str">
        <f ca="1">IFERROR(__xludf.DUMMYFUNCTION("""COMPUTED_VALUE"""),"")</f>
        <v/>
      </c>
      <c r="G92" s="16" t="str">
        <f ca="1">IFERROR(__xludf.DUMMYFUNCTION("""COMPUTED_VALUE"""),"")</f>
        <v/>
      </c>
      <c r="H92" s="17" t="str">
        <f ca="1">IFERROR(__xludf.DUMMYFUNCTION("""COMPUTED_VALUE"""),"")</f>
        <v/>
      </c>
      <c r="I92" s="17" t="str">
        <f ca="1">IFERROR(__xludf.DUMMYFUNCTION("""COMPUTED_VALUE"""),"")</f>
        <v/>
      </c>
      <c r="J92" s="17" t="str">
        <f ca="1">IFERROR(__xludf.DUMMYFUNCTION("""COMPUTED_VALUE"""),"")</f>
        <v/>
      </c>
      <c r="K92" s="18" t="str">
        <f ca="1">IFERROR(__xludf.DUMMYFUNCTION("""COMPUTED_VALUE"""),"")</f>
        <v/>
      </c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20"/>
      <c r="W92" s="20"/>
      <c r="X92" s="20"/>
      <c r="Y92" s="20"/>
      <c r="Z92" s="21"/>
      <c r="AA92" s="22"/>
      <c r="AB92" s="23"/>
    </row>
    <row r="93" spans="1:28" ht="13.5" customHeight="1" x14ac:dyDescent="0.35">
      <c r="A93" s="24" t="str">
        <f ca="1">IFERROR(__xludf.DUMMYFUNCTION("""COMPUTED_VALUE"""),"")</f>
        <v/>
      </c>
      <c r="B93" s="28" t="str">
        <f ca="1">IFERROR(__xludf.DUMMYFUNCTION("""COMPUTED_VALUE"""),"")</f>
        <v/>
      </c>
      <c r="C93" s="27" t="str">
        <f ca="1">IFERROR(__xludf.DUMMYFUNCTION("""COMPUTED_VALUE"""),"")</f>
        <v/>
      </c>
      <c r="D93" s="27" t="str">
        <f ca="1">IFERROR(__xludf.DUMMYFUNCTION("""COMPUTED_VALUE"""),"")</f>
        <v/>
      </c>
      <c r="E93" s="15" t="str">
        <f ca="1">IFERROR(__xludf.DUMMYFUNCTION("""COMPUTED_VALUE"""),"")</f>
        <v/>
      </c>
      <c r="F93" s="51" t="str">
        <f ca="1">IFERROR(__xludf.DUMMYFUNCTION("""COMPUTED_VALUE"""),"")</f>
        <v/>
      </c>
      <c r="G93" s="16" t="str">
        <f ca="1">IFERROR(__xludf.DUMMYFUNCTION("""COMPUTED_VALUE"""),"")</f>
        <v/>
      </c>
      <c r="H93" s="17" t="str">
        <f ca="1">IFERROR(__xludf.DUMMYFUNCTION("""COMPUTED_VALUE"""),"")</f>
        <v/>
      </c>
      <c r="I93" s="17" t="str">
        <f ca="1">IFERROR(__xludf.DUMMYFUNCTION("""COMPUTED_VALUE"""),"")</f>
        <v/>
      </c>
      <c r="J93" s="17" t="str">
        <f ca="1">IFERROR(__xludf.DUMMYFUNCTION("""COMPUTED_VALUE"""),"")</f>
        <v/>
      </c>
      <c r="K93" s="18" t="str">
        <f ca="1">IFERROR(__xludf.DUMMYFUNCTION("""COMPUTED_VALUE"""),"")</f>
        <v/>
      </c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20"/>
      <c r="W93" s="20"/>
      <c r="X93" s="20"/>
      <c r="Y93" s="20"/>
      <c r="Z93" s="21"/>
      <c r="AA93" s="22"/>
      <c r="AB93" s="23"/>
    </row>
    <row r="94" spans="1:28" ht="13.5" customHeight="1" x14ac:dyDescent="0.35">
      <c r="A94" s="24" t="str">
        <f ca="1">IFERROR(__xludf.DUMMYFUNCTION("""COMPUTED_VALUE"""),"")</f>
        <v/>
      </c>
      <c r="B94" s="28" t="str">
        <f ca="1">IFERROR(__xludf.DUMMYFUNCTION("""COMPUTED_VALUE"""),"")</f>
        <v/>
      </c>
      <c r="C94" s="27" t="str">
        <f ca="1">IFERROR(__xludf.DUMMYFUNCTION("""COMPUTED_VALUE"""),"")</f>
        <v/>
      </c>
      <c r="D94" s="27" t="str">
        <f ca="1">IFERROR(__xludf.DUMMYFUNCTION("""COMPUTED_VALUE"""),"")</f>
        <v/>
      </c>
      <c r="E94" s="15" t="str">
        <f ca="1">IFERROR(__xludf.DUMMYFUNCTION("""COMPUTED_VALUE"""),"")</f>
        <v/>
      </c>
      <c r="F94" s="51" t="str">
        <f ca="1">IFERROR(__xludf.DUMMYFUNCTION("""COMPUTED_VALUE"""),"")</f>
        <v/>
      </c>
      <c r="G94" s="16" t="str">
        <f ca="1">IFERROR(__xludf.DUMMYFUNCTION("""COMPUTED_VALUE"""),"")</f>
        <v/>
      </c>
      <c r="H94" s="17" t="str">
        <f ca="1">IFERROR(__xludf.DUMMYFUNCTION("""COMPUTED_VALUE"""),"")</f>
        <v/>
      </c>
      <c r="I94" s="17" t="str">
        <f ca="1">IFERROR(__xludf.DUMMYFUNCTION("""COMPUTED_VALUE"""),"")</f>
        <v/>
      </c>
      <c r="J94" s="17" t="str">
        <f ca="1">IFERROR(__xludf.DUMMYFUNCTION("""COMPUTED_VALUE"""),"")</f>
        <v/>
      </c>
      <c r="K94" s="18" t="str">
        <f ca="1">IFERROR(__xludf.DUMMYFUNCTION("""COMPUTED_VALUE"""),"")</f>
        <v/>
      </c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20"/>
      <c r="W94" s="20"/>
      <c r="X94" s="20"/>
      <c r="Y94" s="20"/>
      <c r="Z94" s="21"/>
      <c r="AA94" s="22"/>
      <c r="AB94" s="23"/>
    </row>
    <row r="95" spans="1:28" ht="13.5" customHeight="1" x14ac:dyDescent="0.35">
      <c r="A95" s="24" t="str">
        <f ca="1">IFERROR(__xludf.DUMMYFUNCTION("""COMPUTED_VALUE"""),"")</f>
        <v/>
      </c>
      <c r="B95" s="28" t="str">
        <f ca="1">IFERROR(__xludf.DUMMYFUNCTION("""COMPUTED_VALUE"""),"")</f>
        <v/>
      </c>
      <c r="C95" s="27" t="str">
        <f ca="1">IFERROR(__xludf.DUMMYFUNCTION("""COMPUTED_VALUE"""),"")</f>
        <v/>
      </c>
      <c r="D95" s="27" t="str">
        <f ca="1">IFERROR(__xludf.DUMMYFUNCTION("""COMPUTED_VALUE"""),"")</f>
        <v/>
      </c>
      <c r="E95" s="15" t="str">
        <f ca="1">IFERROR(__xludf.DUMMYFUNCTION("""COMPUTED_VALUE"""),"")</f>
        <v/>
      </c>
      <c r="F95" s="51" t="str">
        <f ca="1">IFERROR(__xludf.DUMMYFUNCTION("""COMPUTED_VALUE"""),"")</f>
        <v/>
      </c>
      <c r="G95" s="16" t="str">
        <f ca="1">IFERROR(__xludf.DUMMYFUNCTION("""COMPUTED_VALUE"""),"")</f>
        <v/>
      </c>
      <c r="H95" s="17" t="str">
        <f ca="1">IFERROR(__xludf.DUMMYFUNCTION("""COMPUTED_VALUE"""),"")</f>
        <v/>
      </c>
      <c r="I95" s="17" t="str">
        <f ca="1">IFERROR(__xludf.DUMMYFUNCTION("""COMPUTED_VALUE"""),"")</f>
        <v/>
      </c>
      <c r="J95" s="17" t="str">
        <f ca="1">IFERROR(__xludf.DUMMYFUNCTION("""COMPUTED_VALUE"""),"")</f>
        <v/>
      </c>
      <c r="K95" s="18" t="str">
        <f ca="1">IFERROR(__xludf.DUMMYFUNCTION("""COMPUTED_VALUE"""),"")</f>
        <v/>
      </c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20"/>
      <c r="W95" s="20"/>
      <c r="X95" s="20"/>
      <c r="Y95" s="20"/>
      <c r="Z95" s="21"/>
      <c r="AA95" s="22"/>
      <c r="AB95" s="23"/>
    </row>
    <row r="96" spans="1:28" ht="13.5" customHeight="1" x14ac:dyDescent="0.35">
      <c r="A96" s="24" t="str">
        <f ca="1">IFERROR(__xludf.DUMMYFUNCTION("""COMPUTED_VALUE"""),"")</f>
        <v/>
      </c>
      <c r="B96" s="28" t="str">
        <f ca="1">IFERROR(__xludf.DUMMYFUNCTION("""COMPUTED_VALUE"""),"")</f>
        <v/>
      </c>
      <c r="C96" s="27" t="str">
        <f ca="1">IFERROR(__xludf.DUMMYFUNCTION("""COMPUTED_VALUE"""),"")</f>
        <v/>
      </c>
      <c r="D96" s="27" t="str">
        <f ca="1">IFERROR(__xludf.DUMMYFUNCTION("""COMPUTED_VALUE"""),"")</f>
        <v/>
      </c>
      <c r="E96" s="15" t="str">
        <f ca="1">IFERROR(__xludf.DUMMYFUNCTION("""COMPUTED_VALUE"""),"")</f>
        <v/>
      </c>
      <c r="F96" s="51" t="str">
        <f ca="1">IFERROR(__xludf.DUMMYFUNCTION("""COMPUTED_VALUE"""),"")</f>
        <v/>
      </c>
      <c r="G96" s="16" t="str">
        <f ca="1">IFERROR(__xludf.DUMMYFUNCTION("""COMPUTED_VALUE"""),"")</f>
        <v/>
      </c>
      <c r="H96" s="17" t="str">
        <f ca="1">IFERROR(__xludf.DUMMYFUNCTION("""COMPUTED_VALUE"""),"")</f>
        <v/>
      </c>
      <c r="I96" s="17" t="str">
        <f ca="1">IFERROR(__xludf.DUMMYFUNCTION("""COMPUTED_VALUE"""),"")</f>
        <v/>
      </c>
      <c r="J96" s="17" t="str">
        <f ca="1">IFERROR(__xludf.DUMMYFUNCTION("""COMPUTED_VALUE"""),"")</f>
        <v/>
      </c>
      <c r="K96" s="18" t="str">
        <f ca="1">IFERROR(__xludf.DUMMYFUNCTION("""COMPUTED_VALUE"""),"")</f>
        <v/>
      </c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20"/>
      <c r="W96" s="20"/>
      <c r="X96" s="20"/>
      <c r="Y96" s="20"/>
      <c r="Z96" s="21"/>
      <c r="AA96" s="22"/>
      <c r="AB96" s="23"/>
    </row>
    <row r="97" spans="1:28" ht="13.5" customHeight="1" x14ac:dyDescent="0.35">
      <c r="A97" s="24" t="str">
        <f ca="1">IFERROR(__xludf.DUMMYFUNCTION("""COMPUTED_VALUE"""),"")</f>
        <v/>
      </c>
      <c r="B97" s="28" t="str">
        <f ca="1">IFERROR(__xludf.DUMMYFUNCTION("""COMPUTED_VALUE"""),"")</f>
        <v/>
      </c>
      <c r="C97" s="27" t="str">
        <f ca="1">IFERROR(__xludf.DUMMYFUNCTION("""COMPUTED_VALUE"""),"")</f>
        <v/>
      </c>
      <c r="D97" s="27" t="str">
        <f ca="1">IFERROR(__xludf.DUMMYFUNCTION("""COMPUTED_VALUE"""),"")</f>
        <v/>
      </c>
      <c r="E97" s="15" t="str">
        <f ca="1">IFERROR(__xludf.DUMMYFUNCTION("""COMPUTED_VALUE"""),"")</f>
        <v/>
      </c>
      <c r="F97" s="51" t="str">
        <f ca="1">IFERROR(__xludf.DUMMYFUNCTION("""COMPUTED_VALUE"""),"")</f>
        <v/>
      </c>
      <c r="G97" s="16" t="str">
        <f ca="1">IFERROR(__xludf.DUMMYFUNCTION("""COMPUTED_VALUE"""),"")</f>
        <v/>
      </c>
      <c r="H97" s="17" t="str">
        <f ca="1">IFERROR(__xludf.DUMMYFUNCTION("""COMPUTED_VALUE"""),"")</f>
        <v/>
      </c>
      <c r="I97" s="17" t="str">
        <f ca="1">IFERROR(__xludf.DUMMYFUNCTION("""COMPUTED_VALUE"""),"")</f>
        <v/>
      </c>
      <c r="J97" s="17" t="str">
        <f ca="1">IFERROR(__xludf.DUMMYFUNCTION("""COMPUTED_VALUE"""),"")</f>
        <v/>
      </c>
      <c r="K97" s="18" t="str">
        <f ca="1">IFERROR(__xludf.DUMMYFUNCTION("""COMPUTED_VALUE"""),"")</f>
        <v/>
      </c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20"/>
      <c r="W97" s="20"/>
      <c r="X97" s="20"/>
      <c r="Y97" s="20"/>
      <c r="Z97" s="21"/>
      <c r="AA97" s="22"/>
      <c r="AB97" s="23"/>
    </row>
    <row r="98" spans="1:28" ht="13.5" customHeight="1" x14ac:dyDescent="0.35">
      <c r="A98" s="24" t="str">
        <f ca="1">IFERROR(__xludf.DUMMYFUNCTION("""COMPUTED_VALUE"""),"")</f>
        <v/>
      </c>
      <c r="B98" s="28" t="str">
        <f ca="1">IFERROR(__xludf.DUMMYFUNCTION("""COMPUTED_VALUE"""),"")</f>
        <v/>
      </c>
      <c r="C98" s="27" t="str">
        <f ca="1">IFERROR(__xludf.DUMMYFUNCTION("""COMPUTED_VALUE"""),"")</f>
        <v/>
      </c>
      <c r="D98" s="27" t="str">
        <f ca="1">IFERROR(__xludf.DUMMYFUNCTION("""COMPUTED_VALUE"""),"")</f>
        <v/>
      </c>
      <c r="E98" s="15" t="str">
        <f ca="1">IFERROR(__xludf.DUMMYFUNCTION("""COMPUTED_VALUE"""),"")</f>
        <v/>
      </c>
      <c r="F98" s="51" t="str">
        <f ca="1">IFERROR(__xludf.DUMMYFUNCTION("""COMPUTED_VALUE"""),"")</f>
        <v/>
      </c>
      <c r="G98" s="16" t="str">
        <f ca="1">IFERROR(__xludf.DUMMYFUNCTION("""COMPUTED_VALUE"""),"")</f>
        <v/>
      </c>
      <c r="H98" s="17" t="str">
        <f ca="1">IFERROR(__xludf.DUMMYFUNCTION("""COMPUTED_VALUE"""),"")</f>
        <v/>
      </c>
      <c r="I98" s="17" t="str">
        <f ca="1">IFERROR(__xludf.DUMMYFUNCTION("""COMPUTED_VALUE"""),"")</f>
        <v/>
      </c>
      <c r="J98" s="17" t="str">
        <f ca="1">IFERROR(__xludf.DUMMYFUNCTION("""COMPUTED_VALUE"""),"")</f>
        <v/>
      </c>
      <c r="K98" s="18" t="str">
        <f ca="1">IFERROR(__xludf.DUMMYFUNCTION("""COMPUTED_VALUE"""),"")</f>
        <v/>
      </c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20"/>
      <c r="W98" s="20"/>
      <c r="X98" s="20"/>
      <c r="Y98" s="20"/>
      <c r="Z98" s="21"/>
      <c r="AA98" s="22"/>
      <c r="AB98" s="23"/>
    </row>
    <row r="99" spans="1:28" ht="13.5" customHeight="1" x14ac:dyDescent="0.35">
      <c r="A99" s="24" t="str">
        <f ca="1">IFERROR(__xludf.DUMMYFUNCTION("""COMPUTED_VALUE"""),"")</f>
        <v/>
      </c>
      <c r="B99" s="28" t="str">
        <f ca="1">IFERROR(__xludf.DUMMYFUNCTION("""COMPUTED_VALUE"""),"")</f>
        <v/>
      </c>
      <c r="C99" s="27" t="str">
        <f ca="1">IFERROR(__xludf.DUMMYFUNCTION("""COMPUTED_VALUE"""),"")</f>
        <v/>
      </c>
      <c r="D99" s="27" t="str">
        <f ca="1">IFERROR(__xludf.DUMMYFUNCTION("""COMPUTED_VALUE"""),"")</f>
        <v/>
      </c>
      <c r="E99" s="15" t="str">
        <f ca="1">IFERROR(__xludf.DUMMYFUNCTION("""COMPUTED_VALUE"""),"")</f>
        <v/>
      </c>
      <c r="F99" s="51" t="str">
        <f ca="1">IFERROR(__xludf.DUMMYFUNCTION("""COMPUTED_VALUE"""),"")</f>
        <v/>
      </c>
      <c r="G99" s="16" t="str">
        <f ca="1">IFERROR(__xludf.DUMMYFUNCTION("""COMPUTED_VALUE"""),"")</f>
        <v/>
      </c>
      <c r="H99" s="17" t="str">
        <f ca="1">IFERROR(__xludf.DUMMYFUNCTION("""COMPUTED_VALUE"""),"")</f>
        <v/>
      </c>
      <c r="I99" s="17" t="str">
        <f ca="1">IFERROR(__xludf.DUMMYFUNCTION("""COMPUTED_VALUE"""),"")</f>
        <v/>
      </c>
      <c r="J99" s="17" t="str">
        <f ca="1">IFERROR(__xludf.DUMMYFUNCTION("""COMPUTED_VALUE"""),"")</f>
        <v/>
      </c>
      <c r="K99" s="18" t="str">
        <f ca="1">IFERROR(__xludf.DUMMYFUNCTION("""COMPUTED_VALUE"""),"")</f>
        <v/>
      </c>
      <c r="L99" s="19"/>
      <c r="M99" s="19"/>
      <c r="N99" s="19"/>
      <c r="O99" s="19"/>
      <c r="P99" s="19"/>
      <c r="Q99" s="19"/>
      <c r="R99" s="19"/>
      <c r="S99" s="19"/>
      <c r="T99" s="19"/>
      <c r="U99" s="19"/>
      <c r="V99" s="20"/>
      <c r="W99" s="20"/>
      <c r="X99" s="20"/>
      <c r="Y99" s="20"/>
      <c r="Z99" s="21"/>
      <c r="AA99" s="22"/>
      <c r="AB99" s="23"/>
    </row>
    <row r="100" spans="1:28" ht="13.5" customHeight="1" x14ac:dyDescent="0.35">
      <c r="A100" s="24" t="str">
        <f ca="1">IFERROR(__xludf.DUMMYFUNCTION("""COMPUTED_VALUE"""),"")</f>
        <v/>
      </c>
      <c r="B100" s="28" t="str">
        <f ca="1">IFERROR(__xludf.DUMMYFUNCTION("""COMPUTED_VALUE"""),"")</f>
        <v/>
      </c>
      <c r="C100" s="27" t="str">
        <f ca="1">IFERROR(__xludf.DUMMYFUNCTION("""COMPUTED_VALUE"""),"")</f>
        <v/>
      </c>
      <c r="D100" s="27" t="str">
        <f ca="1">IFERROR(__xludf.DUMMYFUNCTION("""COMPUTED_VALUE"""),"")</f>
        <v/>
      </c>
      <c r="E100" s="15" t="str">
        <f ca="1">IFERROR(__xludf.DUMMYFUNCTION("""COMPUTED_VALUE"""),"")</f>
        <v/>
      </c>
      <c r="F100" s="51" t="str">
        <f ca="1">IFERROR(__xludf.DUMMYFUNCTION("""COMPUTED_VALUE"""),"")</f>
        <v/>
      </c>
      <c r="G100" s="16" t="str">
        <f ca="1">IFERROR(__xludf.DUMMYFUNCTION("""COMPUTED_VALUE"""),"")</f>
        <v/>
      </c>
      <c r="H100" s="17" t="str">
        <f ca="1">IFERROR(__xludf.DUMMYFUNCTION("""COMPUTED_VALUE"""),"")</f>
        <v/>
      </c>
      <c r="I100" s="17" t="str">
        <f ca="1">IFERROR(__xludf.DUMMYFUNCTION("""COMPUTED_VALUE"""),"")</f>
        <v/>
      </c>
      <c r="J100" s="17" t="str">
        <f ca="1">IFERROR(__xludf.DUMMYFUNCTION("""COMPUTED_VALUE"""),"")</f>
        <v/>
      </c>
      <c r="K100" s="18" t="str">
        <f ca="1">IFERROR(__xludf.DUMMYFUNCTION("""COMPUTED_VALUE"""),"")</f>
        <v/>
      </c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20"/>
      <c r="W100" s="20"/>
      <c r="X100" s="20"/>
      <c r="Y100" s="20"/>
      <c r="Z100" s="21"/>
      <c r="AA100" s="22"/>
      <c r="AB100" s="23"/>
    </row>
    <row r="101" spans="1:28" ht="13.5" customHeight="1" x14ac:dyDescent="0.35">
      <c r="A101" s="24" t="str">
        <f ca="1">IFERROR(__xludf.DUMMYFUNCTION("""COMPUTED_VALUE"""),"")</f>
        <v/>
      </c>
      <c r="B101" s="28" t="str">
        <f ca="1">IFERROR(__xludf.DUMMYFUNCTION("""COMPUTED_VALUE"""),"")</f>
        <v/>
      </c>
      <c r="C101" s="27" t="str">
        <f ca="1">IFERROR(__xludf.DUMMYFUNCTION("""COMPUTED_VALUE"""),"")</f>
        <v/>
      </c>
      <c r="D101" s="27" t="str">
        <f ca="1">IFERROR(__xludf.DUMMYFUNCTION("""COMPUTED_VALUE"""),"")</f>
        <v/>
      </c>
      <c r="E101" s="15" t="str">
        <f ca="1">IFERROR(__xludf.DUMMYFUNCTION("""COMPUTED_VALUE"""),"")</f>
        <v/>
      </c>
      <c r="F101" s="51" t="str">
        <f ca="1">IFERROR(__xludf.DUMMYFUNCTION("""COMPUTED_VALUE"""),"")</f>
        <v/>
      </c>
      <c r="G101" s="16" t="str">
        <f ca="1">IFERROR(__xludf.DUMMYFUNCTION("""COMPUTED_VALUE"""),"")</f>
        <v/>
      </c>
      <c r="H101" s="17" t="str">
        <f ca="1">IFERROR(__xludf.DUMMYFUNCTION("""COMPUTED_VALUE"""),"")</f>
        <v/>
      </c>
      <c r="I101" s="17" t="str">
        <f ca="1">IFERROR(__xludf.DUMMYFUNCTION("""COMPUTED_VALUE"""),"")</f>
        <v/>
      </c>
      <c r="J101" s="17" t="str">
        <f ca="1">IFERROR(__xludf.DUMMYFUNCTION("""COMPUTED_VALUE"""),"")</f>
        <v/>
      </c>
      <c r="K101" s="18" t="str">
        <f ca="1">IFERROR(__xludf.DUMMYFUNCTION("""COMPUTED_VALUE"""),"")</f>
        <v/>
      </c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20"/>
      <c r="W101" s="20"/>
      <c r="X101" s="20"/>
      <c r="Y101" s="20"/>
      <c r="Z101" s="21"/>
      <c r="AA101" s="22"/>
      <c r="AB101" s="23"/>
    </row>
    <row r="102" spans="1:28" ht="13.5" customHeight="1" x14ac:dyDescent="0.35">
      <c r="A102" s="24" t="str">
        <f ca="1">IFERROR(__xludf.DUMMYFUNCTION("""COMPUTED_VALUE"""),"")</f>
        <v/>
      </c>
      <c r="B102" s="28" t="str">
        <f ca="1">IFERROR(__xludf.DUMMYFUNCTION("""COMPUTED_VALUE"""),"")</f>
        <v/>
      </c>
      <c r="C102" s="27" t="str">
        <f ca="1">IFERROR(__xludf.DUMMYFUNCTION("""COMPUTED_VALUE"""),"")</f>
        <v/>
      </c>
      <c r="D102" s="27" t="str">
        <f ca="1">IFERROR(__xludf.DUMMYFUNCTION("""COMPUTED_VALUE"""),"")</f>
        <v/>
      </c>
      <c r="E102" s="15" t="str">
        <f ca="1">IFERROR(__xludf.DUMMYFUNCTION("""COMPUTED_VALUE"""),"")</f>
        <v/>
      </c>
      <c r="F102" s="51" t="str">
        <f ca="1">IFERROR(__xludf.DUMMYFUNCTION("""COMPUTED_VALUE"""),"")</f>
        <v/>
      </c>
      <c r="G102" s="16" t="str">
        <f ca="1">IFERROR(__xludf.DUMMYFUNCTION("""COMPUTED_VALUE"""),"")</f>
        <v/>
      </c>
      <c r="H102" s="17" t="str">
        <f ca="1">IFERROR(__xludf.DUMMYFUNCTION("""COMPUTED_VALUE"""),"")</f>
        <v/>
      </c>
      <c r="I102" s="17" t="str">
        <f ca="1">IFERROR(__xludf.DUMMYFUNCTION("""COMPUTED_VALUE"""),"")</f>
        <v/>
      </c>
      <c r="J102" s="17" t="str">
        <f ca="1">IFERROR(__xludf.DUMMYFUNCTION("""COMPUTED_VALUE"""),"")</f>
        <v/>
      </c>
      <c r="K102" s="18" t="str">
        <f ca="1">IFERROR(__xludf.DUMMYFUNCTION("""COMPUTED_VALUE"""),"")</f>
        <v/>
      </c>
      <c r="L102" s="19"/>
      <c r="M102" s="19"/>
      <c r="N102" s="19"/>
      <c r="O102" s="19"/>
      <c r="P102" s="19"/>
      <c r="Q102" s="19"/>
      <c r="R102" s="19"/>
      <c r="S102" s="19"/>
      <c r="T102" s="19"/>
      <c r="U102" s="19"/>
      <c r="V102" s="20"/>
      <c r="W102" s="20"/>
      <c r="X102" s="20"/>
      <c r="Y102" s="20"/>
      <c r="Z102" s="21"/>
      <c r="AA102" s="22"/>
      <c r="AB102" s="23"/>
    </row>
    <row r="103" spans="1:28" ht="13.5" customHeight="1" x14ac:dyDescent="0.35">
      <c r="A103" s="24" t="str">
        <f ca="1">IFERROR(__xludf.DUMMYFUNCTION("""COMPUTED_VALUE"""),"")</f>
        <v/>
      </c>
      <c r="B103" s="28" t="str">
        <f ca="1">IFERROR(__xludf.DUMMYFUNCTION("""COMPUTED_VALUE"""),"")</f>
        <v/>
      </c>
      <c r="C103" s="27" t="str">
        <f ca="1">IFERROR(__xludf.DUMMYFUNCTION("""COMPUTED_VALUE"""),"")</f>
        <v/>
      </c>
      <c r="D103" s="27" t="str">
        <f ca="1">IFERROR(__xludf.DUMMYFUNCTION("""COMPUTED_VALUE"""),"")</f>
        <v/>
      </c>
      <c r="E103" s="15" t="str">
        <f ca="1">IFERROR(__xludf.DUMMYFUNCTION("""COMPUTED_VALUE"""),"")</f>
        <v/>
      </c>
      <c r="F103" s="51" t="str">
        <f ca="1">IFERROR(__xludf.DUMMYFUNCTION("""COMPUTED_VALUE"""),"")</f>
        <v/>
      </c>
      <c r="G103" s="16" t="str">
        <f ca="1">IFERROR(__xludf.DUMMYFUNCTION("""COMPUTED_VALUE"""),"")</f>
        <v/>
      </c>
      <c r="H103" s="17" t="str">
        <f ca="1">IFERROR(__xludf.DUMMYFUNCTION("""COMPUTED_VALUE"""),"")</f>
        <v/>
      </c>
      <c r="I103" s="17" t="str">
        <f ca="1">IFERROR(__xludf.DUMMYFUNCTION("""COMPUTED_VALUE"""),"")</f>
        <v/>
      </c>
      <c r="J103" s="17" t="str">
        <f ca="1">IFERROR(__xludf.DUMMYFUNCTION("""COMPUTED_VALUE"""),"")</f>
        <v/>
      </c>
      <c r="K103" s="18" t="str">
        <f ca="1">IFERROR(__xludf.DUMMYFUNCTION("""COMPUTED_VALUE"""),"")</f>
        <v/>
      </c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20"/>
      <c r="W103" s="20"/>
      <c r="X103" s="20"/>
      <c r="Y103" s="20"/>
      <c r="Z103" s="21"/>
      <c r="AA103" s="22"/>
      <c r="AB103" s="23"/>
    </row>
    <row r="104" spans="1:28" ht="13.5" customHeight="1" x14ac:dyDescent="0.35">
      <c r="A104" s="24" t="str">
        <f ca="1">IFERROR(__xludf.DUMMYFUNCTION("""COMPUTED_VALUE"""),"")</f>
        <v/>
      </c>
      <c r="B104" s="28" t="str">
        <f ca="1">IFERROR(__xludf.DUMMYFUNCTION("""COMPUTED_VALUE"""),"")</f>
        <v/>
      </c>
      <c r="C104" s="27" t="str">
        <f ca="1">IFERROR(__xludf.DUMMYFUNCTION("""COMPUTED_VALUE"""),"")</f>
        <v/>
      </c>
      <c r="D104" s="27" t="str">
        <f ca="1">IFERROR(__xludf.DUMMYFUNCTION("""COMPUTED_VALUE"""),"")</f>
        <v/>
      </c>
      <c r="E104" s="15" t="str">
        <f ca="1">IFERROR(__xludf.DUMMYFUNCTION("""COMPUTED_VALUE"""),"")</f>
        <v/>
      </c>
      <c r="F104" s="51" t="str">
        <f ca="1">IFERROR(__xludf.DUMMYFUNCTION("""COMPUTED_VALUE"""),"")</f>
        <v/>
      </c>
      <c r="G104" s="16" t="str">
        <f ca="1">IFERROR(__xludf.DUMMYFUNCTION("""COMPUTED_VALUE"""),"")</f>
        <v/>
      </c>
      <c r="H104" s="17" t="str">
        <f ca="1">IFERROR(__xludf.DUMMYFUNCTION("""COMPUTED_VALUE"""),"")</f>
        <v/>
      </c>
      <c r="I104" s="17" t="str">
        <f ca="1">IFERROR(__xludf.DUMMYFUNCTION("""COMPUTED_VALUE"""),"")</f>
        <v/>
      </c>
      <c r="J104" s="17" t="str">
        <f ca="1">IFERROR(__xludf.DUMMYFUNCTION("""COMPUTED_VALUE"""),"")</f>
        <v/>
      </c>
      <c r="K104" s="18" t="str">
        <f ca="1">IFERROR(__xludf.DUMMYFUNCTION("""COMPUTED_VALUE"""),"")</f>
        <v/>
      </c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20"/>
      <c r="W104" s="20"/>
      <c r="X104" s="20"/>
      <c r="Y104" s="20"/>
      <c r="Z104" s="21"/>
      <c r="AA104" s="22"/>
      <c r="AB104" s="23"/>
    </row>
    <row r="105" spans="1:28" ht="13.5" customHeight="1" x14ac:dyDescent="0.35">
      <c r="A105" s="24" t="str">
        <f ca="1">IFERROR(__xludf.DUMMYFUNCTION("""COMPUTED_VALUE"""),"")</f>
        <v/>
      </c>
      <c r="B105" s="28" t="str">
        <f ca="1">IFERROR(__xludf.DUMMYFUNCTION("""COMPUTED_VALUE"""),"")</f>
        <v/>
      </c>
      <c r="C105" s="27" t="str">
        <f ca="1">IFERROR(__xludf.DUMMYFUNCTION("""COMPUTED_VALUE"""),"")</f>
        <v/>
      </c>
      <c r="D105" s="27" t="str">
        <f ca="1">IFERROR(__xludf.DUMMYFUNCTION("""COMPUTED_VALUE"""),"")</f>
        <v/>
      </c>
      <c r="E105" s="15" t="str">
        <f ca="1">IFERROR(__xludf.DUMMYFUNCTION("""COMPUTED_VALUE"""),"")</f>
        <v/>
      </c>
      <c r="F105" s="51" t="str">
        <f ca="1">IFERROR(__xludf.DUMMYFUNCTION("""COMPUTED_VALUE"""),"")</f>
        <v/>
      </c>
      <c r="G105" s="16" t="str">
        <f ca="1">IFERROR(__xludf.DUMMYFUNCTION("""COMPUTED_VALUE"""),"")</f>
        <v/>
      </c>
      <c r="H105" s="17" t="str">
        <f ca="1">IFERROR(__xludf.DUMMYFUNCTION("""COMPUTED_VALUE"""),"")</f>
        <v/>
      </c>
      <c r="I105" s="17" t="str">
        <f ca="1">IFERROR(__xludf.DUMMYFUNCTION("""COMPUTED_VALUE"""),"")</f>
        <v/>
      </c>
      <c r="J105" s="17" t="str">
        <f ca="1">IFERROR(__xludf.DUMMYFUNCTION("""COMPUTED_VALUE"""),"")</f>
        <v/>
      </c>
      <c r="K105" s="18" t="str">
        <f ca="1">IFERROR(__xludf.DUMMYFUNCTION("""COMPUTED_VALUE"""),"")</f>
        <v/>
      </c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V105" s="20"/>
      <c r="W105" s="20"/>
      <c r="X105" s="20"/>
      <c r="Y105" s="20"/>
      <c r="Z105" s="21"/>
      <c r="AA105" s="22"/>
      <c r="AB105" s="23"/>
    </row>
    <row r="106" spans="1:28" ht="13.5" customHeight="1" x14ac:dyDescent="0.35">
      <c r="A106" s="24" t="str">
        <f ca="1">IFERROR(__xludf.DUMMYFUNCTION("""COMPUTED_VALUE"""),"")</f>
        <v/>
      </c>
      <c r="B106" s="28" t="str">
        <f ca="1">IFERROR(__xludf.DUMMYFUNCTION("""COMPUTED_VALUE"""),"")</f>
        <v/>
      </c>
      <c r="C106" s="27" t="str">
        <f ca="1">IFERROR(__xludf.DUMMYFUNCTION("""COMPUTED_VALUE"""),"")</f>
        <v/>
      </c>
      <c r="D106" s="27" t="str">
        <f ca="1">IFERROR(__xludf.DUMMYFUNCTION("""COMPUTED_VALUE"""),"")</f>
        <v/>
      </c>
      <c r="E106" s="15" t="str">
        <f ca="1">IFERROR(__xludf.DUMMYFUNCTION("""COMPUTED_VALUE"""),"")</f>
        <v/>
      </c>
      <c r="F106" s="51" t="str">
        <f ca="1">IFERROR(__xludf.DUMMYFUNCTION("""COMPUTED_VALUE"""),"")</f>
        <v/>
      </c>
      <c r="G106" s="16" t="str">
        <f ca="1">IFERROR(__xludf.DUMMYFUNCTION("""COMPUTED_VALUE"""),"")</f>
        <v/>
      </c>
      <c r="H106" s="17" t="str">
        <f ca="1">IFERROR(__xludf.DUMMYFUNCTION("""COMPUTED_VALUE"""),"")</f>
        <v/>
      </c>
      <c r="I106" s="17" t="str">
        <f ca="1">IFERROR(__xludf.DUMMYFUNCTION("""COMPUTED_VALUE"""),"")</f>
        <v/>
      </c>
      <c r="J106" s="17" t="str">
        <f ca="1">IFERROR(__xludf.DUMMYFUNCTION("""COMPUTED_VALUE"""),"")</f>
        <v/>
      </c>
      <c r="K106" s="18" t="str">
        <f ca="1">IFERROR(__xludf.DUMMYFUNCTION("""COMPUTED_VALUE"""),"")</f>
        <v/>
      </c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20"/>
      <c r="W106" s="20"/>
      <c r="X106" s="20"/>
      <c r="Y106" s="20"/>
      <c r="Z106" s="21"/>
      <c r="AA106" s="22"/>
      <c r="AB106" s="23"/>
    </row>
    <row r="107" spans="1:28" ht="13.5" customHeight="1" x14ac:dyDescent="0.35">
      <c r="A107" s="24" t="str">
        <f ca="1">IFERROR(__xludf.DUMMYFUNCTION("""COMPUTED_VALUE"""),"")</f>
        <v/>
      </c>
      <c r="B107" s="28" t="str">
        <f ca="1">IFERROR(__xludf.DUMMYFUNCTION("""COMPUTED_VALUE"""),"")</f>
        <v/>
      </c>
      <c r="C107" s="27" t="str">
        <f ca="1">IFERROR(__xludf.DUMMYFUNCTION("""COMPUTED_VALUE"""),"")</f>
        <v/>
      </c>
      <c r="D107" s="27" t="str">
        <f ca="1">IFERROR(__xludf.DUMMYFUNCTION("""COMPUTED_VALUE"""),"")</f>
        <v/>
      </c>
      <c r="E107" s="15" t="str">
        <f ca="1">IFERROR(__xludf.DUMMYFUNCTION("""COMPUTED_VALUE"""),"")</f>
        <v/>
      </c>
      <c r="F107" s="51" t="str">
        <f ca="1">IFERROR(__xludf.DUMMYFUNCTION("""COMPUTED_VALUE"""),"")</f>
        <v/>
      </c>
      <c r="G107" s="16" t="str">
        <f ca="1">IFERROR(__xludf.DUMMYFUNCTION("""COMPUTED_VALUE"""),"")</f>
        <v/>
      </c>
      <c r="H107" s="17" t="str">
        <f ca="1">IFERROR(__xludf.DUMMYFUNCTION("""COMPUTED_VALUE"""),"")</f>
        <v/>
      </c>
      <c r="I107" s="17" t="str">
        <f ca="1">IFERROR(__xludf.DUMMYFUNCTION("""COMPUTED_VALUE"""),"")</f>
        <v/>
      </c>
      <c r="J107" s="17" t="str">
        <f ca="1">IFERROR(__xludf.DUMMYFUNCTION("""COMPUTED_VALUE"""),"")</f>
        <v/>
      </c>
      <c r="K107" s="18" t="str">
        <f ca="1">IFERROR(__xludf.DUMMYFUNCTION("""COMPUTED_VALUE"""),"")</f>
        <v/>
      </c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20"/>
      <c r="W107" s="20"/>
      <c r="X107" s="20"/>
      <c r="Y107" s="20"/>
      <c r="Z107" s="21"/>
      <c r="AA107" s="22"/>
      <c r="AB107" s="23"/>
    </row>
    <row r="108" spans="1:28" ht="13.5" customHeight="1" x14ac:dyDescent="0.35">
      <c r="A108" s="24" t="str">
        <f ca="1">IFERROR(__xludf.DUMMYFUNCTION("""COMPUTED_VALUE"""),"")</f>
        <v/>
      </c>
      <c r="B108" s="28" t="str">
        <f ca="1">IFERROR(__xludf.DUMMYFUNCTION("""COMPUTED_VALUE"""),"")</f>
        <v/>
      </c>
      <c r="C108" s="27" t="str">
        <f ca="1">IFERROR(__xludf.DUMMYFUNCTION("""COMPUTED_VALUE"""),"")</f>
        <v/>
      </c>
      <c r="D108" s="27" t="str">
        <f ca="1">IFERROR(__xludf.DUMMYFUNCTION("""COMPUTED_VALUE"""),"")</f>
        <v/>
      </c>
      <c r="E108" s="15" t="str">
        <f ca="1">IFERROR(__xludf.DUMMYFUNCTION("""COMPUTED_VALUE"""),"")</f>
        <v/>
      </c>
      <c r="F108" s="51" t="str">
        <f ca="1">IFERROR(__xludf.DUMMYFUNCTION("""COMPUTED_VALUE"""),"")</f>
        <v/>
      </c>
      <c r="G108" s="16" t="str">
        <f ca="1">IFERROR(__xludf.DUMMYFUNCTION("""COMPUTED_VALUE"""),"")</f>
        <v/>
      </c>
      <c r="H108" s="17" t="str">
        <f ca="1">IFERROR(__xludf.DUMMYFUNCTION("""COMPUTED_VALUE"""),"")</f>
        <v/>
      </c>
      <c r="I108" s="17" t="str">
        <f ca="1">IFERROR(__xludf.DUMMYFUNCTION("""COMPUTED_VALUE"""),"")</f>
        <v/>
      </c>
      <c r="J108" s="17" t="str">
        <f ca="1">IFERROR(__xludf.DUMMYFUNCTION("""COMPUTED_VALUE"""),"")</f>
        <v/>
      </c>
      <c r="K108" s="18" t="str">
        <f ca="1">IFERROR(__xludf.DUMMYFUNCTION("""COMPUTED_VALUE"""),"")</f>
        <v/>
      </c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20"/>
      <c r="W108" s="20"/>
      <c r="X108" s="20"/>
      <c r="Y108" s="20"/>
      <c r="Z108" s="21"/>
      <c r="AA108" s="22"/>
      <c r="AB108" s="23"/>
    </row>
    <row r="109" spans="1:28" ht="13.5" customHeight="1" x14ac:dyDescent="0.35">
      <c r="A109" s="24" t="str">
        <f ca="1">IFERROR(__xludf.DUMMYFUNCTION("""COMPUTED_VALUE"""),"")</f>
        <v/>
      </c>
      <c r="B109" s="28" t="str">
        <f ca="1">IFERROR(__xludf.DUMMYFUNCTION("""COMPUTED_VALUE"""),"")</f>
        <v/>
      </c>
      <c r="C109" s="27" t="str">
        <f ca="1">IFERROR(__xludf.DUMMYFUNCTION("""COMPUTED_VALUE"""),"")</f>
        <v/>
      </c>
      <c r="D109" s="27" t="str">
        <f ca="1">IFERROR(__xludf.DUMMYFUNCTION("""COMPUTED_VALUE"""),"")</f>
        <v/>
      </c>
      <c r="E109" s="15" t="str">
        <f ca="1">IFERROR(__xludf.DUMMYFUNCTION("""COMPUTED_VALUE"""),"")</f>
        <v/>
      </c>
      <c r="F109" s="51" t="str">
        <f ca="1">IFERROR(__xludf.DUMMYFUNCTION("""COMPUTED_VALUE"""),"")</f>
        <v/>
      </c>
      <c r="G109" s="16" t="str">
        <f ca="1">IFERROR(__xludf.DUMMYFUNCTION("""COMPUTED_VALUE"""),"")</f>
        <v/>
      </c>
      <c r="H109" s="17" t="str">
        <f ca="1">IFERROR(__xludf.DUMMYFUNCTION("""COMPUTED_VALUE"""),"")</f>
        <v/>
      </c>
      <c r="I109" s="17" t="str">
        <f ca="1">IFERROR(__xludf.DUMMYFUNCTION("""COMPUTED_VALUE"""),"")</f>
        <v/>
      </c>
      <c r="J109" s="17" t="str">
        <f ca="1">IFERROR(__xludf.DUMMYFUNCTION("""COMPUTED_VALUE"""),"")</f>
        <v/>
      </c>
      <c r="K109" s="18" t="str">
        <f ca="1">IFERROR(__xludf.DUMMYFUNCTION("""COMPUTED_VALUE"""),"")</f>
        <v/>
      </c>
      <c r="L109" s="19"/>
      <c r="M109" s="19"/>
      <c r="N109" s="19"/>
      <c r="O109" s="19"/>
      <c r="P109" s="19"/>
      <c r="Q109" s="19"/>
      <c r="R109" s="19"/>
      <c r="S109" s="19"/>
      <c r="T109" s="19"/>
      <c r="U109" s="19"/>
      <c r="V109" s="20"/>
      <c r="W109" s="20"/>
      <c r="X109" s="20"/>
      <c r="Y109" s="20"/>
      <c r="Z109" s="21"/>
      <c r="AA109" s="22"/>
      <c r="AB109" s="23"/>
    </row>
    <row r="110" spans="1:28" ht="13.5" customHeight="1" x14ac:dyDescent="0.35">
      <c r="A110" s="24" t="str">
        <f ca="1">IFERROR(__xludf.DUMMYFUNCTION("""COMPUTED_VALUE"""),"")</f>
        <v/>
      </c>
      <c r="B110" s="28" t="str">
        <f ca="1">IFERROR(__xludf.DUMMYFUNCTION("""COMPUTED_VALUE"""),"")</f>
        <v/>
      </c>
      <c r="C110" s="27" t="str">
        <f ca="1">IFERROR(__xludf.DUMMYFUNCTION("""COMPUTED_VALUE"""),"")</f>
        <v/>
      </c>
      <c r="D110" s="27" t="str">
        <f ca="1">IFERROR(__xludf.DUMMYFUNCTION("""COMPUTED_VALUE"""),"")</f>
        <v/>
      </c>
      <c r="E110" s="15" t="str">
        <f ca="1">IFERROR(__xludf.DUMMYFUNCTION("""COMPUTED_VALUE"""),"")</f>
        <v/>
      </c>
      <c r="F110" s="51" t="str">
        <f ca="1">IFERROR(__xludf.DUMMYFUNCTION("""COMPUTED_VALUE"""),"")</f>
        <v/>
      </c>
      <c r="G110" s="16" t="str">
        <f ca="1">IFERROR(__xludf.DUMMYFUNCTION("""COMPUTED_VALUE"""),"")</f>
        <v/>
      </c>
      <c r="H110" s="17" t="str">
        <f ca="1">IFERROR(__xludf.DUMMYFUNCTION("""COMPUTED_VALUE"""),"")</f>
        <v/>
      </c>
      <c r="I110" s="17" t="str">
        <f ca="1">IFERROR(__xludf.DUMMYFUNCTION("""COMPUTED_VALUE"""),"")</f>
        <v/>
      </c>
      <c r="J110" s="17" t="str">
        <f ca="1">IFERROR(__xludf.DUMMYFUNCTION("""COMPUTED_VALUE"""),"")</f>
        <v/>
      </c>
      <c r="K110" s="18" t="str">
        <f ca="1">IFERROR(__xludf.DUMMYFUNCTION("""COMPUTED_VALUE"""),"")</f>
        <v/>
      </c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20"/>
      <c r="W110" s="20"/>
      <c r="X110" s="20"/>
      <c r="Y110" s="20"/>
      <c r="Z110" s="21"/>
      <c r="AA110" s="22"/>
      <c r="AB110" s="23"/>
    </row>
    <row r="111" spans="1:28" ht="13.5" customHeight="1" x14ac:dyDescent="0.35">
      <c r="A111" s="24" t="str">
        <f ca="1">IFERROR(__xludf.DUMMYFUNCTION("""COMPUTED_VALUE"""),"")</f>
        <v/>
      </c>
      <c r="B111" s="28" t="str">
        <f ca="1">IFERROR(__xludf.DUMMYFUNCTION("""COMPUTED_VALUE"""),"")</f>
        <v/>
      </c>
      <c r="C111" s="27" t="str">
        <f ca="1">IFERROR(__xludf.DUMMYFUNCTION("""COMPUTED_VALUE"""),"")</f>
        <v/>
      </c>
      <c r="D111" s="27" t="str">
        <f ca="1">IFERROR(__xludf.DUMMYFUNCTION("""COMPUTED_VALUE"""),"")</f>
        <v/>
      </c>
      <c r="E111" s="15" t="str">
        <f ca="1">IFERROR(__xludf.DUMMYFUNCTION("""COMPUTED_VALUE"""),"")</f>
        <v/>
      </c>
      <c r="F111" s="51" t="str">
        <f ca="1">IFERROR(__xludf.DUMMYFUNCTION("""COMPUTED_VALUE"""),"")</f>
        <v/>
      </c>
      <c r="G111" s="16" t="str">
        <f ca="1">IFERROR(__xludf.DUMMYFUNCTION("""COMPUTED_VALUE"""),"")</f>
        <v/>
      </c>
      <c r="H111" s="17" t="str">
        <f ca="1">IFERROR(__xludf.DUMMYFUNCTION("""COMPUTED_VALUE"""),"")</f>
        <v/>
      </c>
      <c r="I111" s="17" t="str">
        <f ca="1">IFERROR(__xludf.DUMMYFUNCTION("""COMPUTED_VALUE"""),"")</f>
        <v/>
      </c>
      <c r="J111" s="17" t="str">
        <f ca="1">IFERROR(__xludf.DUMMYFUNCTION("""COMPUTED_VALUE"""),"")</f>
        <v/>
      </c>
      <c r="K111" s="18" t="str">
        <f ca="1">IFERROR(__xludf.DUMMYFUNCTION("""COMPUTED_VALUE"""),"")</f>
        <v/>
      </c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V111" s="20"/>
      <c r="W111" s="20"/>
      <c r="X111" s="20"/>
      <c r="Y111" s="20"/>
      <c r="Z111" s="21"/>
      <c r="AA111" s="22"/>
      <c r="AB111" s="23"/>
    </row>
    <row r="112" spans="1:28" ht="13.5" customHeight="1" x14ac:dyDescent="0.35">
      <c r="A112" s="24" t="str">
        <f ca="1">IFERROR(__xludf.DUMMYFUNCTION("""COMPUTED_VALUE"""),"")</f>
        <v/>
      </c>
      <c r="B112" s="28" t="str">
        <f ca="1">IFERROR(__xludf.DUMMYFUNCTION("""COMPUTED_VALUE"""),"")</f>
        <v/>
      </c>
      <c r="C112" s="27" t="str">
        <f ca="1">IFERROR(__xludf.DUMMYFUNCTION("""COMPUTED_VALUE"""),"")</f>
        <v/>
      </c>
      <c r="D112" s="27" t="str">
        <f ca="1">IFERROR(__xludf.DUMMYFUNCTION("""COMPUTED_VALUE"""),"")</f>
        <v/>
      </c>
      <c r="E112" s="15" t="str">
        <f ca="1">IFERROR(__xludf.DUMMYFUNCTION("""COMPUTED_VALUE"""),"")</f>
        <v/>
      </c>
      <c r="F112" s="51" t="str">
        <f ca="1">IFERROR(__xludf.DUMMYFUNCTION("""COMPUTED_VALUE"""),"")</f>
        <v/>
      </c>
      <c r="G112" s="16" t="str">
        <f ca="1">IFERROR(__xludf.DUMMYFUNCTION("""COMPUTED_VALUE"""),"")</f>
        <v/>
      </c>
      <c r="H112" s="17" t="str">
        <f ca="1">IFERROR(__xludf.DUMMYFUNCTION("""COMPUTED_VALUE"""),"")</f>
        <v/>
      </c>
      <c r="I112" s="17" t="str">
        <f ca="1">IFERROR(__xludf.DUMMYFUNCTION("""COMPUTED_VALUE"""),"")</f>
        <v/>
      </c>
      <c r="J112" s="17" t="str">
        <f ca="1">IFERROR(__xludf.DUMMYFUNCTION("""COMPUTED_VALUE"""),"")</f>
        <v/>
      </c>
      <c r="K112" s="18" t="str">
        <f ca="1">IFERROR(__xludf.DUMMYFUNCTION("""COMPUTED_VALUE"""),"")</f>
        <v/>
      </c>
      <c r="L112" s="19"/>
      <c r="M112" s="19"/>
      <c r="N112" s="19"/>
      <c r="O112" s="19"/>
      <c r="P112" s="19"/>
      <c r="Q112" s="19"/>
      <c r="R112" s="19"/>
      <c r="S112" s="19"/>
      <c r="T112" s="19"/>
      <c r="U112" s="19"/>
      <c r="V112" s="20"/>
      <c r="W112" s="20"/>
      <c r="X112" s="20"/>
      <c r="Y112" s="20"/>
      <c r="Z112" s="21"/>
      <c r="AA112" s="22"/>
      <c r="AB112" s="23"/>
    </row>
    <row r="113" spans="1:28" ht="13.5" customHeight="1" x14ac:dyDescent="0.35">
      <c r="A113" s="24" t="str">
        <f ca="1">IFERROR(__xludf.DUMMYFUNCTION("""COMPUTED_VALUE"""),"")</f>
        <v/>
      </c>
      <c r="B113" s="28" t="str">
        <f ca="1">IFERROR(__xludf.DUMMYFUNCTION("""COMPUTED_VALUE"""),"")</f>
        <v/>
      </c>
      <c r="C113" s="27" t="str">
        <f ca="1">IFERROR(__xludf.DUMMYFUNCTION("""COMPUTED_VALUE"""),"")</f>
        <v/>
      </c>
      <c r="D113" s="27" t="str">
        <f ca="1">IFERROR(__xludf.DUMMYFUNCTION("""COMPUTED_VALUE"""),"")</f>
        <v/>
      </c>
      <c r="E113" s="15" t="str">
        <f ca="1">IFERROR(__xludf.DUMMYFUNCTION("""COMPUTED_VALUE"""),"")</f>
        <v/>
      </c>
      <c r="F113" s="51" t="str">
        <f ca="1">IFERROR(__xludf.DUMMYFUNCTION("""COMPUTED_VALUE"""),"")</f>
        <v/>
      </c>
      <c r="G113" s="16" t="str">
        <f ca="1">IFERROR(__xludf.DUMMYFUNCTION("""COMPUTED_VALUE"""),"")</f>
        <v/>
      </c>
      <c r="H113" s="17" t="str">
        <f ca="1">IFERROR(__xludf.DUMMYFUNCTION("""COMPUTED_VALUE"""),"")</f>
        <v/>
      </c>
      <c r="I113" s="17" t="str">
        <f ca="1">IFERROR(__xludf.DUMMYFUNCTION("""COMPUTED_VALUE"""),"")</f>
        <v/>
      </c>
      <c r="J113" s="17" t="str">
        <f ca="1">IFERROR(__xludf.DUMMYFUNCTION("""COMPUTED_VALUE"""),"")</f>
        <v/>
      </c>
      <c r="K113" s="18" t="str">
        <f ca="1">IFERROR(__xludf.DUMMYFUNCTION("""COMPUTED_VALUE"""),"")</f>
        <v/>
      </c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20"/>
      <c r="W113" s="20"/>
      <c r="X113" s="20"/>
      <c r="Y113" s="20"/>
      <c r="Z113" s="21"/>
      <c r="AA113" s="22"/>
      <c r="AB113" s="23"/>
    </row>
    <row r="114" spans="1:28" ht="13.5" customHeight="1" x14ac:dyDescent="0.35">
      <c r="A114" s="24" t="str">
        <f ca="1">IFERROR(__xludf.DUMMYFUNCTION("""COMPUTED_VALUE"""),"")</f>
        <v/>
      </c>
      <c r="B114" s="28" t="str">
        <f ca="1">IFERROR(__xludf.DUMMYFUNCTION("""COMPUTED_VALUE"""),"")</f>
        <v/>
      </c>
      <c r="C114" s="27" t="str">
        <f ca="1">IFERROR(__xludf.DUMMYFUNCTION("""COMPUTED_VALUE"""),"")</f>
        <v/>
      </c>
      <c r="D114" s="27" t="str">
        <f ca="1">IFERROR(__xludf.DUMMYFUNCTION("""COMPUTED_VALUE"""),"")</f>
        <v/>
      </c>
      <c r="E114" s="15" t="str">
        <f ca="1">IFERROR(__xludf.DUMMYFUNCTION("""COMPUTED_VALUE"""),"")</f>
        <v/>
      </c>
      <c r="F114" s="51" t="str">
        <f ca="1">IFERROR(__xludf.DUMMYFUNCTION("""COMPUTED_VALUE"""),"")</f>
        <v/>
      </c>
      <c r="G114" s="16" t="str">
        <f ca="1">IFERROR(__xludf.DUMMYFUNCTION("""COMPUTED_VALUE"""),"")</f>
        <v/>
      </c>
      <c r="H114" s="17" t="str">
        <f ca="1">IFERROR(__xludf.DUMMYFUNCTION("""COMPUTED_VALUE"""),"")</f>
        <v/>
      </c>
      <c r="I114" s="17" t="str">
        <f ca="1">IFERROR(__xludf.DUMMYFUNCTION("""COMPUTED_VALUE"""),"")</f>
        <v/>
      </c>
      <c r="J114" s="17" t="str">
        <f ca="1">IFERROR(__xludf.DUMMYFUNCTION("""COMPUTED_VALUE"""),"")</f>
        <v/>
      </c>
      <c r="K114" s="18" t="str">
        <f ca="1">IFERROR(__xludf.DUMMYFUNCTION("""COMPUTED_VALUE"""),"")</f>
        <v/>
      </c>
      <c r="L114" s="19"/>
      <c r="M114" s="19"/>
      <c r="N114" s="19"/>
      <c r="O114" s="19"/>
      <c r="P114" s="19"/>
      <c r="Q114" s="19"/>
      <c r="R114" s="19"/>
      <c r="S114" s="19"/>
      <c r="T114" s="19"/>
      <c r="U114" s="19"/>
      <c r="V114" s="20"/>
      <c r="W114" s="20"/>
      <c r="X114" s="20"/>
      <c r="Y114" s="20"/>
      <c r="Z114" s="21"/>
      <c r="AA114" s="22"/>
      <c r="AB114" s="23"/>
    </row>
    <row r="115" spans="1:28" ht="13.5" customHeight="1" x14ac:dyDescent="0.35">
      <c r="A115" s="24" t="str">
        <f ca="1">IFERROR(__xludf.DUMMYFUNCTION("""COMPUTED_VALUE"""),"")</f>
        <v/>
      </c>
      <c r="B115" s="28" t="str">
        <f ca="1">IFERROR(__xludf.DUMMYFUNCTION("""COMPUTED_VALUE"""),"")</f>
        <v/>
      </c>
      <c r="C115" s="27" t="str">
        <f ca="1">IFERROR(__xludf.DUMMYFUNCTION("""COMPUTED_VALUE"""),"")</f>
        <v/>
      </c>
      <c r="D115" s="27" t="str">
        <f ca="1">IFERROR(__xludf.DUMMYFUNCTION("""COMPUTED_VALUE"""),"")</f>
        <v/>
      </c>
      <c r="E115" s="15" t="str">
        <f ca="1">IFERROR(__xludf.DUMMYFUNCTION("""COMPUTED_VALUE"""),"")</f>
        <v/>
      </c>
      <c r="F115" s="51" t="str">
        <f ca="1">IFERROR(__xludf.DUMMYFUNCTION("""COMPUTED_VALUE"""),"")</f>
        <v/>
      </c>
      <c r="G115" s="16" t="str">
        <f ca="1">IFERROR(__xludf.DUMMYFUNCTION("""COMPUTED_VALUE"""),"")</f>
        <v/>
      </c>
      <c r="H115" s="17" t="str">
        <f ca="1">IFERROR(__xludf.DUMMYFUNCTION("""COMPUTED_VALUE"""),"")</f>
        <v/>
      </c>
      <c r="I115" s="17" t="str">
        <f ca="1">IFERROR(__xludf.DUMMYFUNCTION("""COMPUTED_VALUE"""),"")</f>
        <v/>
      </c>
      <c r="J115" s="17" t="str">
        <f ca="1">IFERROR(__xludf.DUMMYFUNCTION("""COMPUTED_VALUE"""),"")</f>
        <v/>
      </c>
      <c r="K115" s="18" t="str">
        <f ca="1">IFERROR(__xludf.DUMMYFUNCTION("""COMPUTED_VALUE"""),"")</f>
        <v/>
      </c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20"/>
      <c r="W115" s="20"/>
      <c r="X115" s="20"/>
      <c r="Y115" s="20"/>
      <c r="Z115" s="21"/>
      <c r="AA115" s="22"/>
      <c r="AB115" s="23"/>
    </row>
    <row r="116" spans="1:28" ht="13.5" customHeight="1" x14ac:dyDescent="0.35">
      <c r="A116" s="24" t="str">
        <f ca="1">IFERROR(__xludf.DUMMYFUNCTION("""COMPUTED_VALUE"""),"")</f>
        <v/>
      </c>
      <c r="B116" s="28" t="str">
        <f ca="1">IFERROR(__xludf.DUMMYFUNCTION("""COMPUTED_VALUE"""),"")</f>
        <v/>
      </c>
      <c r="C116" s="27" t="str">
        <f ca="1">IFERROR(__xludf.DUMMYFUNCTION("""COMPUTED_VALUE"""),"")</f>
        <v/>
      </c>
      <c r="D116" s="27" t="str">
        <f ca="1">IFERROR(__xludf.DUMMYFUNCTION("""COMPUTED_VALUE"""),"")</f>
        <v/>
      </c>
      <c r="E116" s="15" t="str">
        <f ca="1">IFERROR(__xludf.DUMMYFUNCTION("""COMPUTED_VALUE"""),"")</f>
        <v/>
      </c>
      <c r="F116" s="51" t="str">
        <f ca="1">IFERROR(__xludf.DUMMYFUNCTION("""COMPUTED_VALUE"""),"")</f>
        <v/>
      </c>
      <c r="G116" s="16" t="str">
        <f ca="1">IFERROR(__xludf.DUMMYFUNCTION("""COMPUTED_VALUE"""),"")</f>
        <v/>
      </c>
      <c r="H116" s="17" t="str">
        <f ca="1">IFERROR(__xludf.DUMMYFUNCTION("""COMPUTED_VALUE"""),"")</f>
        <v/>
      </c>
      <c r="I116" s="17" t="str">
        <f ca="1">IFERROR(__xludf.DUMMYFUNCTION("""COMPUTED_VALUE"""),"")</f>
        <v/>
      </c>
      <c r="J116" s="17" t="str">
        <f ca="1">IFERROR(__xludf.DUMMYFUNCTION("""COMPUTED_VALUE"""),"")</f>
        <v/>
      </c>
      <c r="K116" s="18" t="str">
        <f ca="1">IFERROR(__xludf.DUMMYFUNCTION("""COMPUTED_VALUE"""),"")</f>
        <v/>
      </c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20"/>
      <c r="W116" s="20"/>
      <c r="X116" s="20"/>
      <c r="Y116" s="20"/>
      <c r="Z116" s="21"/>
      <c r="AA116" s="22"/>
      <c r="AB116" s="23"/>
    </row>
    <row r="117" spans="1:28" ht="13.5" customHeight="1" x14ac:dyDescent="0.35">
      <c r="A117" s="24" t="str">
        <f ca="1">IFERROR(__xludf.DUMMYFUNCTION("""COMPUTED_VALUE"""),"")</f>
        <v/>
      </c>
      <c r="B117" s="28" t="str">
        <f ca="1">IFERROR(__xludf.DUMMYFUNCTION("""COMPUTED_VALUE"""),"")</f>
        <v/>
      </c>
      <c r="C117" s="27" t="str">
        <f ca="1">IFERROR(__xludf.DUMMYFUNCTION("""COMPUTED_VALUE"""),"")</f>
        <v/>
      </c>
      <c r="D117" s="27" t="str">
        <f ca="1">IFERROR(__xludf.DUMMYFUNCTION("""COMPUTED_VALUE"""),"")</f>
        <v/>
      </c>
      <c r="E117" s="15" t="str">
        <f ca="1">IFERROR(__xludf.DUMMYFUNCTION("""COMPUTED_VALUE"""),"")</f>
        <v/>
      </c>
      <c r="F117" s="51" t="str">
        <f ca="1">IFERROR(__xludf.DUMMYFUNCTION("""COMPUTED_VALUE"""),"")</f>
        <v/>
      </c>
      <c r="G117" s="16" t="str">
        <f ca="1">IFERROR(__xludf.DUMMYFUNCTION("""COMPUTED_VALUE"""),"")</f>
        <v/>
      </c>
      <c r="H117" s="17" t="str">
        <f ca="1">IFERROR(__xludf.DUMMYFUNCTION("""COMPUTED_VALUE"""),"")</f>
        <v/>
      </c>
      <c r="I117" s="17" t="str">
        <f ca="1">IFERROR(__xludf.DUMMYFUNCTION("""COMPUTED_VALUE"""),"")</f>
        <v/>
      </c>
      <c r="J117" s="17" t="str">
        <f ca="1">IFERROR(__xludf.DUMMYFUNCTION("""COMPUTED_VALUE"""),"")</f>
        <v/>
      </c>
      <c r="K117" s="18" t="str">
        <f ca="1">IFERROR(__xludf.DUMMYFUNCTION("""COMPUTED_VALUE"""),"")</f>
        <v/>
      </c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20"/>
      <c r="W117" s="20"/>
      <c r="X117" s="20"/>
      <c r="Y117" s="20"/>
      <c r="Z117" s="21"/>
      <c r="AA117" s="22"/>
      <c r="AB117" s="23"/>
    </row>
    <row r="118" spans="1:28" ht="13.5" customHeight="1" x14ac:dyDescent="0.35">
      <c r="A118" s="24" t="str">
        <f ca="1">IFERROR(__xludf.DUMMYFUNCTION("""COMPUTED_VALUE"""),"")</f>
        <v/>
      </c>
      <c r="B118" s="28" t="str">
        <f ca="1">IFERROR(__xludf.DUMMYFUNCTION("""COMPUTED_VALUE"""),"")</f>
        <v/>
      </c>
      <c r="C118" s="27" t="str">
        <f ca="1">IFERROR(__xludf.DUMMYFUNCTION("""COMPUTED_VALUE"""),"")</f>
        <v/>
      </c>
      <c r="D118" s="27" t="str">
        <f ca="1">IFERROR(__xludf.DUMMYFUNCTION("""COMPUTED_VALUE"""),"")</f>
        <v/>
      </c>
      <c r="E118" s="15" t="str">
        <f ca="1">IFERROR(__xludf.DUMMYFUNCTION("""COMPUTED_VALUE"""),"")</f>
        <v/>
      </c>
      <c r="F118" s="51" t="str">
        <f ca="1">IFERROR(__xludf.DUMMYFUNCTION("""COMPUTED_VALUE"""),"")</f>
        <v/>
      </c>
      <c r="G118" s="16" t="str">
        <f ca="1">IFERROR(__xludf.DUMMYFUNCTION("""COMPUTED_VALUE"""),"")</f>
        <v/>
      </c>
      <c r="H118" s="17" t="str">
        <f ca="1">IFERROR(__xludf.DUMMYFUNCTION("""COMPUTED_VALUE"""),"")</f>
        <v/>
      </c>
      <c r="I118" s="17" t="str">
        <f ca="1">IFERROR(__xludf.DUMMYFUNCTION("""COMPUTED_VALUE"""),"")</f>
        <v/>
      </c>
      <c r="J118" s="17" t="str">
        <f ca="1">IFERROR(__xludf.DUMMYFUNCTION("""COMPUTED_VALUE"""),"")</f>
        <v/>
      </c>
      <c r="K118" s="18" t="str">
        <f ca="1">IFERROR(__xludf.DUMMYFUNCTION("""COMPUTED_VALUE"""),"")</f>
        <v/>
      </c>
      <c r="L118" s="19"/>
      <c r="M118" s="19"/>
      <c r="N118" s="19"/>
      <c r="O118" s="19"/>
      <c r="P118" s="19"/>
      <c r="Q118" s="19"/>
      <c r="R118" s="19"/>
      <c r="S118" s="19"/>
      <c r="T118" s="19"/>
      <c r="U118" s="19"/>
      <c r="V118" s="20"/>
      <c r="W118" s="20"/>
      <c r="X118" s="20"/>
      <c r="Y118" s="20"/>
      <c r="Z118" s="21"/>
      <c r="AA118" s="22"/>
      <c r="AB118" s="23"/>
    </row>
    <row r="119" spans="1:28" ht="13.5" customHeight="1" x14ac:dyDescent="0.35">
      <c r="A119" s="24" t="str">
        <f ca="1">IFERROR(__xludf.DUMMYFUNCTION("""COMPUTED_VALUE"""),"")</f>
        <v/>
      </c>
      <c r="B119" s="28" t="str">
        <f ca="1">IFERROR(__xludf.DUMMYFUNCTION("""COMPUTED_VALUE"""),"")</f>
        <v/>
      </c>
      <c r="C119" s="27" t="str">
        <f ca="1">IFERROR(__xludf.DUMMYFUNCTION("""COMPUTED_VALUE"""),"")</f>
        <v/>
      </c>
      <c r="D119" s="27" t="str">
        <f ca="1">IFERROR(__xludf.DUMMYFUNCTION("""COMPUTED_VALUE"""),"")</f>
        <v/>
      </c>
      <c r="E119" s="15" t="str">
        <f ca="1">IFERROR(__xludf.DUMMYFUNCTION("""COMPUTED_VALUE"""),"")</f>
        <v/>
      </c>
      <c r="F119" s="51" t="str">
        <f ca="1">IFERROR(__xludf.DUMMYFUNCTION("""COMPUTED_VALUE"""),"")</f>
        <v/>
      </c>
      <c r="G119" s="16" t="str">
        <f ca="1">IFERROR(__xludf.DUMMYFUNCTION("""COMPUTED_VALUE"""),"")</f>
        <v/>
      </c>
      <c r="H119" s="17" t="str">
        <f ca="1">IFERROR(__xludf.DUMMYFUNCTION("""COMPUTED_VALUE"""),"")</f>
        <v/>
      </c>
      <c r="I119" s="17" t="str">
        <f ca="1">IFERROR(__xludf.DUMMYFUNCTION("""COMPUTED_VALUE"""),"")</f>
        <v/>
      </c>
      <c r="J119" s="17" t="str">
        <f ca="1">IFERROR(__xludf.DUMMYFUNCTION("""COMPUTED_VALUE"""),"")</f>
        <v/>
      </c>
      <c r="K119" s="18" t="str">
        <f ca="1">IFERROR(__xludf.DUMMYFUNCTION("""COMPUTED_VALUE"""),"")</f>
        <v/>
      </c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20"/>
      <c r="W119" s="20"/>
      <c r="X119" s="20"/>
      <c r="Y119" s="20"/>
      <c r="Z119" s="21"/>
      <c r="AA119" s="22"/>
      <c r="AB119" s="23"/>
    </row>
    <row r="120" spans="1:28" ht="13.5" customHeight="1" x14ac:dyDescent="0.35">
      <c r="A120" s="24" t="str">
        <f ca="1">IFERROR(__xludf.DUMMYFUNCTION("""COMPUTED_VALUE"""),"")</f>
        <v/>
      </c>
      <c r="B120" s="28" t="str">
        <f ca="1">IFERROR(__xludf.DUMMYFUNCTION("""COMPUTED_VALUE"""),"")</f>
        <v/>
      </c>
      <c r="C120" s="27" t="str">
        <f ca="1">IFERROR(__xludf.DUMMYFUNCTION("""COMPUTED_VALUE"""),"")</f>
        <v/>
      </c>
      <c r="D120" s="27" t="str">
        <f ca="1">IFERROR(__xludf.DUMMYFUNCTION("""COMPUTED_VALUE"""),"")</f>
        <v/>
      </c>
      <c r="E120" s="15" t="str">
        <f ca="1">IFERROR(__xludf.DUMMYFUNCTION("""COMPUTED_VALUE"""),"")</f>
        <v/>
      </c>
      <c r="F120" s="51" t="str">
        <f ca="1">IFERROR(__xludf.DUMMYFUNCTION("""COMPUTED_VALUE"""),"")</f>
        <v/>
      </c>
      <c r="G120" s="16" t="str">
        <f ca="1">IFERROR(__xludf.DUMMYFUNCTION("""COMPUTED_VALUE"""),"")</f>
        <v/>
      </c>
      <c r="H120" s="17" t="str">
        <f ca="1">IFERROR(__xludf.DUMMYFUNCTION("""COMPUTED_VALUE"""),"")</f>
        <v/>
      </c>
      <c r="I120" s="17" t="str">
        <f ca="1">IFERROR(__xludf.DUMMYFUNCTION("""COMPUTED_VALUE"""),"")</f>
        <v/>
      </c>
      <c r="J120" s="17" t="str">
        <f ca="1">IFERROR(__xludf.DUMMYFUNCTION("""COMPUTED_VALUE"""),"")</f>
        <v/>
      </c>
      <c r="K120" s="18" t="str">
        <f ca="1">IFERROR(__xludf.DUMMYFUNCTION("""COMPUTED_VALUE"""),"")</f>
        <v/>
      </c>
      <c r="L120" s="19"/>
      <c r="M120" s="19"/>
      <c r="N120" s="19"/>
      <c r="O120" s="19"/>
      <c r="P120" s="19"/>
      <c r="Q120" s="19"/>
      <c r="R120" s="19"/>
      <c r="S120" s="19"/>
      <c r="T120" s="19"/>
      <c r="U120" s="19"/>
      <c r="V120" s="20"/>
      <c r="W120" s="20"/>
      <c r="X120" s="20"/>
      <c r="Y120" s="20"/>
      <c r="Z120" s="21"/>
      <c r="AA120" s="22"/>
      <c r="AB120" s="23"/>
    </row>
    <row r="121" spans="1:28" ht="13.5" customHeight="1" x14ac:dyDescent="0.35">
      <c r="A121" s="24" t="str">
        <f ca="1">IFERROR(__xludf.DUMMYFUNCTION("""COMPUTED_VALUE"""),"")</f>
        <v/>
      </c>
      <c r="B121" s="28" t="str">
        <f ca="1">IFERROR(__xludf.DUMMYFUNCTION("""COMPUTED_VALUE"""),"")</f>
        <v/>
      </c>
      <c r="C121" s="27" t="str">
        <f ca="1">IFERROR(__xludf.DUMMYFUNCTION("""COMPUTED_VALUE"""),"")</f>
        <v/>
      </c>
      <c r="D121" s="27" t="str">
        <f ca="1">IFERROR(__xludf.DUMMYFUNCTION("""COMPUTED_VALUE"""),"")</f>
        <v/>
      </c>
      <c r="E121" s="15" t="str">
        <f ca="1">IFERROR(__xludf.DUMMYFUNCTION("""COMPUTED_VALUE"""),"")</f>
        <v/>
      </c>
      <c r="F121" s="51" t="str">
        <f ca="1">IFERROR(__xludf.DUMMYFUNCTION("""COMPUTED_VALUE"""),"")</f>
        <v/>
      </c>
      <c r="G121" s="16" t="str">
        <f ca="1">IFERROR(__xludf.DUMMYFUNCTION("""COMPUTED_VALUE"""),"")</f>
        <v/>
      </c>
      <c r="H121" s="17" t="str">
        <f ca="1">IFERROR(__xludf.DUMMYFUNCTION("""COMPUTED_VALUE"""),"")</f>
        <v/>
      </c>
      <c r="I121" s="17" t="str">
        <f ca="1">IFERROR(__xludf.DUMMYFUNCTION("""COMPUTED_VALUE"""),"")</f>
        <v/>
      </c>
      <c r="J121" s="17" t="str">
        <f ca="1">IFERROR(__xludf.DUMMYFUNCTION("""COMPUTED_VALUE"""),"")</f>
        <v/>
      </c>
      <c r="K121" s="18" t="str">
        <f ca="1">IFERROR(__xludf.DUMMYFUNCTION("""COMPUTED_VALUE"""),"")</f>
        <v/>
      </c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20"/>
      <c r="W121" s="20"/>
      <c r="X121" s="20"/>
      <c r="Y121" s="20"/>
      <c r="Z121" s="21"/>
      <c r="AA121" s="22"/>
      <c r="AB121" s="23"/>
    </row>
    <row r="122" spans="1:28" ht="13.5" customHeight="1" x14ac:dyDescent="0.35">
      <c r="A122" s="24" t="str">
        <f ca="1">IFERROR(__xludf.DUMMYFUNCTION("""COMPUTED_VALUE"""),"")</f>
        <v/>
      </c>
      <c r="B122" s="28" t="str">
        <f ca="1">IFERROR(__xludf.DUMMYFUNCTION("""COMPUTED_VALUE"""),"")</f>
        <v/>
      </c>
      <c r="C122" s="27" t="str">
        <f ca="1">IFERROR(__xludf.DUMMYFUNCTION("""COMPUTED_VALUE"""),"")</f>
        <v/>
      </c>
      <c r="D122" s="27" t="str">
        <f ca="1">IFERROR(__xludf.DUMMYFUNCTION("""COMPUTED_VALUE"""),"")</f>
        <v/>
      </c>
      <c r="E122" s="15" t="str">
        <f ca="1">IFERROR(__xludf.DUMMYFUNCTION("""COMPUTED_VALUE"""),"")</f>
        <v/>
      </c>
      <c r="F122" s="51" t="str">
        <f ca="1">IFERROR(__xludf.DUMMYFUNCTION("""COMPUTED_VALUE"""),"")</f>
        <v/>
      </c>
      <c r="G122" s="16" t="str">
        <f ca="1">IFERROR(__xludf.DUMMYFUNCTION("""COMPUTED_VALUE"""),"")</f>
        <v/>
      </c>
      <c r="H122" s="17" t="str">
        <f ca="1">IFERROR(__xludf.DUMMYFUNCTION("""COMPUTED_VALUE"""),"")</f>
        <v/>
      </c>
      <c r="I122" s="17" t="str">
        <f ca="1">IFERROR(__xludf.DUMMYFUNCTION("""COMPUTED_VALUE"""),"")</f>
        <v/>
      </c>
      <c r="J122" s="17" t="str">
        <f ca="1">IFERROR(__xludf.DUMMYFUNCTION("""COMPUTED_VALUE"""),"")</f>
        <v/>
      </c>
      <c r="K122" s="18" t="str">
        <f ca="1">IFERROR(__xludf.DUMMYFUNCTION("""COMPUTED_VALUE"""),"")</f>
        <v/>
      </c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20"/>
      <c r="W122" s="20"/>
      <c r="X122" s="20"/>
      <c r="Y122" s="20"/>
      <c r="Z122" s="21"/>
      <c r="AA122" s="22"/>
      <c r="AB122" s="23"/>
    </row>
    <row r="123" spans="1:28" ht="13.5" customHeight="1" x14ac:dyDescent="0.35">
      <c r="A123" s="24" t="str">
        <f ca="1">IFERROR(__xludf.DUMMYFUNCTION("""COMPUTED_VALUE"""),"")</f>
        <v/>
      </c>
      <c r="B123" s="28" t="str">
        <f ca="1">IFERROR(__xludf.DUMMYFUNCTION("""COMPUTED_VALUE"""),"")</f>
        <v/>
      </c>
      <c r="C123" s="27" t="str">
        <f ca="1">IFERROR(__xludf.DUMMYFUNCTION("""COMPUTED_VALUE"""),"")</f>
        <v/>
      </c>
      <c r="D123" s="27" t="str">
        <f ca="1">IFERROR(__xludf.DUMMYFUNCTION("""COMPUTED_VALUE"""),"")</f>
        <v/>
      </c>
      <c r="E123" s="15" t="str">
        <f ca="1">IFERROR(__xludf.DUMMYFUNCTION("""COMPUTED_VALUE"""),"")</f>
        <v/>
      </c>
      <c r="F123" s="51" t="str">
        <f ca="1">IFERROR(__xludf.DUMMYFUNCTION("""COMPUTED_VALUE"""),"")</f>
        <v/>
      </c>
      <c r="G123" s="16" t="str">
        <f ca="1">IFERROR(__xludf.DUMMYFUNCTION("""COMPUTED_VALUE"""),"")</f>
        <v/>
      </c>
      <c r="H123" s="17" t="str">
        <f ca="1">IFERROR(__xludf.DUMMYFUNCTION("""COMPUTED_VALUE"""),"")</f>
        <v/>
      </c>
      <c r="I123" s="17" t="str">
        <f ca="1">IFERROR(__xludf.DUMMYFUNCTION("""COMPUTED_VALUE"""),"")</f>
        <v/>
      </c>
      <c r="J123" s="17" t="str">
        <f ca="1">IFERROR(__xludf.DUMMYFUNCTION("""COMPUTED_VALUE"""),"")</f>
        <v/>
      </c>
      <c r="K123" s="18" t="str">
        <f ca="1">IFERROR(__xludf.DUMMYFUNCTION("""COMPUTED_VALUE"""),"")</f>
        <v/>
      </c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V123" s="20"/>
      <c r="W123" s="20"/>
      <c r="X123" s="20"/>
      <c r="Y123" s="20"/>
      <c r="Z123" s="21"/>
      <c r="AA123" s="22"/>
      <c r="AB123" s="23"/>
    </row>
    <row r="124" spans="1:28" ht="13.5" customHeight="1" x14ac:dyDescent="0.35">
      <c r="A124" s="24" t="str">
        <f ca="1">IFERROR(__xludf.DUMMYFUNCTION("""COMPUTED_VALUE"""),"")</f>
        <v/>
      </c>
      <c r="B124" s="28" t="str">
        <f ca="1">IFERROR(__xludf.DUMMYFUNCTION("""COMPUTED_VALUE"""),"")</f>
        <v/>
      </c>
      <c r="C124" s="27" t="str">
        <f ca="1">IFERROR(__xludf.DUMMYFUNCTION("""COMPUTED_VALUE"""),"")</f>
        <v/>
      </c>
      <c r="D124" s="27" t="str">
        <f ca="1">IFERROR(__xludf.DUMMYFUNCTION("""COMPUTED_VALUE"""),"")</f>
        <v/>
      </c>
      <c r="E124" s="15" t="str">
        <f ca="1">IFERROR(__xludf.DUMMYFUNCTION("""COMPUTED_VALUE"""),"")</f>
        <v/>
      </c>
      <c r="F124" s="51" t="str">
        <f ca="1">IFERROR(__xludf.DUMMYFUNCTION("""COMPUTED_VALUE"""),"")</f>
        <v/>
      </c>
      <c r="G124" s="16" t="str">
        <f ca="1">IFERROR(__xludf.DUMMYFUNCTION("""COMPUTED_VALUE"""),"")</f>
        <v/>
      </c>
      <c r="H124" s="17" t="str">
        <f ca="1">IFERROR(__xludf.DUMMYFUNCTION("""COMPUTED_VALUE"""),"")</f>
        <v/>
      </c>
      <c r="I124" s="17" t="str">
        <f ca="1">IFERROR(__xludf.DUMMYFUNCTION("""COMPUTED_VALUE"""),"")</f>
        <v/>
      </c>
      <c r="J124" s="17" t="str">
        <f ca="1">IFERROR(__xludf.DUMMYFUNCTION("""COMPUTED_VALUE"""),"")</f>
        <v/>
      </c>
      <c r="K124" s="18" t="str">
        <f ca="1">IFERROR(__xludf.DUMMYFUNCTION("""COMPUTED_VALUE"""),"")</f>
        <v/>
      </c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20"/>
      <c r="W124" s="20"/>
      <c r="X124" s="20"/>
      <c r="Y124" s="20"/>
      <c r="Z124" s="21"/>
      <c r="AA124" s="22"/>
      <c r="AB124" s="23"/>
    </row>
    <row r="125" spans="1:28" ht="13.5" customHeight="1" x14ac:dyDescent="0.35">
      <c r="A125" s="24" t="str">
        <f ca="1">IFERROR(__xludf.DUMMYFUNCTION("""COMPUTED_VALUE"""),"")</f>
        <v/>
      </c>
      <c r="B125" s="28" t="str">
        <f ca="1">IFERROR(__xludf.DUMMYFUNCTION("""COMPUTED_VALUE"""),"")</f>
        <v/>
      </c>
      <c r="C125" s="27" t="str">
        <f ca="1">IFERROR(__xludf.DUMMYFUNCTION("""COMPUTED_VALUE"""),"")</f>
        <v/>
      </c>
      <c r="D125" s="27" t="str">
        <f ca="1">IFERROR(__xludf.DUMMYFUNCTION("""COMPUTED_VALUE"""),"")</f>
        <v/>
      </c>
      <c r="E125" s="15" t="str">
        <f ca="1">IFERROR(__xludf.DUMMYFUNCTION("""COMPUTED_VALUE"""),"")</f>
        <v/>
      </c>
      <c r="F125" s="51" t="str">
        <f ca="1">IFERROR(__xludf.DUMMYFUNCTION("""COMPUTED_VALUE"""),"")</f>
        <v/>
      </c>
      <c r="G125" s="16" t="str">
        <f ca="1">IFERROR(__xludf.DUMMYFUNCTION("""COMPUTED_VALUE"""),"")</f>
        <v/>
      </c>
      <c r="H125" s="17" t="str">
        <f ca="1">IFERROR(__xludf.DUMMYFUNCTION("""COMPUTED_VALUE"""),"")</f>
        <v/>
      </c>
      <c r="I125" s="17" t="str">
        <f ca="1">IFERROR(__xludf.DUMMYFUNCTION("""COMPUTED_VALUE"""),"")</f>
        <v/>
      </c>
      <c r="J125" s="17" t="str">
        <f ca="1">IFERROR(__xludf.DUMMYFUNCTION("""COMPUTED_VALUE"""),"")</f>
        <v/>
      </c>
      <c r="K125" s="18" t="str">
        <f ca="1">IFERROR(__xludf.DUMMYFUNCTION("""COMPUTED_VALUE"""),"")</f>
        <v/>
      </c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20"/>
      <c r="W125" s="20"/>
      <c r="X125" s="20"/>
      <c r="Y125" s="20"/>
      <c r="Z125" s="21"/>
      <c r="AA125" s="22"/>
      <c r="AB125" s="23"/>
    </row>
    <row r="126" spans="1:28" ht="13.5" customHeight="1" x14ac:dyDescent="0.35">
      <c r="A126" s="24" t="str">
        <f ca="1">IFERROR(__xludf.DUMMYFUNCTION("""COMPUTED_VALUE"""),"")</f>
        <v/>
      </c>
      <c r="B126" s="28" t="str">
        <f ca="1">IFERROR(__xludf.DUMMYFUNCTION("""COMPUTED_VALUE"""),"")</f>
        <v/>
      </c>
      <c r="C126" s="27" t="str">
        <f ca="1">IFERROR(__xludf.DUMMYFUNCTION("""COMPUTED_VALUE"""),"")</f>
        <v/>
      </c>
      <c r="D126" s="27" t="str">
        <f ca="1">IFERROR(__xludf.DUMMYFUNCTION("""COMPUTED_VALUE"""),"")</f>
        <v/>
      </c>
      <c r="E126" s="15" t="str">
        <f ca="1">IFERROR(__xludf.DUMMYFUNCTION("""COMPUTED_VALUE"""),"")</f>
        <v/>
      </c>
      <c r="F126" s="51" t="str">
        <f ca="1">IFERROR(__xludf.DUMMYFUNCTION("""COMPUTED_VALUE"""),"")</f>
        <v/>
      </c>
      <c r="G126" s="16" t="str">
        <f ca="1">IFERROR(__xludf.DUMMYFUNCTION("""COMPUTED_VALUE"""),"")</f>
        <v/>
      </c>
      <c r="H126" s="17" t="str">
        <f ca="1">IFERROR(__xludf.DUMMYFUNCTION("""COMPUTED_VALUE"""),"")</f>
        <v/>
      </c>
      <c r="I126" s="17" t="str">
        <f ca="1">IFERROR(__xludf.DUMMYFUNCTION("""COMPUTED_VALUE"""),"")</f>
        <v/>
      </c>
      <c r="J126" s="17" t="str">
        <f ca="1">IFERROR(__xludf.DUMMYFUNCTION("""COMPUTED_VALUE"""),"")</f>
        <v/>
      </c>
      <c r="K126" s="18" t="str">
        <f ca="1">IFERROR(__xludf.DUMMYFUNCTION("""COMPUTED_VALUE"""),"")</f>
        <v/>
      </c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20"/>
      <c r="W126" s="20"/>
      <c r="X126" s="20"/>
      <c r="Y126" s="20"/>
      <c r="Z126" s="21"/>
      <c r="AA126" s="22"/>
      <c r="AB126" s="23"/>
    </row>
    <row r="127" spans="1:28" ht="13.5" customHeight="1" x14ac:dyDescent="0.35">
      <c r="A127" s="24" t="str">
        <f ca="1">IFERROR(__xludf.DUMMYFUNCTION("""COMPUTED_VALUE"""),"")</f>
        <v/>
      </c>
      <c r="B127" s="28" t="str">
        <f ca="1">IFERROR(__xludf.DUMMYFUNCTION("""COMPUTED_VALUE"""),"")</f>
        <v/>
      </c>
      <c r="C127" s="27" t="str">
        <f ca="1">IFERROR(__xludf.DUMMYFUNCTION("""COMPUTED_VALUE"""),"")</f>
        <v/>
      </c>
      <c r="D127" s="27" t="str">
        <f ca="1">IFERROR(__xludf.DUMMYFUNCTION("""COMPUTED_VALUE"""),"")</f>
        <v/>
      </c>
      <c r="E127" s="15" t="str">
        <f ca="1">IFERROR(__xludf.DUMMYFUNCTION("""COMPUTED_VALUE"""),"")</f>
        <v/>
      </c>
      <c r="F127" s="51" t="str">
        <f ca="1">IFERROR(__xludf.DUMMYFUNCTION("""COMPUTED_VALUE"""),"")</f>
        <v/>
      </c>
      <c r="G127" s="16" t="str">
        <f ca="1">IFERROR(__xludf.DUMMYFUNCTION("""COMPUTED_VALUE"""),"")</f>
        <v/>
      </c>
      <c r="H127" s="17" t="str">
        <f ca="1">IFERROR(__xludf.DUMMYFUNCTION("""COMPUTED_VALUE"""),"")</f>
        <v/>
      </c>
      <c r="I127" s="17" t="str">
        <f ca="1">IFERROR(__xludf.DUMMYFUNCTION("""COMPUTED_VALUE"""),"")</f>
        <v/>
      </c>
      <c r="J127" s="17" t="str">
        <f ca="1">IFERROR(__xludf.DUMMYFUNCTION("""COMPUTED_VALUE"""),"")</f>
        <v/>
      </c>
      <c r="K127" s="18" t="str">
        <f ca="1">IFERROR(__xludf.DUMMYFUNCTION("""COMPUTED_VALUE"""),"")</f>
        <v/>
      </c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20"/>
      <c r="W127" s="20"/>
      <c r="X127" s="20"/>
      <c r="Y127" s="20"/>
      <c r="Z127" s="21"/>
      <c r="AA127" s="22"/>
      <c r="AB127" s="23"/>
    </row>
    <row r="128" spans="1:28" ht="13.5" customHeight="1" x14ac:dyDescent="0.35">
      <c r="A128" s="24" t="str">
        <f ca="1">IFERROR(__xludf.DUMMYFUNCTION("""COMPUTED_VALUE"""),"")</f>
        <v/>
      </c>
      <c r="B128" s="28" t="str">
        <f ca="1">IFERROR(__xludf.DUMMYFUNCTION("""COMPUTED_VALUE"""),"")</f>
        <v/>
      </c>
      <c r="C128" s="27" t="str">
        <f ca="1">IFERROR(__xludf.DUMMYFUNCTION("""COMPUTED_VALUE"""),"")</f>
        <v/>
      </c>
      <c r="D128" s="27" t="str">
        <f ca="1">IFERROR(__xludf.DUMMYFUNCTION("""COMPUTED_VALUE"""),"")</f>
        <v/>
      </c>
      <c r="E128" s="15" t="str">
        <f ca="1">IFERROR(__xludf.DUMMYFUNCTION("""COMPUTED_VALUE"""),"")</f>
        <v/>
      </c>
      <c r="F128" s="51" t="str">
        <f ca="1">IFERROR(__xludf.DUMMYFUNCTION("""COMPUTED_VALUE"""),"")</f>
        <v/>
      </c>
      <c r="G128" s="16" t="str">
        <f ca="1">IFERROR(__xludf.DUMMYFUNCTION("""COMPUTED_VALUE"""),"")</f>
        <v/>
      </c>
      <c r="H128" s="17" t="str">
        <f ca="1">IFERROR(__xludf.DUMMYFUNCTION("""COMPUTED_VALUE"""),"")</f>
        <v/>
      </c>
      <c r="I128" s="17" t="str">
        <f ca="1">IFERROR(__xludf.DUMMYFUNCTION("""COMPUTED_VALUE"""),"")</f>
        <v/>
      </c>
      <c r="J128" s="17" t="str">
        <f ca="1">IFERROR(__xludf.DUMMYFUNCTION("""COMPUTED_VALUE"""),"")</f>
        <v/>
      </c>
      <c r="K128" s="18" t="str">
        <f ca="1">IFERROR(__xludf.DUMMYFUNCTION("""COMPUTED_VALUE"""),"")</f>
        <v/>
      </c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20"/>
      <c r="W128" s="20"/>
      <c r="X128" s="20"/>
      <c r="Y128" s="20"/>
      <c r="Z128" s="21"/>
      <c r="AA128" s="22"/>
      <c r="AB128" s="23"/>
    </row>
    <row r="129" spans="1:28" ht="13.5" customHeight="1" x14ac:dyDescent="0.35">
      <c r="A129" s="24" t="str">
        <f ca="1">IFERROR(__xludf.DUMMYFUNCTION("""COMPUTED_VALUE"""),"")</f>
        <v/>
      </c>
      <c r="B129" s="28" t="str">
        <f ca="1">IFERROR(__xludf.DUMMYFUNCTION("""COMPUTED_VALUE"""),"")</f>
        <v/>
      </c>
      <c r="C129" s="27" t="str">
        <f ca="1">IFERROR(__xludf.DUMMYFUNCTION("""COMPUTED_VALUE"""),"")</f>
        <v/>
      </c>
      <c r="D129" s="27" t="str">
        <f ca="1">IFERROR(__xludf.DUMMYFUNCTION("""COMPUTED_VALUE"""),"")</f>
        <v/>
      </c>
      <c r="E129" s="15" t="str">
        <f ca="1">IFERROR(__xludf.DUMMYFUNCTION("""COMPUTED_VALUE"""),"")</f>
        <v/>
      </c>
      <c r="F129" s="51" t="str">
        <f ca="1">IFERROR(__xludf.DUMMYFUNCTION("""COMPUTED_VALUE"""),"")</f>
        <v/>
      </c>
      <c r="G129" s="16" t="str">
        <f ca="1">IFERROR(__xludf.DUMMYFUNCTION("""COMPUTED_VALUE"""),"")</f>
        <v/>
      </c>
      <c r="H129" s="17" t="str">
        <f ca="1">IFERROR(__xludf.DUMMYFUNCTION("""COMPUTED_VALUE"""),"")</f>
        <v/>
      </c>
      <c r="I129" s="17" t="str">
        <f ca="1">IFERROR(__xludf.DUMMYFUNCTION("""COMPUTED_VALUE"""),"")</f>
        <v/>
      </c>
      <c r="J129" s="17" t="str">
        <f ca="1">IFERROR(__xludf.DUMMYFUNCTION("""COMPUTED_VALUE"""),"")</f>
        <v/>
      </c>
      <c r="K129" s="18" t="str">
        <f ca="1">IFERROR(__xludf.DUMMYFUNCTION("""COMPUTED_VALUE"""),"")</f>
        <v/>
      </c>
      <c r="L129" s="19"/>
      <c r="M129" s="19"/>
      <c r="N129" s="19"/>
      <c r="O129" s="19"/>
      <c r="P129" s="19"/>
      <c r="Q129" s="19"/>
      <c r="R129" s="19"/>
      <c r="S129" s="19"/>
      <c r="T129" s="19"/>
      <c r="U129" s="19"/>
      <c r="V129" s="20"/>
      <c r="W129" s="20"/>
      <c r="X129" s="20"/>
      <c r="Y129" s="20"/>
      <c r="Z129" s="21"/>
      <c r="AA129" s="22"/>
      <c r="AB129" s="23"/>
    </row>
    <row r="130" spans="1:28" ht="13.5" customHeight="1" x14ac:dyDescent="0.35">
      <c r="A130" s="24" t="str">
        <f ca="1">IFERROR(__xludf.DUMMYFUNCTION("""COMPUTED_VALUE"""),"")</f>
        <v/>
      </c>
      <c r="B130" s="28" t="str">
        <f ca="1">IFERROR(__xludf.DUMMYFUNCTION("""COMPUTED_VALUE"""),"")</f>
        <v/>
      </c>
      <c r="C130" s="27" t="str">
        <f ca="1">IFERROR(__xludf.DUMMYFUNCTION("""COMPUTED_VALUE"""),"")</f>
        <v/>
      </c>
      <c r="D130" s="27" t="str">
        <f ca="1">IFERROR(__xludf.DUMMYFUNCTION("""COMPUTED_VALUE"""),"")</f>
        <v/>
      </c>
      <c r="E130" s="15" t="str">
        <f ca="1">IFERROR(__xludf.DUMMYFUNCTION("""COMPUTED_VALUE"""),"")</f>
        <v/>
      </c>
      <c r="F130" s="51" t="str">
        <f ca="1">IFERROR(__xludf.DUMMYFUNCTION("""COMPUTED_VALUE"""),"")</f>
        <v/>
      </c>
      <c r="G130" s="16" t="str">
        <f ca="1">IFERROR(__xludf.DUMMYFUNCTION("""COMPUTED_VALUE"""),"")</f>
        <v/>
      </c>
      <c r="H130" s="17" t="str">
        <f ca="1">IFERROR(__xludf.DUMMYFUNCTION("""COMPUTED_VALUE"""),"")</f>
        <v/>
      </c>
      <c r="I130" s="17" t="str">
        <f ca="1">IFERROR(__xludf.DUMMYFUNCTION("""COMPUTED_VALUE"""),"")</f>
        <v/>
      </c>
      <c r="J130" s="17" t="str">
        <f ca="1">IFERROR(__xludf.DUMMYFUNCTION("""COMPUTED_VALUE"""),"")</f>
        <v/>
      </c>
      <c r="K130" s="18" t="str">
        <f ca="1">IFERROR(__xludf.DUMMYFUNCTION("""COMPUTED_VALUE"""),"")</f>
        <v/>
      </c>
      <c r="L130" s="19"/>
      <c r="M130" s="19"/>
      <c r="N130" s="19"/>
      <c r="O130" s="19"/>
      <c r="P130" s="19"/>
      <c r="Q130" s="19"/>
      <c r="R130" s="19"/>
      <c r="S130" s="19"/>
      <c r="T130" s="19"/>
      <c r="U130" s="19"/>
      <c r="V130" s="20"/>
      <c r="W130" s="20"/>
      <c r="X130" s="20"/>
      <c r="Y130" s="20"/>
      <c r="Z130" s="21"/>
      <c r="AA130" s="22"/>
      <c r="AB130" s="23"/>
    </row>
    <row r="131" spans="1:28" ht="13.5" customHeight="1" x14ac:dyDescent="0.35">
      <c r="A131" s="24" t="str">
        <f ca="1">IFERROR(__xludf.DUMMYFUNCTION("""COMPUTED_VALUE"""),"")</f>
        <v/>
      </c>
      <c r="B131" s="28" t="str">
        <f ca="1">IFERROR(__xludf.DUMMYFUNCTION("""COMPUTED_VALUE"""),"")</f>
        <v/>
      </c>
      <c r="C131" s="27" t="str">
        <f ca="1">IFERROR(__xludf.DUMMYFUNCTION("""COMPUTED_VALUE"""),"")</f>
        <v/>
      </c>
      <c r="D131" s="27" t="str">
        <f ca="1">IFERROR(__xludf.DUMMYFUNCTION("""COMPUTED_VALUE"""),"")</f>
        <v/>
      </c>
      <c r="E131" s="15" t="str">
        <f ca="1">IFERROR(__xludf.DUMMYFUNCTION("""COMPUTED_VALUE"""),"")</f>
        <v/>
      </c>
      <c r="F131" s="51" t="str">
        <f ca="1">IFERROR(__xludf.DUMMYFUNCTION("""COMPUTED_VALUE"""),"")</f>
        <v/>
      </c>
      <c r="G131" s="16" t="str">
        <f ca="1">IFERROR(__xludf.DUMMYFUNCTION("""COMPUTED_VALUE"""),"")</f>
        <v/>
      </c>
      <c r="H131" s="17" t="str">
        <f ca="1">IFERROR(__xludf.DUMMYFUNCTION("""COMPUTED_VALUE"""),"")</f>
        <v/>
      </c>
      <c r="I131" s="17" t="str">
        <f ca="1">IFERROR(__xludf.DUMMYFUNCTION("""COMPUTED_VALUE"""),"")</f>
        <v/>
      </c>
      <c r="J131" s="17" t="str">
        <f ca="1">IFERROR(__xludf.DUMMYFUNCTION("""COMPUTED_VALUE"""),"")</f>
        <v/>
      </c>
      <c r="K131" s="18" t="str">
        <f ca="1">IFERROR(__xludf.DUMMYFUNCTION("""COMPUTED_VALUE"""),"")</f>
        <v/>
      </c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20"/>
      <c r="W131" s="20"/>
      <c r="X131" s="20"/>
      <c r="Y131" s="20"/>
      <c r="Z131" s="21"/>
      <c r="AA131" s="22"/>
      <c r="AB131" s="23"/>
    </row>
    <row r="132" spans="1:28" ht="13.5" customHeight="1" x14ac:dyDescent="0.35">
      <c r="A132" s="24" t="str">
        <f ca="1">IFERROR(__xludf.DUMMYFUNCTION("""COMPUTED_VALUE"""),"")</f>
        <v/>
      </c>
      <c r="B132" s="28" t="str">
        <f ca="1">IFERROR(__xludf.DUMMYFUNCTION("""COMPUTED_VALUE"""),"")</f>
        <v/>
      </c>
      <c r="C132" s="27" t="str">
        <f ca="1">IFERROR(__xludf.DUMMYFUNCTION("""COMPUTED_VALUE"""),"")</f>
        <v/>
      </c>
      <c r="D132" s="27" t="str">
        <f ca="1">IFERROR(__xludf.DUMMYFUNCTION("""COMPUTED_VALUE"""),"")</f>
        <v/>
      </c>
      <c r="E132" s="15" t="str">
        <f ca="1">IFERROR(__xludf.DUMMYFUNCTION("""COMPUTED_VALUE"""),"")</f>
        <v/>
      </c>
      <c r="F132" s="51" t="str">
        <f ca="1">IFERROR(__xludf.DUMMYFUNCTION("""COMPUTED_VALUE"""),"")</f>
        <v/>
      </c>
      <c r="G132" s="16" t="str">
        <f ca="1">IFERROR(__xludf.DUMMYFUNCTION("""COMPUTED_VALUE"""),"")</f>
        <v/>
      </c>
      <c r="H132" s="17" t="str">
        <f ca="1">IFERROR(__xludf.DUMMYFUNCTION("""COMPUTED_VALUE"""),"")</f>
        <v/>
      </c>
      <c r="I132" s="17" t="str">
        <f ca="1">IFERROR(__xludf.DUMMYFUNCTION("""COMPUTED_VALUE"""),"")</f>
        <v/>
      </c>
      <c r="J132" s="17" t="str">
        <f ca="1">IFERROR(__xludf.DUMMYFUNCTION("""COMPUTED_VALUE"""),"")</f>
        <v/>
      </c>
      <c r="K132" s="18" t="str">
        <f ca="1">IFERROR(__xludf.DUMMYFUNCTION("""COMPUTED_VALUE"""),"")</f>
        <v/>
      </c>
      <c r="L132" s="19"/>
      <c r="M132" s="19"/>
      <c r="N132" s="19"/>
      <c r="O132" s="19"/>
      <c r="P132" s="19"/>
      <c r="Q132" s="19"/>
      <c r="R132" s="19"/>
      <c r="S132" s="19"/>
      <c r="T132" s="19"/>
      <c r="U132" s="19"/>
      <c r="V132" s="20"/>
      <c r="W132" s="20"/>
      <c r="X132" s="20"/>
      <c r="Y132" s="20"/>
      <c r="Z132" s="21"/>
      <c r="AA132" s="22"/>
      <c r="AB132" s="23"/>
    </row>
    <row r="133" spans="1:28" ht="13.5" customHeight="1" x14ac:dyDescent="0.35">
      <c r="A133" s="24" t="str">
        <f ca="1">IFERROR(__xludf.DUMMYFUNCTION("""COMPUTED_VALUE"""),"")</f>
        <v/>
      </c>
      <c r="B133" s="28" t="str">
        <f ca="1">IFERROR(__xludf.DUMMYFUNCTION("""COMPUTED_VALUE"""),"")</f>
        <v/>
      </c>
      <c r="C133" s="27" t="str">
        <f ca="1">IFERROR(__xludf.DUMMYFUNCTION("""COMPUTED_VALUE"""),"")</f>
        <v/>
      </c>
      <c r="D133" s="27" t="str">
        <f ca="1">IFERROR(__xludf.DUMMYFUNCTION("""COMPUTED_VALUE"""),"")</f>
        <v/>
      </c>
      <c r="E133" s="15" t="str">
        <f ca="1">IFERROR(__xludf.DUMMYFUNCTION("""COMPUTED_VALUE"""),"")</f>
        <v/>
      </c>
      <c r="F133" s="51" t="str">
        <f ca="1">IFERROR(__xludf.DUMMYFUNCTION("""COMPUTED_VALUE"""),"")</f>
        <v/>
      </c>
      <c r="G133" s="16" t="str">
        <f ca="1">IFERROR(__xludf.DUMMYFUNCTION("""COMPUTED_VALUE"""),"")</f>
        <v/>
      </c>
      <c r="H133" s="17" t="str">
        <f ca="1">IFERROR(__xludf.DUMMYFUNCTION("""COMPUTED_VALUE"""),"")</f>
        <v/>
      </c>
      <c r="I133" s="17" t="str">
        <f ca="1">IFERROR(__xludf.DUMMYFUNCTION("""COMPUTED_VALUE"""),"")</f>
        <v/>
      </c>
      <c r="J133" s="17" t="str">
        <f ca="1">IFERROR(__xludf.DUMMYFUNCTION("""COMPUTED_VALUE"""),"")</f>
        <v/>
      </c>
      <c r="K133" s="18" t="str">
        <f ca="1">IFERROR(__xludf.DUMMYFUNCTION("""COMPUTED_VALUE"""),"")</f>
        <v/>
      </c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20"/>
      <c r="W133" s="20"/>
      <c r="X133" s="20"/>
      <c r="Y133" s="20"/>
      <c r="Z133" s="21"/>
      <c r="AA133" s="22"/>
      <c r="AB133" s="23"/>
    </row>
    <row r="134" spans="1:28" ht="13.5" customHeight="1" x14ac:dyDescent="0.35">
      <c r="A134" s="24" t="str">
        <f ca="1">IFERROR(__xludf.DUMMYFUNCTION("""COMPUTED_VALUE"""),"")</f>
        <v/>
      </c>
      <c r="B134" s="28" t="str">
        <f ca="1">IFERROR(__xludf.DUMMYFUNCTION("""COMPUTED_VALUE"""),"")</f>
        <v/>
      </c>
      <c r="C134" s="27" t="str">
        <f ca="1">IFERROR(__xludf.DUMMYFUNCTION("""COMPUTED_VALUE"""),"")</f>
        <v/>
      </c>
      <c r="D134" s="27" t="str">
        <f ca="1">IFERROR(__xludf.DUMMYFUNCTION("""COMPUTED_VALUE"""),"")</f>
        <v/>
      </c>
      <c r="E134" s="15" t="str">
        <f ca="1">IFERROR(__xludf.DUMMYFUNCTION("""COMPUTED_VALUE"""),"")</f>
        <v/>
      </c>
      <c r="F134" s="51" t="str">
        <f ca="1">IFERROR(__xludf.DUMMYFUNCTION("""COMPUTED_VALUE"""),"")</f>
        <v/>
      </c>
      <c r="G134" s="16" t="str">
        <f ca="1">IFERROR(__xludf.DUMMYFUNCTION("""COMPUTED_VALUE"""),"")</f>
        <v/>
      </c>
      <c r="H134" s="17" t="str">
        <f ca="1">IFERROR(__xludf.DUMMYFUNCTION("""COMPUTED_VALUE"""),"")</f>
        <v/>
      </c>
      <c r="I134" s="17" t="str">
        <f ca="1">IFERROR(__xludf.DUMMYFUNCTION("""COMPUTED_VALUE"""),"")</f>
        <v/>
      </c>
      <c r="J134" s="17" t="str">
        <f ca="1">IFERROR(__xludf.DUMMYFUNCTION("""COMPUTED_VALUE"""),"")</f>
        <v/>
      </c>
      <c r="K134" s="18" t="str">
        <f ca="1">IFERROR(__xludf.DUMMYFUNCTION("""COMPUTED_VALUE"""),"")</f>
        <v/>
      </c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20"/>
      <c r="W134" s="20"/>
      <c r="X134" s="20"/>
      <c r="Y134" s="20"/>
      <c r="Z134" s="21"/>
      <c r="AA134" s="22"/>
      <c r="AB134" s="23"/>
    </row>
    <row r="135" spans="1:28" ht="13.5" customHeight="1" x14ac:dyDescent="0.35">
      <c r="A135" s="24" t="str">
        <f ca="1">IFERROR(__xludf.DUMMYFUNCTION("""COMPUTED_VALUE"""),"")</f>
        <v/>
      </c>
      <c r="B135" s="28" t="str">
        <f ca="1">IFERROR(__xludf.DUMMYFUNCTION("""COMPUTED_VALUE"""),"")</f>
        <v/>
      </c>
      <c r="C135" s="27" t="str">
        <f ca="1">IFERROR(__xludf.DUMMYFUNCTION("""COMPUTED_VALUE"""),"")</f>
        <v/>
      </c>
      <c r="D135" s="27" t="str">
        <f ca="1">IFERROR(__xludf.DUMMYFUNCTION("""COMPUTED_VALUE"""),"")</f>
        <v/>
      </c>
      <c r="E135" s="15" t="str">
        <f ca="1">IFERROR(__xludf.DUMMYFUNCTION("""COMPUTED_VALUE"""),"")</f>
        <v/>
      </c>
      <c r="F135" s="51" t="str">
        <f ca="1">IFERROR(__xludf.DUMMYFUNCTION("""COMPUTED_VALUE"""),"")</f>
        <v/>
      </c>
      <c r="G135" s="16" t="str">
        <f ca="1">IFERROR(__xludf.DUMMYFUNCTION("""COMPUTED_VALUE"""),"")</f>
        <v/>
      </c>
      <c r="H135" s="17" t="str">
        <f ca="1">IFERROR(__xludf.DUMMYFUNCTION("""COMPUTED_VALUE"""),"")</f>
        <v/>
      </c>
      <c r="I135" s="17" t="str">
        <f ca="1">IFERROR(__xludf.DUMMYFUNCTION("""COMPUTED_VALUE"""),"")</f>
        <v/>
      </c>
      <c r="J135" s="17" t="str">
        <f ca="1">IFERROR(__xludf.DUMMYFUNCTION("""COMPUTED_VALUE"""),"")</f>
        <v/>
      </c>
      <c r="K135" s="18" t="str">
        <f ca="1">IFERROR(__xludf.DUMMYFUNCTION("""COMPUTED_VALUE"""),"")</f>
        <v/>
      </c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20"/>
      <c r="W135" s="20"/>
      <c r="X135" s="20"/>
      <c r="Y135" s="20"/>
      <c r="Z135" s="21"/>
      <c r="AA135" s="22"/>
      <c r="AB135" s="23"/>
    </row>
    <row r="136" spans="1:28" ht="13.5" customHeight="1" x14ac:dyDescent="0.35">
      <c r="A136" s="24" t="str">
        <f ca="1">IFERROR(__xludf.DUMMYFUNCTION("""COMPUTED_VALUE"""),"")</f>
        <v/>
      </c>
      <c r="B136" s="28" t="str">
        <f ca="1">IFERROR(__xludf.DUMMYFUNCTION("""COMPUTED_VALUE"""),"")</f>
        <v/>
      </c>
      <c r="C136" s="27" t="str">
        <f ca="1">IFERROR(__xludf.DUMMYFUNCTION("""COMPUTED_VALUE"""),"")</f>
        <v/>
      </c>
      <c r="D136" s="27" t="str">
        <f ca="1">IFERROR(__xludf.DUMMYFUNCTION("""COMPUTED_VALUE"""),"")</f>
        <v/>
      </c>
      <c r="E136" s="15" t="str">
        <f ca="1">IFERROR(__xludf.DUMMYFUNCTION("""COMPUTED_VALUE"""),"")</f>
        <v/>
      </c>
      <c r="F136" s="51" t="str">
        <f ca="1">IFERROR(__xludf.DUMMYFUNCTION("""COMPUTED_VALUE"""),"")</f>
        <v/>
      </c>
      <c r="G136" s="16" t="str">
        <f ca="1">IFERROR(__xludf.DUMMYFUNCTION("""COMPUTED_VALUE"""),"")</f>
        <v/>
      </c>
      <c r="H136" s="17" t="str">
        <f ca="1">IFERROR(__xludf.DUMMYFUNCTION("""COMPUTED_VALUE"""),"")</f>
        <v/>
      </c>
      <c r="I136" s="17" t="str">
        <f ca="1">IFERROR(__xludf.DUMMYFUNCTION("""COMPUTED_VALUE"""),"")</f>
        <v/>
      </c>
      <c r="J136" s="17" t="str">
        <f ca="1">IFERROR(__xludf.DUMMYFUNCTION("""COMPUTED_VALUE"""),"")</f>
        <v/>
      </c>
      <c r="K136" s="18" t="str">
        <f ca="1">IFERROR(__xludf.DUMMYFUNCTION("""COMPUTED_VALUE"""),"")</f>
        <v/>
      </c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20"/>
      <c r="W136" s="20"/>
      <c r="X136" s="20"/>
      <c r="Y136" s="20"/>
      <c r="Z136" s="21"/>
      <c r="AA136" s="22"/>
      <c r="AB136" s="23"/>
    </row>
    <row r="137" spans="1:28" ht="13.5" customHeight="1" x14ac:dyDescent="0.35">
      <c r="A137" s="24" t="str">
        <f ca="1">IFERROR(__xludf.DUMMYFUNCTION("""COMPUTED_VALUE"""),"")</f>
        <v/>
      </c>
      <c r="B137" s="28" t="str">
        <f ca="1">IFERROR(__xludf.DUMMYFUNCTION("""COMPUTED_VALUE"""),"")</f>
        <v/>
      </c>
      <c r="C137" s="27" t="str">
        <f ca="1">IFERROR(__xludf.DUMMYFUNCTION("""COMPUTED_VALUE"""),"")</f>
        <v/>
      </c>
      <c r="D137" s="27" t="str">
        <f ca="1">IFERROR(__xludf.DUMMYFUNCTION("""COMPUTED_VALUE"""),"")</f>
        <v/>
      </c>
      <c r="E137" s="15" t="str">
        <f ca="1">IFERROR(__xludf.DUMMYFUNCTION("""COMPUTED_VALUE"""),"")</f>
        <v/>
      </c>
      <c r="F137" s="51" t="str">
        <f ca="1">IFERROR(__xludf.DUMMYFUNCTION("""COMPUTED_VALUE"""),"")</f>
        <v/>
      </c>
      <c r="G137" s="16" t="str">
        <f ca="1">IFERROR(__xludf.DUMMYFUNCTION("""COMPUTED_VALUE"""),"")</f>
        <v/>
      </c>
      <c r="H137" s="17" t="str">
        <f ca="1">IFERROR(__xludf.DUMMYFUNCTION("""COMPUTED_VALUE"""),"")</f>
        <v/>
      </c>
      <c r="I137" s="17" t="str">
        <f ca="1">IFERROR(__xludf.DUMMYFUNCTION("""COMPUTED_VALUE"""),"")</f>
        <v/>
      </c>
      <c r="J137" s="17" t="str">
        <f ca="1">IFERROR(__xludf.DUMMYFUNCTION("""COMPUTED_VALUE"""),"")</f>
        <v/>
      </c>
      <c r="K137" s="18" t="str">
        <f ca="1">IFERROR(__xludf.DUMMYFUNCTION("""COMPUTED_VALUE"""),"")</f>
        <v/>
      </c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20"/>
      <c r="W137" s="20"/>
      <c r="X137" s="20"/>
      <c r="Y137" s="20"/>
      <c r="Z137" s="21"/>
      <c r="AA137" s="22"/>
      <c r="AB137" s="23"/>
    </row>
    <row r="138" spans="1:28" ht="13.5" customHeight="1" x14ac:dyDescent="0.35">
      <c r="A138" s="24" t="str">
        <f ca="1">IFERROR(__xludf.DUMMYFUNCTION("""COMPUTED_VALUE"""),"")</f>
        <v/>
      </c>
      <c r="B138" s="28" t="str">
        <f ca="1">IFERROR(__xludf.DUMMYFUNCTION("""COMPUTED_VALUE"""),"")</f>
        <v/>
      </c>
      <c r="C138" s="27" t="str">
        <f ca="1">IFERROR(__xludf.DUMMYFUNCTION("""COMPUTED_VALUE"""),"")</f>
        <v/>
      </c>
      <c r="D138" s="27" t="str">
        <f ca="1">IFERROR(__xludf.DUMMYFUNCTION("""COMPUTED_VALUE"""),"")</f>
        <v/>
      </c>
      <c r="E138" s="15" t="str">
        <f ca="1">IFERROR(__xludf.DUMMYFUNCTION("""COMPUTED_VALUE"""),"")</f>
        <v/>
      </c>
      <c r="F138" s="51" t="str">
        <f ca="1">IFERROR(__xludf.DUMMYFUNCTION("""COMPUTED_VALUE"""),"")</f>
        <v/>
      </c>
      <c r="G138" s="16" t="str">
        <f ca="1">IFERROR(__xludf.DUMMYFUNCTION("""COMPUTED_VALUE"""),"")</f>
        <v/>
      </c>
      <c r="H138" s="17" t="str">
        <f ca="1">IFERROR(__xludf.DUMMYFUNCTION("""COMPUTED_VALUE"""),"")</f>
        <v/>
      </c>
      <c r="I138" s="17" t="str">
        <f ca="1">IFERROR(__xludf.DUMMYFUNCTION("""COMPUTED_VALUE"""),"")</f>
        <v/>
      </c>
      <c r="J138" s="17" t="str">
        <f ca="1">IFERROR(__xludf.DUMMYFUNCTION("""COMPUTED_VALUE"""),"")</f>
        <v/>
      </c>
      <c r="K138" s="18" t="str">
        <f ca="1">IFERROR(__xludf.DUMMYFUNCTION("""COMPUTED_VALUE"""),"")</f>
        <v/>
      </c>
      <c r="L138" s="19"/>
      <c r="M138" s="19"/>
      <c r="N138" s="19"/>
      <c r="O138" s="19"/>
      <c r="P138" s="19"/>
      <c r="Q138" s="19"/>
      <c r="R138" s="19"/>
      <c r="S138" s="19"/>
      <c r="T138" s="19"/>
      <c r="U138" s="19"/>
      <c r="V138" s="20"/>
      <c r="W138" s="20"/>
      <c r="X138" s="20"/>
      <c r="Y138" s="20"/>
      <c r="Z138" s="21"/>
      <c r="AA138" s="22"/>
      <c r="AB138" s="23"/>
    </row>
    <row r="139" spans="1:28" ht="13.5" customHeight="1" x14ac:dyDescent="0.35">
      <c r="A139" s="24" t="str">
        <f ca="1">IFERROR(__xludf.DUMMYFUNCTION("""COMPUTED_VALUE"""),"")</f>
        <v/>
      </c>
      <c r="B139" s="28" t="str">
        <f ca="1">IFERROR(__xludf.DUMMYFUNCTION("""COMPUTED_VALUE"""),"")</f>
        <v/>
      </c>
      <c r="C139" s="27" t="str">
        <f ca="1">IFERROR(__xludf.DUMMYFUNCTION("""COMPUTED_VALUE"""),"")</f>
        <v/>
      </c>
      <c r="D139" s="27" t="str">
        <f ca="1">IFERROR(__xludf.DUMMYFUNCTION("""COMPUTED_VALUE"""),"")</f>
        <v/>
      </c>
      <c r="E139" s="15" t="str">
        <f ca="1">IFERROR(__xludf.DUMMYFUNCTION("""COMPUTED_VALUE"""),"")</f>
        <v/>
      </c>
      <c r="F139" s="51" t="str">
        <f ca="1">IFERROR(__xludf.DUMMYFUNCTION("""COMPUTED_VALUE"""),"")</f>
        <v/>
      </c>
      <c r="G139" s="16" t="str">
        <f ca="1">IFERROR(__xludf.DUMMYFUNCTION("""COMPUTED_VALUE"""),"")</f>
        <v/>
      </c>
      <c r="H139" s="17" t="str">
        <f ca="1">IFERROR(__xludf.DUMMYFUNCTION("""COMPUTED_VALUE"""),"")</f>
        <v/>
      </c>
      <c r="I139" s="17" t="str">
        <f ca="1">IFERROR(__xludf.DUMMYFUNCTION("""COMPUTED_VALUE"""),"")</f>
        <v/>
      </c>
      <c r="J139" s="17" t="str">
        <f ca="1">IFERROR(__xludf.DUMMYFUNCTION("""COMPUTED_VALUE"""),"")</f>
        <v/>
      </c>
      <c r="K139" s="18" t="str">
        <f ca="1">IFERROR(__xludf.DUMMYFUNCTION("""COMPUTED_VALUE"""),"")</f>
        <v/>
      </c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20"/>
      <c r="W139" s="20"/>
      <c r="X139" s="20"/>
      <c r="Y139" s="20"/>
      <c r="Z139" s="21"/>
      <c r="AA139" s="22"/>
      <c r="AB139" s="23"/>
    </row>
    <row r="140" spans="1:28" ht="13.5" customHeight="1" x14ac:dyDescent="0.35">
      <c r="A140" s="24" t="str">
        <f ca="1">IFERROR(__xludf.DUMMYFUNCTION("""COMPUTED_VALUE"""),"")</f>
        <v/>
      </c>
      <c r="B140" s="28" t="str">
        <f ca="1">IFERROR(__xludf.DUMMYFUNCTION("""COMPUTED_VALUE"""),"")</f>
        <v/>
      </c>
      <c r="C140" s="27" t="str">
        <f ca="1">IFERROR(__xludf.DUMMYFUNCTION("""COMPUTED_VALUE"""),"")</f>
        <v/>
      </c>
      <c r="D140" s="27" t="str">
        <f ca="1">IFERROR(__xludf.DUMMYFUNCTION("""COMPUTED_VALUE"""),"")</f>
        <v/>
      </c>
      <c r="E140" s="15" t="str">
        <f ca="1">IFERROR(__xludf.DUMMYFUNCTION("""COMPUTED_VALUE"""),"")</f>
        <v/>
      </c>
      <c r="F140" s="51" t="str">
        <f ca="1">IFERROR(__xludf.DUMMYFUNCTION("""COMPUTED_VALUE"""),"")</f>
        <v/>
      </c>
      <c r="G140" s="16" t="str">
        <f ca="1">IFERROR(__xludf.DUMMYFUNCTION("""COMPUTED_VALUE"""),"")</f>
        <v/>
      </c>
      <c r="H140" s="17" t="str">
        <f ca="1">IFERROR(__xludf.DUMMYFUNCTION("""COMPUTED_VALUE"""),"")</f>
        <v/>
      </c>
      <c r="I140" s="17" t="str">
        <f ca="1">IFERROR(__xludf.DUMMYFUNCTION("""COMPUTED_VALUE"""),"")</f>
        <v/>
      </c>
      <c r="J140" s="17" t="str">
        <f ca="1">IFERROR(__xludf.DUMMYFUNCTION("""COMPUTED_VALUE"""),"")</f>
        <v/>
      </c>
      <c r="K140" s="18" t="str">
        <f ca="1">IFERROR(__xludf.DUMMYFUNCTION("""COMPUTED_VALUE"""),"")</f>
        <v/>
      </c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20"/>
      <c r="W140" s="20"/>
      <c r="X140" s="20"/>
      <c r="Y140" s="20"/>
      <c r="Z140" s="21"/>
      <c r="AA140" s="22"/>
      <c r="AB140" s="23"/>
    </row>
    <row r="141" spans="1:28" ht="13.5" customHeight="1" x14ac:dyDescent="0.35">
      <c r="A141" s="24" t="str">
        <f ca="1">IFERROR(__xludf.DUMMYFUNCTION("""COMPUTED_VALUE"""),"")</f>
        <v/>
      </c>
      <c r="B141" s="28" t="str">
        <f ca="1">IFERROR(__xludf.DUMMYFUNCTION("""COMPUTED_VALUE"""),"")</f>
        <v/>
      </c>
      <c r="C141" s="27" t="str">
        <f ca="1">IFERROR(__xludf.DUMMYFUNCTION("""COMPUTED_VALUE"""),"")</f>
        <v/>
      </c>
      <c r="D141" s="27" t="str">
        <f ca="1">IFERROR(__xludf.DUMMYFUNCTION("""COMPUTED_VALUE"""),"")</f>
        <v/>
      </c>
      <c r="E141" s="15" t="str">
        <f ca="1">IFERROR(__xludf.DUMMYFUNCTION("""COMPUTED_VALUE"""),"")</f>
        <v/>
      </c>
      <c r="F141" s="51" t="str">
        <f ca="1">IFERROR(__xludf.DUMMYFUNCTION("""COMPUTED_VALUE"""),"")</f>
        <v/>
      </c>
      <c r="G141" s="16" t="str">
        <f ca="1">IFERROR(__xludf.DUMMYFUNCTION("""COMPUTED_VALUE"""),"")</f>
        <v/>
      </c>
      <c r="H141" s="17" t="str">
        <f ca="1">IFERROR(__xludf.DUMMYFUNCTION("""COMPUTED_VALUE"""),"")</f>
        <v/>
      </c>
      <c r="I141" s="17" t="str">
        <f ca="1">IFERROR(__xludf.DUMMYFUNCTION("""COMPUTED_VALUE"""),"")</f>
        <v/>
      </c>
      <c r="J141" s="17" t="str">
        <f ca="1">IFERROR(__xludf.DUMMYFUNCTION("""COMPUTED_VALUE"""),"")</f>
        <v/>
      </c>
      <c r="K141" s="18" t="str">
        <f ca="1">IFERROR(__xludf.DUMMYFUNCTION("""COMPUTED_VALUE"""),"")</f>
        <v/>
      </c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20"/>
      <c r="W141" s="20"/>
      <c r="X141" s="20"/>
      <c r="Y141" s="20"/>
      <c r="Z141" s="21"/>
      <c r="AA141" s="22"/>
      <c r="AB141" s="23"/>
    </row>
    <row r="142" spans="1:28" ht="13.5" customHeight="1" x14ac:dyDescent="0.35">
      <c r="A142" s="24" t="str">
        <f ca="1">IFERROR(__xludf.DUMMYFUNCTION("""COMPUTED_VALUE"""),"")</f>
        <v/>
      </c>
      <c r="B142" s="28" t="str">
        <f ca="1">IFERROR(__xludf.DUMMYFUNCTION("""COMPUTED_VALUE"""),"")</f>
        <v/>
      </c>
      <c r="C142" s="27" t="str">
        <f ca="1">IFERROR(__xludf.DUMMYFUNCTION("""COMPUTED_VALUE"""),"")</f>
        <v/>
      </c>
      <c r="D142" s="27" t="str">
        <f ca="1">IFERROR(__xludf.DUMMYFUNCTION("""COMPUTED_VALUE"""),"")</f>
        <v/>
      </c>
      <c r="E142" s="15" t="str">
        <f ca="1">IFERROR(__xludf.DUMMYFUNCTION("""COMPUTED_VALUE"""),"")</f>
        <v/>
      </c>
      <c r="F142" s="51" t="str">
        <f ca="1">IFERROR(__xludf.DUMMYFUNCTION("""COMPUTED_VALUE"""),"")</f>
        <v/>
      </c>
      <c r="G142" s="16" t="str">
        <f ca="1">IFERROR(__xludf.DUMMYFUNCTION("""COMPUTED_VALUE"""),"")</f>
        <v/>
      </c>
      <c r="H142" s="17" t="str">
        <f ca="1">IFERROR(__xludf.DUMMYFUNCTION("""COMPUTED_VALUE"""),"")</f>
        <v/>
      </c>
      <c r="I142" s="17" t="str">
        <f ca="1">IFERROR(__xludf.DUMMYFUNCTION("""COMPUTED_VALUE"""),"")</f>
        <v/>
      </c>
      <c r="J142" s="17" t="str">
        <f ca="1">IFERROR(__xludf.DUMMYFUNCTION("""COMPUTED_VALUE"""),"")</f>
        <v/>
      </c>
      <c r="K142" s="18" t="str">
        <f ca="1">IFERROR(__xludf.DUMMYFUNCTION("""COMPUTED_VALUE"""),"")</f>
        <v/>
      </c>
      <c r="L142" s="19"/>
      <c r="M142" s="19"/>
      <c r="N142" s="19"/>
      <c r="O142" s="19"/>
      <c r="P142" s="19"/>
      <c r="Q142" s="19"/>
      <c r="R142" s="19"/>
      <c r="S142" s="19"/>
      <c r="T142" s="19"/>
      <c r="U142" s="19"/>
      <c r="V142" s="20"/>
      <c r="W142" s="20"/>
      <c r="X142" s="20"/>
      <c r="Y142" s="20"/>
      <c r="Z142" s="21"/>
      <c r="AA142" s="22"/>
      <c r="AB142" s="23"/>
    </row>
    <row r="143" spans="1:28" ht="13.5" customHeight="1" x14ac:dyDescent="0.35">
      <c r="A143" s="24" t="str">
        <f ca="1">IFERROR(__xludf.DUMMYFUNCTION("""COMPUTED_VALUE"""),"")</f>
        <v/>
      </c>
      <c r="B143" s="28" t="str">
        <f ca="1">IFERROR(__xludf.DUMMYFUNCTION("""COMPUTED_VALUE"""),"")</f>
        <v/>
      </c>
      <c r="C143" s="27" t="str">
        <f ca="1">IFERROR(__xludf.DUMMYFUNCTION("""COMPUTED_VALUE"""),"")</f>
        <v/>
      </c>
      <c r="D143" s="27" t="str">
        <f ca="1">IFERROR(__xludf.DUMMYFUNCTION("""COMPUTED_VALUE"""),"")</f>
        <v/>
      </c>
      <c r="E143" s="15" t="str">
        <f ca="1">IFERROR(__xludf.DUMMYFUNCTION("""COMPUTED_VALUE"""),"")</f>
        <v/>
      </c>
      <c r="F143" s="51" t="str">
        <f ca="1">IFERROR(__xludf.DUMMYFUNCTION("""COMPUTED_VALUE"""),"")</f>
        <v/>
      </c>
      <c r="G143" s="16" t="str">
        <f ca="1">IFERROR(__xludf.DUMMYFUNCTION("""COMPUTED_VALUE"""),"")</f>
        <v/>
      </c>
      <c r="H143" s="17" t="str">
        <f ca="1">IFERROR(__xludf.DUMMYFUNCTION("""COMPUTED_VALUE"""),"")</f>
        <v/>
      </c>
      <c r="I143" s="17" t="str">
        <f ca="1">IFERROR(__xludf.DUMMYFUNCTION("""COMPUTED_VALUE"""),"")</f>
        <v/>
      </c>
      <c r="J143" s="17" t="str">
        <f ca="1">IFERROR(__xludf.DUMMYFUNCTION("""COMPUTED_VALUE"""),"")</f>
        <v/>
      </c>
      <c r="K143" s="18" t="str">
        <f ca="1">IFERROR(__xludf.DUMMYFUNCTION("""COMPUTED_VALUE"""),"")</f>
        <v/>
      </c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20"/>
      <c r="W143" s="20"/>
      <c r="X143" s="20"/>
      <c r="Y143" s="20"/>
      <c r="Z143" s="21"/>
      <c r="AA143" s="22"/>
      <c r="AB143" s="23"/>
    </row>
    <row r="144" spans="1:28" ht="13.5" customHeight="1" x14ac:dyDescent="0.35">
      <c r="A144" s="24" t="str">
        <f ca="1">IFERROR(__xludf.DUMMYFUNCTION("""COMPUTED_VALUE"""),"")</f>
        <v/>
      </c>
      <c r="B144" s="28" t="str">
        <f ca="1">IFERROR(__xludf.DUMMYFUNCTION("""COMPUTED_VALUE"""),"")</f>
        <v/>
      </c>
      <c r="C144" s="27" t="str">
        <f ca="1">IFERROR(__xludf.DUMMYFUNCTION("""COMPUTED_VALUE"""),"")</f>
        <v/>
      </c>
      <c r="D144" s="27" t="str">
        <f ca="1">IFERROR(__xludf.DUMMYFUNCTION("""COMPUTED_VALUE"""),"")</f>
        <v/>
      </c>
      <c r="E144" s="15" t="str">
        <f ca="1">IFERROR(__xludf.DUMMYFUNCTION("""COMPUTED_VALUE"""),"")</f>
        <v/>
      </c>
      <c r="F144" s="51" t="str">
        <f ca="1">IFERROR(__xludf.DUMMYFUNCTION("""COMPUTED_VALUE"""),"")</f>
        <v/>
      </c>
      <c r="G144" s="16" t="str">
        <f ca="1">IFERROR(__xludf.DUMMYFUNCTION("""COMPUTED_VALUE"""),"")</f>
        <v/>
      </c>
      <c r="H144" s="17" t="str">
        <f ca="1">IFERROR(__xludf.DUMMYFUNCTION("""COMPUTED_VALUE"""),"")</f>
        <v/>
      </c>
      <c r="I144" s="17" t="str">
        <f ca="1">IFERROR(__xludf.DUMMYFUNCTION("""COMPUTED_VALUE"""),"")</f>
        <v/>
      </c>
      <c r="J144" s="17" t="str">
        <f ca="1">IFERROR(__xludf.DUMMYFUNCTION("""COMPUTED_VALUE"""),"")</f>
        <v/>
      </c>
      <c r="K144" s="18" t="str">
        <f ca="1">IFERROR(__xludf.DUMMYFUNCTION("""COMPUTED_VALUE"""),"")</f>
        <v/>
      </c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20"/>
      <c r="W144" s="20"/>
      <c r="X144" s="20"/>
      <c r="Y144" s="20"/>
      <c r="Z144" s="21"/>
      <c r="AA144" s="22"/>
      <c r="AB144" s="23"/>
    </row>
    <row r="145" spans="1:28" ht="13.5" customHeight="1" x14ac:dyDescent="0.35">
      <c r="A145" s="24" t="str">
        <f ca="1">IFERROR(__xludf.DUMMYFUNCTION("""COMPUTED_VALUE"""),"")</f>
        <v/>
      </c>
      <c r="B145" s="28" t="str">
        <f ca="1">IFERROR(__xludf.DUMMYFUNCTION("""COMPUTED_VALUE"""),"")</f>
        <v/>
      </c>
      <c r="C145" s="27" t="str">
        <f ca="1">IFERROR(__xludf.DUMMYFUNCTION("""COMPUTED_VALUE"""),"")</f>
        <v/>
      </c>
      <c r="D145" s="27" t="str">
        <f ca="1">IFERROR(__xludf.DUMMYFUNCTION("""COMPUTED_VALUE"""),"")</f>
        <v/>
      </c>
      <c r="E145" s="15" t="str">
        <f ca="1">IFERROR(__xludf.DUMMYFUNCTION("""COMPUTED_VALUE"""),"")</f>
        <v/>
      </c>
      <c r="F145" s="51" t="str">
        <f ca="1">IFERROR(__xludf.DUMMYFUNCTION("""COMPUTED_VALUE"""),"")</f>
        <v/>
      </c>
      <c r="G145" s="16" t="str">
        <f ca="1">IFERROR(__xludf.DUMMYFUNCTION("""COMPUTED_VALUE"""),"")</f>
        <v/>
      </c>
      <c r="H145" s="17" t="str">
        <f ca="1">IFERROR(__xludf.DUMMYFUNCTION("""COMPUTED_VALUE"""),"")</f>
        <v/>
      </c>
      <c r="I145" s="17" t="str">
        <f ca="1">IFERROR(__xludf.DUMMYFUNCTION("""COMPUTED_VALUE"""),"")</f>
        <v/>
      </c>
      <c r="J145" s="17" t="str">
        <f ca="1">IFERROR(__xludf.DUMMYFUNCTION("""COMPUTED_VALUE"""),"")</f>
        <v/>
      </c>
      <c r="K145" s="18" t="str">
        <f ca="1">IFERROR(__xludf.DUMMYFUNCTION("""COMPUTED_VALUE"""),"")</f>
        <v/>
      </c>
      <c r="L145" s="19"/>
      <c r="M145" s="19"/>
      <c r="N145" s="19"/>
      <c r="O145" s="19"/>
      <c r="P145" s="19"/>
      <c r="Q145" s="19"/>
      <c r="R145" s="19"/>
      <c r="S145" s="19"/>
      <c r="T145" s="19"/>
      <c r="U145" s="19"/>
      <c r="V145" s="20"/>
      <c r="W145" s="20"/>
      <c r="X145" s="20"/>
      <c r="Y145" s="20"/>
      <c r="Z145" s="21"/>
      <c r="AA145" s="22"/>
      <c r="AB145" s="23"/>
    </row>
    <row r="146" spans="1:28" ht="13.5" customHeight="1" x14ac:dyDescent="0.35">
      <c r="A146" s="24" t="str">
        <f ca="1">IFERROR(__xludf.DUMMYFUNCTION("""COMPUTED_VALUE"""),"")</f>
        <v/>
      </c>
      <c r="B146" s="28" t="str">
        <f ca="1">IFERROR(__xludf.DUMMYFUNCTION("""COMPUTED_VALUE"""),"")</f>
        <v/>
      </c>
      <c r="C146" s="27" t="str">
        <f ca="1">IFERROR(__xludf.DUMMYFUNCTION("""COMPUTED_VALUE"""),"")</f>
        <v/>
      </c>
      <c r="D146" s="27" t="str">
        <f ca="1">IFERROR(__xludf.DUMMYFUNCTION("""COMPUTED_VALUE"""),"")</f>
        <v/>
      </c>
      <c r="E146" s="15" t="str">
        <f ca="1">IFERROR(__xludf.DUMMYFUNCTION("""COMPUTED_VALUE"""),"")</f>
        <v/>
      </c>
      <c r="F146" s="51" t="str">
        <f ca="1">IFERROR(__xludf.DUMMYFUNCTION("""COMPUTED_VALUE"""),"")</f>
        <v/>
      </c>
      <c r="G146" s="16" t="str">
        <f ca="1">IFERROR(__xludf.DUMMYFUNCTION("""COMPUTED_VALUE"""),"")</f>
        <v/>
      </c>
      <c r="H146" s="17" t="str">
        <f ca="1">IFERROR(__xludf.DUMMYFUNCTION("""COMPUTED_VALUE"""),"")</f>
        <v/>
      </c>
      <c r="I146" s="17" t="str">
        <f ca="1">IFERROR(__xludf.DUMMYFUNCTION("""COMPUTED_VALUE"""),"")</f>
        <v/>
      </c>
      <c r="J146" s="17" t="str">
        <f ca="1">IFERROR(__xludf.DUMMYFUNCTION("""COMPUTED_VALUE"""),"")</f>
        <v/>
      </c>
      <c r="K146" s="18" t="str">
        <f ca="1">IFERROR(__xludf.DUMMYFUNCTION("""COMPUTED_VALUE"""),"")</f>
        <v/>
      </c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20"/>
      <c r="W146" s="20"/>
      <c r="X146" s="20"/>
      <c r="Y146" s="20"/>
      <c r="Z146" s="21"/>
      <c r="AA146" s="22"/>
      <c r="AB146" s="23"/>
    </row>
    <row r="147" spans="1:28" ht="13.5" customHeight="1" x14ac:dyDescent="0.35">
      <c r="A147" s="24" t="str">
        <f ca="1">IFERROR(__xludf.DUMMYFUNCTION("""COMPUTED_VALUE"""),"")</f>
        <v/>
      </c>
      <c r="B147" s="28" t="str">
        <f ca="1">IFERROR(__xludf.DUMMYFUNCTION("""COMPUTED_VALUE"""),"")</f>
        <v/>
      </c>
      <c r="C147" s="27" t="str">
        <f ca="1">IFERROR(__xludf.DUMMYFUNCTION("""COMPUTED_VALUE"""),"")</f>
        <v/>
      </c>
      <c r="D147" s="27" t="str">
        <f ca="1">IFERROR(__xludf.DUMMYFUNCTION("""COMPUTED_VALUE"""),"")</f>
        <v/>
      </c>
      <c r="E147" s="15" t="str">
        <f ca="1">IFERROR(__xludf.DUMMYFUNCTION("""COMPUTED_VALUE"""),"")</f>
        <v/>
      </c>
      <c r="F147" s="51" t="str">
        <f ca="1">IFERROR(__xludf.DUMMYFUNCTION("""COMPUTED_VALUE"""),"")</f>
        <v/>
      </c>
      <c r="G147" s="16" t="str">
        <f ca="1">IFERROR(__xludf.DUMMYFUNCTION("""COMPUTED_VALUE"""),"")</f>
        <v/>
      </c>
      <c r="H147" s="17" t="str">
        <f ca="1">IFERROR(__xludf.DUMMYFUNCTION("""COMPUTED_VALUE"""),"")</f>
        <v/>
      </c>
      <c r="I147" s="17" t="str">
        <f ca="1">IFERROR(__xludf.DUMMYFUNCTION("""COMPUTED_VALUE"""),"")</f>
        <v/>
      </c>
      <c r="J147" s="17" t="str">
        <f ca="1">IFERROR(__xludf.DUMMYFUNCTION("""COMPUTED_VALUE"""),"")</f>
        <v/>
      </c>
      <c r="K147" s="18" t="str">
        <f ca="1">IFERROR(__xludf.DUMMYFUNCTION("""COMPUTED_VALUE"""),"")</f>
        <v/>
      </c>
      <c r="L147" s="19"/>
      <c r="M147" s="19"/>
      <c r="N147" s="19"/>
      <c r="O147" s="19"/>
      <c r="P147" s="19"/>
      <c r="Q147" s="19"/>
      <c r="R147" s="19"/>
      <c r="S147" s="19"/>
      <c r="T147" s="19"/>
      <c r="U147" s="19"/>
      <c r="V147" s="20"/>
      <c r="W147" s="20"/>
      <c r="X147" s="20"/>
      <c r="Y147" s="20"/>
      <c r="Z147" s="21"/>
      <c r="AA147" s="22"/>
      <c r="AB147" s="23"/>
    </row>
    <row r="148" spans="1:28" ht="13.5" customHeight="1" x14ac:dyDescent="0.35">
      <c r="A148" s="24" t="str">
        <f ca="1">IFERROR(__xludf.DUMMYFUNCTION("""COMPUTED_VALUE"""),"")</f>
        <v/>
      </c>
      <c r="B148" s="28" t="str">
        <f ca="1">IFERROR(__xludf.DUMMYFUNCTION("""COMPUTED_VALUE"""),"")</f>
        <v/>
      </c>
      <c r="C148" s="27" t="str">
        <f ca="1">IFERROR(__xludf.DUMMYFUNCTION("""COMPUTED_VALUE"""),"")</f>
        <v/>
      </c>
      <c r="D148" s="27" t="str">
        <f ca="1">IFERROR(__xludf.DUMMYFUNCTION("""COMPUTED_VALUE"""),"")</f>
        <v/>
      </c>
      <c r="E148" s="15" t="str">
        <f ca="1">IFERROR(__xludf.DUMMYFUNCTION("""COMPUTED_VALUE"""),"")</f>
        <v/>
      </c>
      <c r="F148" s="51" t="str">
        <f ca="1">IFERROR(__xludf.DUMMYFUNCTION("""COMPUTED_VALUE"""),"")</f>
        <v/>
      </c>
      <c r="G148" s="16" t="str">
        <f ca="1">IFERROR(__xludf.DUMMYFUNCTION("""COMPUTED_VALUE"""),"")</f>
        <v/>
      </c>
      <c r="H148" s="17" t="str">
        <f ca="1">IFERROR(__xludf.DUMMYFUNCTION("""COMPUTED_VALUE"""),"")</f>
        <v/>
      </c>
      <c r="I148" s="17" t="str">
        <f ca="1">IFERROR(__xludf.DUMMYFUNCTION("""COMPUTED_VALUE"""),"")</f>
        <v/>
      </c>
      <c r="J148" s="17" t="str">
        <f ca="1">IFERROR(__xludf.DUMMYFUNCTION("""COMPUTED_VALUE"""),"")</f>
        <v/>
      </c>
      <c r="K148" s="18" t="str">
        <f ca="1">IFERROR(__xludf.DUMMYFUNCTION("""COMPUTED_VALUE"""),"")</f>
        <v/>
      </c>
      <c r="L148" s="19"/>
      <c r="M148" s="19"/>
      <c r="N148" s="19"/>
      <c r="O148" s="19"/>
      <c r="P148" s="19"/>
      <c r="Q148" s="19"/>
      <c r="R148" s="19"/>
      <c r="S148" s="19"/>
      <c r="T148" s="19"/>
      <c r="U148" s="19"/>
      <c r="V148" s="20"/>
      <c r="W148" s="20"/>
      <c r="X148" s="20"/>
      <c r="Y148" s="20"/>
      <c r="Z148" s="21"/>
      <c r="AA148" s="22"/>
      <c r="AB148" s="23"/>
    </row>
    <row r="149" spans="1:28" ht="13.5" customHeight="1" x14ac:dyDescent="0.35">
      <c r="A149" s="24" t="str">
        <f ca="1">IFERROR(__xludf.DUMMYFUNCTION("""COMPUTED_VALUE"""),"")</f>
        <v/>
      </c>
      <c r="B149" s="28" t="str">
        <f ca="1">IFERROR(__xludf.DUMMYFUNCTION("""COMPUTED_VALUE"""),"")</f>
        <v/>
      </c>
      <c r="C149" s="27" t="str">
        <f ca="1">IFERROR(__xludf.DUMMYFUNCTION("""COMPUTED_VALUE"""),"")</f>
        <v/>
      </c>
      <c r="D149" s="27" t="str">
        <f ca="1">IFERROR(__xludf.DUMMYFUNCTION("""COMPUTED_VALUE"""),"")</f>
        <v/>
      </c>
      <c r="E149" s="15" t="str">
        <f ca="1">IFERROR(__xludf.DUMMYFUNCTION("""COMPUTED_VALUE"""),"")</f>
        <v/>
      </c>
      <c r="F149" s="51" t="str">
        <f ca="1">IFERROR(__xludf.DUMMYFUNCTION("""COMPUTED_VALUE"""),"")</f>
        <v/>
      </c>
      <c r="G149" s="16" t="str">
        <f ca="1">IFERROR(__xludf.DUMMYFUNCTION("""COMPUTED_VALUE"""),"")</f>
        <v/>
      </c>
      <c r="H149" s="17" t="str">
        <f ca="1">IFERROR(__xludf.DUMMYFUNCTION("""COMPUTED_VALUE"""),"")</f>
        <v/>
      </c>
      <c r="I149" s="17" t="str">
        <f ca="1">IFERROR(__xludf.DUMMYFUNCTION("""COMPUTED_VALUE"""),"")</f>
        <v/>
      </c>
      <c r="J149" s="17" t="str">
        <f ca="1">IFERROR(__xludf.DUMMYFUNCTION("""COMPUTED_VALUE"""),"")</f>
        <v/>
      </c>
      <c r="K149" s="18" t="str">
        <f ca="1">IFERROR(__xludf.DUMMYFUNCTION("""COMPUTED_VALUE"""),"")</f>
        <v/>
      </c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20"/>
      <c r="W149" s="20"/>
      <c r="X149" s="20"/>
      <c r="Y149" s="20"/>
      <c r="Z149" s="21"/>
      <c r="AA149" s="22"/>
      <c r="AB149" s="23"/>
    </row>
    <row r="150" spans="1:28" ht="13.5" customHeight="1" x14ac:dyDescent="0.35">
      <c r="A150" s="24" t="str">
        <f ca="1">IFERROR(__xludf.DUMMYFUNCTION("""COMPUTED_VALUE"""),"")</f>
        <v/>
      </c>
      <c r="B150" s="28" t="str">
        <f ca="1">IFERROR(__xludf.DUMMYFUNCTION("""COMPUTED_VALUE"""),"")</f>
        <v/>
      </c>
      <c r="C150" s="27" t="str">
        <f ca="1">IFERROR(__xludf.DUMMYFUNCTION("""COMPUTED_VALUE"""),"")</f>
        <v/>
      </c>
      <c r="D150" s="27" t="str">
        <f ca="1">IFERROR(__xludf.DUMMYFUNCTION("""COMPUTED_VALUE"""),"")</f>
        <v/>
      </c>
      <c r="E150" s="15" t="str">
        <f ca="1">IFERROR(__xludf.DUMMYFUNCTION("""COMPUTED_VALUE"""),"")</f>
        <v/>
      </c>
      <c r="F150" s="51" t="str">
        <f ca="1">IFERROR(__xludf.DUMMYFUNCTION("""COMPUTED_VALUE"""),"")</f>
        <v/>
      </c>
      <c r="G150" s="16" t="str">
        <f ca="1">IFERROR(__xludf.DUMMYFUNCTION("""COMPUTED_VALUE"""),"")</f>
        <v/>
      </c>
      <c r="H150" s="17" t="str">
        <f ca="1">IFERROR(__xludf.DUMMYFUNCTION("""COMPUTED_VALUE"""),"")</f>
        <v/>
      </c>
      <c r="I150" s="17" t="str">
        <f ca="1">IFERROR(__xludf.DUMMYFUNCTION("""COMPUTED_VALUE"""),"")</f>
        <v/>
      </c>
      <c r="J150" s="17" t="str">
        <f ca="1">IFERROR(__xludf.DUMMYFUNCTION("""COMPUTED_VALUE"""),"")</f>
        <v/>
      </c>
      <c r="K150" s="18" t="str">
        <f ca="1">IFERROR(__xludf.DUMMYFUNCTION("""COMPUTED_VALUE"""),"")</f>
        <v/>
      </c>
      <c r="L150" s="19"/>
      <c r="M150" s="19"/>
      <c r="N150" s="19"/>
      <c r="O150" s="19"/>
      <c r="P150" s="19"/>
      <c r="Q150" s="19"/>
      <c r="R150" s="19"/>
      <c r="S150" s="19"/>
      <c r="T150" s="19"/>
      <c r="U150" s="19"/>
      <c r="V150" s="20"/>
      <c r="W150" s="20"/>
      <c r="X150" s="20"/>
      <c r="Y150" s="20"/>
      <c r="Z150" s="21"/>
      <c r="AA150" s="22"/>
      <c r="AB150" s="23"/>
    </row>
    <row r="151" spans="1:28" ht="13.5" customHeight="1" x14ac:dyDescent="0.35">
      <c r="A151" s="24" t="str">
        <f ca="1">IFERROR(__xludf.DUMMYFUNCTION("""COMPUTED_VALUE"""),"")</f>
        <v/>
      </c>
      <c r="B151" s="28" t="str">
        <f ca="1">IFERROR(__xludf.DUMMYFUNCTION("""COMPUTED_VALUE"""),"")</f>
        <v/>
      </c>
      <c r="C151" s="27" t="str">
        <f ca="1">IFERROR(__xludf.DUMMYFUNCTION("""COMPUTED_VALUE"""),"")</f>
        <v/>
      </c>
      <c r="D151" s="27" t="str">
        <f ca="1">IFERROR(__xludf.DUMMYFUNCTION("""COMPUTED_VALUE"""),"")</f>
        <v/>
      </c>
      <c r="E151" s="15" t="str">
        <f ca="1">IFERROR(__xludf.DUMMYFUNCTION("""COMPUTED_VALUE"""),"")</f>
        <v/>
      </c>
      <c r="F151" s="51" t="str">
        <f ca="1">IFERROR(__xludf.DUMMYFUNCTION("""COMPUTED_VALUE"""),"")</f>
        <v/>
      </c>
      <c r="G151" s="16" t="str">
        <f ca="1">IFERROR(__xludf.DUMMYFUNCTION("""COMPUTED_VALUE"""),"")</f>
        <v/>
      </c>
      <c r="H151" s="17" t="str">
        <f ca="1">IFERROR(__xludf.DUMMYFUNCTION("""COMPUTED_VALUE"""),"")</f>
        <v/>
      </c>
      <c r="I151" s="17" t="str">
        <f ca="1">IFERROR(__xludf.DUMMYFUNCTION("""COMPUTED_VALUE"""),"")</f>
        <v/>
      </c>
      <c r="J151" s="17" t="str">
        <f ca="1">IFERROR(__xludf.DUMMYFUNCTION("""COMPUTED_VALUE"""),"")</f>
        <v/>
      </c>
      <c r="K151" s="18" t="str">
        <f ca="1">IFERROR(__xludf.DUMMYFUNCTION("""COMPUTED_VALUE"""),"")</f>
        <v/>
      </c>
      <c r="L151" s="19"/>
      <c r="M151" s="19"/>
      <c r="N151" s="19"/>
      <c r="O151" s="19"/>
      <c r="P151" s="19"/>
      <c r="Q151" s="19"/>
      <c r="R151" s="19"/>
      <c r="S151" s="19"/>
      <c r="T151" s="19"/>
      <c r="U151" s="19"/>
      <c r="V151" s="20"/>
      <c r="W151" s="20"/>
      <c r="X151" s="20"/>
      <c r="Y151" s="20"/>
      <c r="Z151" s="21"/>
      <c r="AA151" s="22"/>
      <c r="AB151" s="23"/>
    </row>
    <row r="152" spans="1:28" ht="13.5" customHeight="1" x14ac:dyDescent="0.35">
      <c r="A152" s="24" t="str">
        <f ca="1">IFERROR(__xludf.DUMMYFUNCTION("""COMPUTED_VALUE"""),"")</f>
        <v/>
      </c>
      <c r="B152" s="28" t="str">
        <f ca="1">IFERROR(__xludf.DUMMYFUNCTION("""COMPUTED_VALUE"""),"")</f>
        <v/>
      </c>
      <c r="C152" s="27" t="str">
        <f ca="1">IFERROR(__xludf.DUMMYFUNCTION("""COMPUTED_VALUE"""),"")</f>
        <v/>
      </c>
      <c r="D152" s="27" t="str">
        <f ca="1">IFERROR(__xludf.DUMMYFUNCTION("""COMPUTED_VALUE"""),"")</f>
        <v/>
      </c>
      <c r="E152" s="15" t="str">
        <f ca="1">IFERROR(__xludf.DUMMYFUNCTION("""COMPUTED_VALUE"""),"")</f>
        <v/>
      </c>
      <c r="F152" s="51" t="str">
        <f ca="1">IFERROR(__xludf.DUMMYFUNCTION("""COMPUTED_VALUE"""),"")</f>
        <v/>
      </c>
      <c r="G152" s="16" t="str">
        <f ca="1">IFERROR(__xludf.DUMMYFUNCTION("""COMPUTED_VALUE"""),"")</f>
        <v/>
      </c>
      <c r="H152" s="17" t="str">
        <f ca="1">IFERROR(__xludf.DUMMYFUNCTION("""COMPUTED_VALUE"""),"")</f>
        <v/>
      </c>
      <c r="I152" s="17" t="str">
        <f ca="1">IFERROR(__xludf.DUMMYFUNCTION("""COMPUTED_VALUE"""),"")</f>
        <v/>
      </c>
      <c r="J152" s="17" t="str">
        <f ca="1">IFERROR(__xludf.DUMMYFUNCTION("""COMPUTED_VALUE"""),"")</f>
        <v/>
      </c>
      <c r="K152" s="18" t="str">
        <f ca="1">IFERROR(__xludf.DUMMYFUNCTION("""COMPUTED_VALUE"""),"")</f>
        <v/>
      </c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20"/>
      <c r="W152" s="20"/>
      <c r="X152" s="20"/>
      <c r="Y152" s="20"/>
      <c r="Z152" s="21"/>
      <c r="AA152" s="22"/>
      <c r="AB152" s="23"/>
    </row>
    <row r="153" spans="1:28" ht="13.5" customHeight="1" x14ac:dyDescent="0.35">
      <c r="A153" s="24" t="str">
        <f ca="1">IFERROR(__xludf.DUMMYFUNCTION("""COMPUTED_VALUE"""),"")</f>
        <v/>
      </c>
      <c r="B153" s="28" t="str">
        <f ca="1">IFERROR(__xludf.DUMMYFUNCTION("""COMPUTED_VALUE"""),"")</f>
        <v/>
      </c>
      <c r="C153" s="27" t="str">
        <f ca="1">IFERROR(__xludf.DUMMYFUNCTION("""COMPUTED_VALUE"""),"")</f>
        <v/>
      </c>
      <c r="D153" s="27" t="str">
        <f ca="1">IFERROR(__xludf.DUMMYFUNCTION("""COMPUTED_VALUE"""),"")</f>
        <v/>
      </c>
      <c r="E153" s="15" t="str">
        <f ca="1">IFERROR(__xludf.DUMMYFUNCTION("""COMPUTED_VALUE"""),"")</f>
        <v/>
      </c>
      <c r="F153" s="51" t="str">
        <f ca="1">IFERROR(__xludf.DUMMYFUNCTION("""COMPUTED_VALUE"""),"")</f>
        <v/>
      </c>
      <c r="G153" s="16" t="str">
        <f ca="1">IFERROR(__xludf.DUMMYFUNCTION("""COMPUTED_VALUE"""),"")</f>
        <v/>
      </c>
      <c r="H153" s="17" t="str">
        <f ca="1">IFERROR(__xludf.DUMMYFUNCTION("""COMPUTED_VALUE"""),"")</f>
        <v/>
      </c>
      <c r="I153" s="17" t="str">
        <f ca="1">IFERROR(__xludf.DUMMYFUNCTION("""COMPUTED_VALUE"""),"")</f>
        <v/>
      </c>
      <c r="J153" s="17" t="str">
        <f ca="1">IFERROR(__xludf.DUMMYFUNCTION("""COMPUTED_VALUE"""),"")</f>
        <v/>
      </c>
      <c r="K153" s="18" t="str">
        <f ca="1">IFERROR(__xludf.DUMMYFUNCTION("""COMPUTED_VALUE"""),"")</f>
        <v/>
      </c>
      <c r="L153" s="19"/>
      <c r="M153" s="19"/>
      <c r="N153" s="19"/>
      <c r="O153" s="19"/>
      <c r="P153" s="19"/>
      <c r="Q153" s="19"/>
      <c r="R153" s="19"/>
      <c r="S153" s="19"/>
      <c r="T153" s="19"/>
      <c r="U153" s="19"/>
      <c r="V153" s="20"/>
      <c r="W153" s="20"/>
      <c r="X153" s="20"/>
      <c r="Y153" s="20"/>
      <c r="Z153" s="21"/>
      <c r="AA153" s="22"/>
      <c r="AB153" s="23"/>
    </row>
    <row r="154" spans="1:28" ht="13.5" customHeight="1" x14ac:dyDescent="0.35">
      <c r="A154" s="24" t="str">
        <f ca="1">IFERROR(__xludf.DUMMYFUNCTION("""COMPUTED_VALUE"""),"")</f>
        <v/>
      </c>
      <c r="B154" s="28" t="str">
        <f ca="1">IFERROR(__xludf.DUMMYFUNCTION("""COMPUTED_VALUE"""),"")</f>
        <v/>
      </c>
      <c r="C154" s="27" t="str">
        <f ca="1">IFERROR(__xludf.DUMMYFUNCTION("""COMPUTED_VALUE"""),"")</f>
        <v/>
      </c>
      <c r="D154" s="27" t="str">
        <f ca="1">IFERROR(__xludf.DUMMYFUNCTION("""COMPUTED_VALUE"""),"")</f>
        <v/>
      </c>
      <c r="E154" s="15" t="str">
        <f ca="1">IFERROR(__xludf.DUMMYFUNCTION("""COMPUTED_VALUE"""),"")</f>
        <v/>
      </c>
      <c r="F154" s="51" t="str">
        <f ca="1">IFERROR(__xludf.DUMMYFUNCTION("""COMPUTED_VALUE"""),"")</f>
        <v/>
      </c>
      <c r="G154" s="16" t="str">
        <f ca="1">IFERROR(__xludf.DUMMYFUNCTION("""COMPUTED_VALUE"""),"")</f>
        <v/>
      </c>
      <c r="H154" s="17" t="str">
        <f ca="1">IFERROR(__xludf.DUMMYFUNCTION("""COMPUTED_VALUE"""),"")</f>
        <v/>
      </c>
      <c r="I154" s="17" t="str">
        <f ca="1">IFERROR(__xludf.DUMMYFUNCTION("""COMPUTED_VALUE"""),"")</f>
        <v/>
      </c>
      <c r="J154" s="17" t="str">
        <f ca="1">IFERROR(__xludf.DUMMYFUNCTION("""COMPUTED_VALUE"""),"")</f>
        <v/>
      </c>
      <c r="K154" s="18" t="str">
        <f ca="1">IFERROR(__xludf.DUMMYFUNCTION("""COMPUTED_VALUE"""),"")</f>
        <v/>
      </c>
      <c r="L154" s="19"/>
      <c r="M154" s="19"/>
      <c r="N154" s="19"/>
      <c r="O154" s="19"/>
      <c r="P154" s="19"/>
      <c r="Q154" s="19"/>
      <c r="R154" s="19"/>
      <c r="S154" s="19"/>
      <c r="T154" s="19"/>
      <c r="U154" s="19"/>
      <c r="V154" s="20"/>
      <c r="W154" s="20"/>
      <c r="X154" s="20"/>
      <c r="Y154" s="20"/>
      <c r="Z154" s="21"/>
      <c r="AA154" s="22"/>
      <c r="AB154" s="23"/>
    </row>
    <row r="155" spans="1:28" ht="13.5" customHeight="1" x14ac:dyDescent="0.35">
      <c r="A155" s="24" t="str">
        <f ca="1">IFERROR(__xludf.DUMMYFUNCTION("""COMPUTED_VALUE"""),"")</f>
        <v/>
      </c>
      <c r="B155" s="28" t="str">
        <f ca="1">IFERROR(__xludf.DUMMYFUNCTION("""COMPUTED_VALUE"""),"")</f>
        <v/>
      </c>
      <c r="C155" s="27" t="str">
        <f ca="1">IFERROR(__xludf.DUMMYFUNCTION("""COMPUTED_VALUE"""),"")</f>
        <v/>
      </c>
      <c r="D155" s="27" t="str">
        <f ca="1">IFERROR(__xludf.DUMMYFUNCTION("""COMPUTED_VALUE"""),"")</f>
        <v/>
      </c>
      <c r="E155" s="15" t="str">
        <f ca="1">IFERROR(__xludf.DUMMYFUNCTION("""COMPUTED_VALUE"""),"")</f>
        <v/>
      </c>
      <c r="F155" s="51" t="str">
        <f ca="1">IFERROR(__xludf.DUMMYFUNCTION("""COMPUTED_VALUE"""),"")</f>
        <v/>
      </c>
      <c r="G155" s="16" t="str">
        <f ca="1">IFERROR(__xludf.DUMMYFUNCTION("""COMPUTED_VALUE"""),"")</f>
        <v/>
      </c>
      <c r="H155" s="17" t="str">
        <f ca="1">IFERROR(__xludf.DUMMYFUNCTION("""COMPUTED_VALUE"""),"")</f>
        <v/>
      </c>
      <c r="I155" s="17" t="str">
        <f ca="1">IFERROR(__xludf.DUMMYFUNCTION("""COMPUTED_VALUE"""),"")</f>
        <v/>
      </c>
      <c r="J155" s="17" t="str">
        <f ca="1">IFERROR(__xludf.DUMMYFUNCTION("""COMPUTED_VALUE"""),"")</f>
        <v/>
      </c>
      <c r="K155" s="18" t="str">
        <f ca="1">IFERROR(__xludf.DUMMYFUNCTION("""COMPUTED_VALUE"""),"")</f>
        <v/>
      </c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20"/>
      <c r="W155" s="20"/>
      <c r="X155" s="20"/>
      <c r="Y155" s="20"/>
      <c r="Z155" s="21"/>
      <c r="AA155" s="22"/>
      <c r="AB155" s="23"/>
    </row>
    <row r="156" spans="1:28" ht="13.5" customHeight="1" x14ac:dyDescent="0.35">
      <c r="A156" s="24" t="str">
        <f ca="1">IFERROR(__xludf.DUMMYFUNCTION("""COMPUTED_VALUE"""),"")</f>
        <v/>
      </c>
      <c r="B156" s="28" t="str">
        <f ca="1">IFERROR(__xludf.DUMMYFUNCTION("""COMPUTED_VALUE"""),"")</f>
        <v/>
      </c>
      <c r="C156" s="27" t="str">
        <f ca="1">IFERROR(__xludf.DUMMYFUNCTION("""COMPUTED_VALUE"""),"")</f>
        <v/>
      </c>
      <c r="D156" s="27" t="str">
        <f ca="1">IFERROR(__xludf.DUMMYFUNCTION("""COMPUTED_VALUE"""),"")</f>
        <v/>
      </c>
      <c r="E156" s="15" t="str">
        <f ca="1">IFERROR(__xludf.DUMMYFUNCTION("""COMPUTED_VALUE"""),"")</f>
        <v/>
      </c>
      <c r="F156" s="51" t="str">
        <f ca="1">IFERROR(__xludf.DUMMYFUNCTION("""COMPUTED_VALUE"""),"")</f>
        <v/>
      </c>
      <c r="G156" s="16" t="str">
        <f ca="1">IFERROR(__xludf.DUMMYFUNCTION("""COMPUTED_VALUE"""),"")</f>
        <v/>
      </c>
      <c r="H156" s="17" t="str">
        <f ca="1">IFERROR(__xludf.DUMMYFUNCTION("""COMPUTED_VALUE"""),"")</f>
        <v/>
      </c>
      <c r="I156" s="17" t="str">
        <f ca="1">IFERROR(__xludf.DUMMYFUNCTION("""COMPUTED_VALUE"""),"")</f>
        <v/>
      </c>
      <c r="J156" s="17" t="str">
        <f ca="1">IFERROR(__xludf.DUMMYFUNCTION("""COMPUTED_VALUE"""),"")</f>
        <v/>
      </c>
      <c r="K156" s="18" t="str">
        <f ca="1">IFERROR(__xludf.DUMMYFUNCTION("""COMPUTED_VALUE"""),"")</f>
        <v/>
      </c>
      <c r="L156" s="19"/>
      <c r="M156" s="19"/>
      <c r="N156" s="19"/>
      <c r="O156" s="19"/>
      <c r="P156" s="19"/>
      <c r="Q156" s="19"/>
      <c r="R156" s="19"/>
      <c r="S156" s="19"/>
      <c r="T156" s="19"/>
      <c r="U156" s="19"/>
      <c r="V156" s="20"/>
      <c r="W156" s="20"/>
      <c r="X156" s="20"/>
      <c r="Y156" s="20"/>
      <c r="Z156" s="21"/>
      <c r="AA156" s="22"/>
      <c r="AB156" s="23"/>
    </row>
    <row r="157" spans="1:28" ht="13.5" customHeight="1" x14ac:dyDescent="0.35">
      <c r="A157" s="24" t="str">
        <f ca="1">IFERROR(__xludf.DUMMYFUNCTION("""COMPUTED_VALUE"""),"")</f>
        <v/>
      </c>
      <c r="B157" s="28" t="str">
        <f ca="1">IFERROR(__xludf.DUMMYFUNCTION("""COMPUTED_VALUE"""),"")</f>
        <v/>
      </c>
      <c r="C157" s="27" t="str">
        <f ca="1">IFERROR(__xludf.DUMMYFUNCTION("""COMPUTED_VALUE"""),"")</f>
        <v/>
      </c>
      <c r="D157" s="27" t="str">
        <f ca="1">IFERROR(__xludf.DUMMYFUNCTION("""COMPUTED_VALUE"""),"")</f>
        <v/>
      </c>
      <c r="E157" s="15" t="str">
        <f ca="1">IFERROR(__xludf.DUMMYFUNCTION("""COMPUTED_VALUE"""),"")</f>
        <v/>
      </c>
      <c r="F157" s="51" t="str">
        <f ca="1">IFERROR(__xludf.DUMMYFUNCTION("""COMPUTED_VALUE"""),"")</f>
        <v/>
      </c>
      <c r="G157" s="16" t="str">
        <f ca="1">IFERROR(__xludf.DUMMYFUNCTION("""COMPUTED_VALUE"""),"")</f>
        <v/>
      </c>
      <c r="H157" s="17" t="str">
        <f ca="1">IFERROR(__xludf.DUMMYFUNCTION("""COMPUTED_VALUE"""),"")</f>
        <v/>
      </c>
      <c r="I157" s="17" t="str">
        <f ca="1">IFERROR(__xludf.DUMMYFUNCTION("""COMPUTED_VALUE"""),"")</f>
        <v/>
      </c>
      <c r="J157" s="17" t="str">
        <f ca="1">IFERROR(__xludf.DUMMYFUNCTION("""COMPUTED_VALUE"""),"")</f>
        <v/>
      </c>
      <c r="K157" s="18" t="str">
        <f ca="1">IFERROR(__xludf.DUMMYFUNCTION("""COMPUTED_VALUE"""),"")</f>
        <v/>
      </c>
      <c r="L157" s="19"/>
      <c r="M157" s="19"/>
      <c r="N157" s="19"/>
      <c r="O157" s="19"/>
      <c r="P157" s="19"/>
      <c r="Q157" s="19"/>
      <c r="R157" s="19"/>
      <c r="S157" s="19"/>
      <c r="T157" s="19"/>
      <c r="U157" s="19"/>
      <c r="V157" s="20"/>
      <c r="W157" s="20"/>
      <c r="X157" s="20"/>
      <c r="Y157" s="20"/>
      <c r="Z157" s="21"/>
      <c r="AA157" s="22"/>
      <c r="AB157" s="23"/>
    </row>
    <row r="158" spans="1:28" ht="13.5" customHeight="1" x14ac:dyDescent="0.35">
      <c r="A158" s="24" t="str">
        <f ca="1">IFERROR(__xludf.DUMMYFUNCTION("""COMPUTED_VALUE"""),"")</f>
        <v/>
      </c>
      <c r="B158" s="28" t="str">
        <f ca="1">IFERROR(__xludf.DUMMYFUNCTION("""COMPUTED_VALUE"""),"")</f>
        <v/>
      </c>
      <c r="C158" s="27" t="str">
        <f ca="1">IFERROR(__xludf.DUMMYFUNCTION("""COMPUTED_VALUE"""),"")</f>
        <v/>
      </c>
      <c r="D158" s="27" t="str">
        <f ca="1">IFERROR(__xludf.DUMMYFUNCTION("""COMPUTED_VALUE"""),"")</f>
        <v/>
      </c>
      <c r="E158" s="15" t="str">
        <f ca="1">IFERROR(__xludf.DUMMYFUNCTION("""COMPUTED_VALUE"""),"")</f>
        <v/>
      </c>
      <c r="F158" s="51" t="str">
        <f ca="1">IFERROR(__xludf.DUMMYFUNCTION("""COMPUTED_VALUE"""),"")</f>
        <v/>
      </c>
      <c r="G158" s="16" t="str">
        <f ca="1">IFERROR(__xludf.DUMMYFUNCTION("""COMPUTED_VALUE"""),"")</f>
        <v/>
      </c>
      <c r="H158" s="17" t="str">
        <f ca="1">IFERROR(__xludf.DUMMYFUNCTION("""COMPUTED_VALUE"""),"")</f>
        <v/>
      </c>
      <c r="I158" s="17" t="str">
        <f ca="1">IFERROR(__xludf.DUMMYFUNCTION("""COMPUTED_VALUE"""),"")</f>
        <v/>
      </c>
      <c r="J158" s="17" t="str">
        <f ca="1">IFERROR(__xludf.DUMMYFUNCTION("""COMPUTED_VALUE"""),"")</f>
        <v/>
      </c>
      <c r="K158" s="18" t="str">
        <f ca="1">IFERROR(__xludf.DUMMYFUNCTION("""COMPUTED_VALUE"""),"")</f>
        <v/>
      </c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20"/>
      <c r="W158" s="20"/>
      <c r="X158" s="20"/>
      <c r="Y158" s="20"/>
      <c r="Z158" s="21"/>
      <c r="AA158" s="22"/>
      <c r="AB158" s="23"/>
    </row>
    <row r="159" spans="1:28" ht="13.5" customHeight="1" x14ac:dyDescent="0.35">
      <c r="A159" s="24" t="str">
        <f ca="1">IFERROR(__xludf.DUMMYFUNCTION("""COMPUTED_VALUE"""),"")</f>
        <v/>
      </c>
      <c r="B159" s="28" t="str">
        <f ca="1">IFERROR(__xludf.DUMMYFUNCTION("""COMPUTED_VALUE"""),"")</f>
        <v/>
      </c>
      <c r="C159" s="27" t="str">
        <f ca="1">IFERROR(__xludf.DUMMYFUNCTION("""COMPUTED_VALUE"""),"")</f>
        <v/>
      </c>
      <c r="D159" s="27" t="str">
        <f ca="1">IFERROR(__xludf.DUMMYFUNCTION("""COMPUTED_VALUE"""),"")</f>
        <v/>
      </c>
      <c r="E159" s="15" t="str">
        <f ca="1">IFERROR(__xludf.DUMMYFUNCTION("""COMPUTED_VALUE"""),"")</f>
        <v/>
      </c>
      <c r="F159" s="51" t="str">
        <f ca="1">IFERROR(__xludf.DUMMYFUNCTION("""COMPUTED_VALUE"""),"")</f>
        <v/>
      </c>
      <c r="G159" s="16" t="str">
        <f ca="1">IFERROR(__xludf.DUMMYFUNCTION("""COMPUTED_VALUE"""),"")</f>
        <v/>
      </c>
      <c r="H159" s="17" t="str">
        <f ca="1">IFERROR(__xludf.DUMMYFUNCTION("""COMPUTED_VALUE"""),"")</f>
        <v/>
      </c>
      <c r="I159" s="17" t="str">
        <f ca="1">IFERROR(__xludf.DUMMYFUNCTION("""COMPUTED_VALUE"""),"")</f>
        <v/>
      </c>
      <c r="J159" s="17" t="str">
        <f ca="1">IFERROR(__xludf.DUMMYFUNCTION("""COMPUTED_VALUE"""),"")</f>
        <v/>
      </c>
      <c r="K159" s="18" t="str">
        <f ca="1">IFERROR(__xludf.DUMMYFUNCTION("""COMPUTED_VALUE"""),"")</f>
        <v/>
      </c>
      <c r="L159" s="19"/>
      <c r="M159" s="19"/>
      <c r="N159" s="19"/>
      <c r="O159" s="19"/>
      <c r="P159" s="19"/>
      <c r="Q159" s="19"/>
      <c r="R159" s="19"/>
      <c r="S159" s="19"/>
      <c r="T159" s="19"/>
      <c r="U159" s="19"/>
      <c r="V159" s="20"/>
      <c r="W159" s="20"/>
      <c r="X159" s="20"/>
      <c r="Y159" s="20"/>
      <c r="Z159" s="21"/>
      <c r="AA159" s="22"/>
      <c r="AB159" s="23"/>
    </row>
    <row r="160" spans="1:28" ht="13.5" customHeight="1" x14ac:dyDescent="0.35">
      <c r="A160" s="24" t="str">
        <f ca="1">IFERROR(__xludf.DUMMYFUNCTION("""COMPUTED_VALUE"""),"")</f>
        <v/>
      </c>
      <c r="B160" s="28" t="str">
        <f ca="1">IFERROR(__xludf.DUMMYFUNCTION("""COMPUTED_VALUE"""),"")</f>
        <v/>
      </c>
      <c r="C160" s="27" t="str">
        <f ca="1">IFERROR(__xludf.DUMMYFUNCTION("""COMPUTED_VALUE"""),"")</f>
        <v/>
      </c>
      <c r="D160" s="27" t="str">
        <f ca="1">IFERROR(__xludf.DUMMYFUNCTION("""COMPUTED_VALUE"""),"")</f>
        <v/>
      </c>
      <c r="E160" s="15" t="str">
        <f ca="1">IFERROR(__xludf.DUMMYFUNCTION("""COMPUTED_VALUE"""),"")</f>
        <v/>
      </c>
      <c r="F160" s="51" t="str">
        <f ca="1">IFERROR(__xludf.DUMMYFUNCTION("""COMPUTED_VALUE"""),"")</f>
        <v/>
      </c>
      <c r="G160" s="16" t="str">
        <f ca="1">IFERROR(__xludf.DUMMYFUNCTION("""COMPUTED_VALUE"""),"")</f>
        <v/>
      </c>
      <c r="H160" s="17" t="str">
        <f ca="1">IFERROR(__xludf.DUMMYFUNCTION("""COMPUTED_VALUE"""),"")</f>
        <v/>
      </c>
      <c r="I160" s="17" t="str">
        <f ca="1">IFERROR(__xludf.DUMMYFUNCTION("""COMPUTED_VALUE"""),"")</f>
        <v/>
      </c>
      <c r="J160" s="17" t="str">
        <f ca="1">IFERROR(__xludf.DUMMYFUNCTION("""COMPUTED_VALUE"""),"")</f>
        <v/>
      </c>
      <c r="K160" s="18" t="str">
        <f ca="1">IFERROR(__xludf.DUMMYFUNCTION("""COMPUTED_VALUE"""),"")</f>
        <v/>
      </c>
      <c r="L160" s="19"/>
      <c r="M160" s="19"/>
      <c r="N160" s="19"/>
      <c r="O160" s="19"/>
      <c r="P160" s="19"/>
      <c r="Q160" s="19"/>
      <c r="R160" s="19"/>
      <c r="S160" s="19"/>
      <c r="T160" s="19"/>
      <c r="U160" s="19"/>
      <c r="V160" s="20"/>
      <c r="W160" s="20"/>
      <c r="X160" s="20"/>
      <c r="Y160" s="20"/>
      <c r="Z160" s="21"/>
      <c r="AA160" s="22"/>
      <c r="AB160" s="23"/>
    </row>
    <row r="161" spans="1:28" ht="13.5" customHeight="1" x14ac:dyDescent="0.35">
      <c r="A161" s="24" t="str">
        <f ca="1">IFERROR(__xludf.DUMMYFUNCTION("""COMPUTED_VALUE"""),"")</f>
        <v/>
      </c>
      <c r="B161" s="28" t="str">
        <f ca="1">IFERROR(__xludf.DUMMYFUNCTION("""COMPUTED_VALUE"""),"")</f>
        <v/>
      </c>
      <c r="C161" s="27" t="str">
        <f ca="1">IFERROR(__xludf.DUMMYFUNCTION("""COMPUTED_VALUE"""),"")</f>
        <v/>
      </c>
      <c r="D161" s="27" t="str">
        <f ca="1">IFERROR(__xludf.DUMMYFUNCTION("""COMPUTED_VALUE"""),"")</f>
        <v/>
      </c>
      <c r="E161" s="15" t="str">
        <f ca="1">IFERROR(__xludf.DUMMYFUNCTION("""COMPUTED_VALUE"""),"")</f>
        <v/>
      </c>
      <c r="F161" s="51" t="str">
        <f ca="1">IFERROR(__xludf.DUMMYFUNCTION("""COMPUTED_VALUE"""),"")</f>
        <v/>
      </c>
      <c r="G161" s="16" t="str">
        <f ca="1">IFERROR(__xludf.DUMMYFUNCTION("""COMPUTED_VALUE"""),"")</f>
        <v/>
      </c>
      <c r="H161" s="17" t="str">
        <f ca="1">IFERROR(__xludf.DUMMYFUNCTION("""COMPUTED_VALUE"""),"")</f>
        <v/>
      </c>
      <c r="I161" s="17" t="str">
        <f ca="1">IFERROR(__xludf.DUMMYFUNCTION("""COMPUTED_VALUE"""),"")</f>
        <v/>
      </c>
      <c r="J161" s="17" t="str">
        <f ca="1">IFERROR(__xludf.DUMMYFUNCTION("""COMPUTED_VALUE"""),"")</f>
        <v/>
      </c>
      <c r="K161" s="18" t="str">
        <f ca="1">IFERROR(__xludf.DUMMYFUNCTION("""COMPUTED_VALUE"""),"")</f>
        <v/>
      </c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V161" s="20"/>
      <c r="W161" s="20"/>
      <c r="X161" s="20"/>
      <c r="Y161" s="20"/>
      <c r="Z161" s="21"/>
      <c r="AA161" s="22"/>
      <c r="AB161" s="23"/>
    </row>
    <row r="162" spans="1:28" ht="13.5" customHeight="1" x14ac:dyDescent="0.35">
      <c r="A162" s="24" t="str">
        <f ca="1">IFERROR(__xludf.DUMMYFUNCTION("""COMPUTED_VALUE"""),"")</f>
        <v/>
      </c>
      <c r="B162" s="28" t="str">
        <f ca="1">IFERROR(__xludf.DUMMYFUNCTION("""COMPUTED_VALUE"""),"")</f>
        <v/>
      </c>
      <c r="C162" s="27" t="str">
        <f ca="1">IFERROR(__xludf.DUMMYFUNCTION("""COMPUTED_VALUE"""),"")</f>
        <v/>
      </c>
      <c r="D162" s="27" t="str">
        <f ca="1">IFERROR(__xludf.DUMMYFUNCTION("""COMPUTED_VALUE"""),"")</f>
        <v/>
      </c>
      <c r="E162" s="15" t="str">
        <f ca="1">IFERROR(__xludf.DUMMYFUNCTION("""COMPUTED_VALUE"""),"")</f>
        <v/>
      </c>
      <c r="F162" s="51" t="str">
        <f ca="1">IFERROR(__xludf.DUMMYFUNCTION("""COMPUTED_VALUE"""),"")</f>
        <v/>
      </c>
      <c r="G162" s="16" t="str">
        <f ca="1">IFERROR(__xludf.DUMMYFUNCTION("""COMPUTED_VALUE"""),"")</f>
        <v/>
      </c>
      <c r="H162" s="17" t="str">
        <f ca="1">IFERROR(__xludf.DUMMYFUNCTION("""COMPUTED_VALUE"""),"")</f>
        <v/>
      </c>
      <c r="I162" s="17" t="str">
        <f ca="1">IFERROR(__xludf.DUMMYFUNCTION("""COMPUTED_VALUE"""),"")</f>
        <v/>
      </c>
      <c r="J162" s="17" t="str">
        <f ca="1">IFERROR(__xludf.DUMMYFUNCTION("""COMPUTED_VALUE"""),"")</f>
        <v/>
      </c>
      <c r="K162" s="18" t="str">
        <f ca="1">IFERROR(__xludf.DUMMYFUNCTION("""COMPUTED_VALUE"""),"")</f>
        <v/>
      </c>
      <c r="L162" s="19"/>
      <c r="M162" s="19"/>
      <c r="N162" s="19"/>
      <c r="O162" s="19"/>
      <c r="P162" s="19"/>
      <c r="Q162" s="19"/>
      <c r="R162" s="19"/>
      <c r="S162" s="19"/>
      <c r="T162" s="19"/>
      <c r="U162" s="19"/>
      <c r="V162" s="20"/>
      <c r="W162" s="20"/>
      <c r="X162" s="20"/>
      <c r="Y162" s="20"/>
      <c r="Z162" s="21"/>
      <c r="AA162" s="22"/>
      <c r="AB162" s="23"/>
    </row>
    <row r="163" spans="1:28" ht="13.5" customHeight="1" x14ac:dyDescent="0.35">
      <c r="A163" s="24" t="str">
        <f ca="1">IFERROR(__xludf.DUMMYFUNCTION("""COMPUTED_VALUE"""),"")</f>
        <v/>
      </c>
      <c r="B163" s="28" t="str">
        <f ca="1">IFERROR(__xludf.DUMMYFUNCTION("""COMPUTED_VALUE"""),"")</f>
        <v/>
      </c>
      <c r="C163" s="27" t="str">
        <f ca="1">IFERROR(__xludf.DUMMYFUNCTION("""COMPUTED_VALUE"""),"")</f>
        <v/>
      </c>
      <c r="D163" s="27" t="str">
        <f ca="1">IFERROR(__xludf.DUMMYFUNCTION("""COMPUTED_VALUE"""),"")</f>
        <v/>
      </c>
      <c r="E163" s="15" t="str">
        <f ca="1">IFERROR(__xludf.DUMMYFUNCTION("""COMPUTED_VALUE"""),"")</f>
        <v/>
      </c>
      <c r="F163" s="51" t="str">
        <f ca="1">IFERROR(__xludf.DUMMYFUNCTION("""COMPUTED_VALUE"""),"")</f>
        <v/>
      </c>
      <c r="G163" s="16" t="str">
        <f ca="1">IFERROR(__xludf.DUMMYFUNCTION("""COMPUTED_VALUE"""),"")</f>
        <v/>
      </c>
      <c r="H163" s="17" t="str">
        <f ca="1">IFERROR(__xludf.DUMMYFUNCTION("""COMPUTED_VALUE"""),"")</f>
        <v/>
      </c>
      <c r="I163" s="17" t="str">
        <f ca="1">IFERROR(__xludf.DUMMYFUNCTION("""COMPUTED_VALUE"""),"")</f>
        <v/>
      </c>
      <c r="J163" s="17" t="str">
        <f ca="1">IFERROR(__xludf.DUMMYFUNCTION("""COMPUTED_VALUE"""),"")</f>
        <v/>
      </c>
      <c r="K163" s="18" t="str">
        <f ca="1">IFERROR(__xludf.DUMMYFUNCTION("""COMPUTED_VALUE"""),"")</f>
        <v/>
      </c>
      <c r="L163" s="19"/>
      <c r="M163" s="19"/>
      <c r="N163" s="19"/>
      <c r="O163" s="19"/>
      <c r="P163" s="19"/>
      <c r="Q163" s="19"/>
      <c r="R163" s="19"/>
      <c r="S163" s="19"/>
      <c r="T163" s="19"/>
      <c r="U163" s="19"/>
      <c r="V163" s="20"/>
      <c r="W163" s="20"/>
      <c r="X163" s="20"/>
      <c r="Y163" s="20"/>
      <c r="Z163" s="21"/>
      <c r="AA163" s="22"/>
      <c r="AB163" s="23"/>
    </row>
    <row r="164" spans="1:28" ht="13.5" customHeight="1" x14ac:dyDescent="0.35">
      <c r="A164" s="24" t="str">
        <f ca="1">IFERROR(__xludf.DUMMYFUNCTION("""COMPUTED_VALUE"""),"")</f>
        <v/>
      </c>
      <c r="B164" s="28" t="str">
        <f ca="1">IFERROR(__xludf.DUMMYFUNCTION("""COMPUTED_VALUE"""),"")</f>
        <v/>
      </c>
      <c r="C164" s="27" t="str">
        <f ca="1">IFERROR(__xludf.DUMMYFUNCTION("""COMPUTED_VALUE"""),"")</f>
        <v/>
      </c>
      <c r="D164" s="27" t="str">
        <f ca="1">IFERROR(__xludf.DUMMYFUNCTION("""COMPUTED_VALUE"""),"")</f>
        <v/>
      </c>
      <c r="E164" s="15" t="str">
        <f ca="1">IFERROR(__xludf.DUMMYFUNCTION("""COMPUTED_VALUE"""),"")</f>
        <v/>
      </c>
      <c r="F164" s="51" t="str">
        <f ca="1">IFERROR(__xludf.DUMMYFUNCTION("""COMPUTED_VALUE"""),"")</f>
        <v/>
      </c>
      <c r="G164" s="16" t="str">
        <f ca="1">IFERROR(__xludf.DUMMYFUNCTION("""COMPUTED_VALUE"""),"")</f>
        <v/>
      </c>
      <c r="H164" s="17" t="str">
        <f ca="1">IFERROR(__xludf.DUMMYFUNCTION("""COMPUTED_VALUE"""),"")</f>
        <v/>
      </c>
      <c r="I164" s="17" t="str">
        <f ca="1">IFERROR(__xludf.DUMMYFUNCTION("""COMPUTED_VALUE"""),"")</f>
        <v/>
      </c>
      <c r="J164" s="17" t="str">
        <f ca="1">IFERROR(__xludf.DUMMYFUNCTION("""COMPUTED_VALUE"""),"")</f>
        <v/>
      </c>
      <c r="K164" s="18" t="str">
        <f ca="1">IFERROR(__xludf.DUMMYFUNCTION("""COMPUTED_VALUE"""),"")</f>
        <v/>
      </c>
      <c r="L164" s="19"/>
      <c r="M164" s="19"/>
      <c r="N164" s="19"/>
      <c r="O164" s="19"/>
      <c r="P164" s="19"/>
      <c r="Q164" s="19"/>
      <c r="R164" s="19"/>
      <c r="S164" s="19"/>
      <c r="T164" s="19"/>
      <c r="U164" s="19"/>
      <c r="V164" s="20"/>
      <c r="W164" s="20"/>
      <c r="X164" s="20"/>
      <c r="Y164" s="20"/>
      <c r="Z164" s="21"/>
      <c r="AA164" s="22"/>
      <c r="AB164" s="23"/>
    </row>
    <row r="165" spans="1:28" ht="13.5" customHeight="1" x14ac:dyDescent="0.35">
      <c r="A165" s="24" t="str">
        <f ca="1">IFERROR(__xludf.DUMMYFUNCTION("""COMPUTED_VALUE"""),"")</f>
        <v/>
      </c>
      <c r="B165" s="28" t="str">
        <f ca="1">IFERROR(__xludf.DUMMYFUNCTION("""COMPUTED_VALUE"""),"")</f>
        <v/>
      </c>
      <c r="C165" s="27" t="str">
        <f ca="1">IFERROR(__xludf.DUMMYFUNCTION("""COMPUTED_VALUE"""),"")</f>
        <v/>
      </c>
      <c r="D165" s="27" t="str">
        <f ca="1">IFERROR(__xludf.DUMMYFUNCTION("""COMPUTED_VALUE"""),"")</f>
        <v/>
      </c>
      <c r="E165" s="15" t="str">
        <f ca="1">IFERROR(__xludf.DUMMYFUNCTION("""COMPUTED_VALUE"""),"")</f>
        <v/>
      </c>
      <c r="F165" s="51" t="str">
        <f ca="1">IFERROR(__xludf.DUMMYFUNCTION("""COMPUTED_VALUE"""),"")</f>
        <v/>
      </c>
      <c r="G165" s="16" t="str">
        <f ca="1">IFERROR(__xludf.DUMMYFUNCTION("""COMPUTED_VALUE"""),"")</f>
        <v/>
      </c>
      <c r="H165" s="17" t="str">
        <f ca="1">IFERROR(__xludf.DUMMYFUNCTION("""COMPUTED_VALUE"""),"")</f>
        <v/>
      </c>
      <c r="I165" s="17" t="str">
        <f ca="1">IFERROR(__xludf.DUMMYFUNCTION("""COMPUTED_VALUE"""),"")</f>
        <v/>
      </c>
      <c r="J165" s="17" t="str">
        <f ca="1">IFERROR(__xludf.DUMMYFUNCTION("""COMPUTED_VALUE"""),"")</f>
        <v/>
      </c>
      <c r="K165" s="18" t="str">
        <f ca="1">IFERROR(__xludf.DUMMYFUNCTION("""COMPUTED_VALUE"""),"")</f>
        <v/>
      </c>
      <c r="L165" s="19"/>
      <c r="M165" s="19"/>
      <c r="N165" s="19"/>
      <c r="O165" s="19"/>
      <c r="P165" s="19"/>
      <c r="Q165" s="19"/>
      <c r="R165" s="19"/>
      <c r="S165" s="19"/>
      <c r="T165" s="19"/>
      <c r="U165" s="19"/>
      <c r="V165" s="20"/>
      <c r="W165" s="20"/>
      <c r="X165" s="20"/>
      <c r="Y165" s="20"/>
      <c r="Z165" s="21"/>
      <c r="AA165" s="22"/>
      <c r="AB165" s="23"/>
    </row>
    <row r="166" spans="1:28" ht="13.5" customHeight="1" x14ac:dyDescent="0.35">
      <c r="A166" s="24" t="str">
        <f ca="1">IFERROR(__xludf.DUMMYFUNCTION("""COMPUTED_VALUE"""),"")</f>
        <v/>
      </c>
      <c r="B166" s="28" t="str">
        <f ca="1">IFERROR(__xludf.DUMMYFUNCTION("""COMPUTED_VALUE"""),"")</f>
        <v/>
      </c>
      <c r="C166" s="27" t="str">
        <f ca="1">IFERROR(__xludf.DUMMYFUNCTION("""COMPUTED_VALUE"""),"")</f>
        <v/>
      </c>
      <c r="D166" s="27" t="str">
        <f ca="1">IFERROR(__xludf.DUMMYFUNCTION("""COMPUTED_VALUE"""),"")</f>
        <v/>
      </c>
      <c r="E166" s="15" t="str">
        <f ca="1">IFERROR(__xludf.DUMMYFUNCTION("""COMPUTED_VALUE"""),"")</f>
        <v/>
      </c>
      <c r="F166" s="51" t="str">
        <f ca="1">IFERROR(__xludf.DUMMYFUNCTION("""COMPUTED_VALUE"""),"")</f>
        <v/>
      </c>
      <c r="G166" s="16" t="str">
        <f ca="1">IFERROR(__xludf.DUMMYFUNCTION("""COMPUTED_VALUE"""),"")</f>
        <v/>
      </c>
      <c r="H166" s="17" t="str">
        <f ca="1">IFERROR(__xludf.DUMMYFUNCTION("""COMPUTED_VALUE"""),"")</f>
        <v/>
      </c>
      <c r="I166" s="17" t="str">
        <f ca="1">IFERROR(__xludf.DUMMYFUNCTION("""COMPUTED_VALUE"""),"")</f>
        <v/>
      </c>
      <c r="J166" s="17" t="str">
        <f ca="1">IFERROR(__xludf.DUMMYFUNCTION("""COMPUTED_VALUE"""),"")</f>
        <v/>
      </c>
      <c r="K166" s="18" t="str">
        <f ca="1">IFERROR(__xludf.DUMMYFUNCTION("""COMPUTED_VALUE"""),"")</f>
        <v/>
      </c>
      <c r="L166" s="19"/>
      <c r="M166" s="19"/>
      <c r="N166" s="19"/>
      <c r="O166" s="19"/>
      <c r="P166" s="19"/>
      <c r="Q166" s="19"/>
      <c r="R166" s="19"/>
      <c r="S166" s="19"/>
      <c r="T166" s="19"/>
      <c r="U166" s="19"/>
      <c r="V166" s="20"/>
      <c r="W166" s="20"/>
      <c r="X166" s="20"/>
      <c r="Y166" s="20"/>
      <c r="Z166" s="21"/>
      <c r="AA166" s="22"/>
      <c r="AB166" s="23"/>
    </row>
    <row r="167" spans="1:28" ht="13.5" customHeight="1" x14ac:dyDescent="0.35">
      <c r="A167" s="24" t="str">
        <f ca="1">IFERROR(__xludf.DUMMYFUNCTION("""COMPUTED_VALUE"""),"")</f>
        <v/>
      </c>
      <c r="B167" s="28" t="str">
        <f ca="1">IFERROR(__xludf.DUMMYFUNCTION("""COMPUTED_VALUE"""),"")</f>
        <v/>
      </c>
      <c r="C167" s="27" t="str">
        <f ca="1">IFERROR(__xludf.DUMMYFUNCTION("""COMPUTED_VALUE"""),"")</f>
        <v/>
      </c>
      <c r="D167" s="27" t="str">
        <f ca="1">IFERROR(__xludf.DUMMYFUNCTION("""COMPUTED_VALUE"""),"")</f>
        <v/>
      </c>
      <c r="E167" s="15" t="str">
        <f ca="1">IFERROR(__xludf.DUMMYFUNCTION("""COMPUTED_VALUE"""),"")</f>
        <v/>
      </c>
      <c r="F167" s="51" t="str">
        <f ca="1">IFERROR(__xludf.DUMMYFUNCTION("""COMPUTED_VALUE"""),"")</f>
        <v/>
      </c>
      <c r="G167" s="16" t="str">
        <f ca="1">IFERROR(__xludf.DUMMYFUNCTION("""COMPUTED_VALUE"""),"")</f>
        <v/>
      </c>
      <c r="H167" s="17" t="str">
        <f ca="1">IFERROR(__xludf.DUMMYFUNCTION("""COMPUTED_VALUE"""),"")</f>
        <v/>
      </c>
      <c r="I167" s="17" t="str">
        <f ca="1">IFERROR(__xludf.DUMMYFUNCTION("""COMPUTED_VALUE"""),"")</f>
        <v/>
      </c>
      <c r="J167" s="17" t="str">
        <f ca="1">IFERROR(__xludf.DUMMYFUNCTION("""COMPUTED_VALUE"""),"")</f>
        <v/>
      </c>
      <c r="K167" s="18" t="str">
        <f ca="1">IFERROR(__xludf.DUMMYFUNCTION("""COMPUTED_VALUE"""),"")</f>
        <v/>
      </c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20"/>
      <c r="W167" s="20"/>
      <c r="X167" s="20"/>
      <c r="Y167" s="20"/>
      <c r="Z167" s="21"/>
      <c r="AA167" s="22"/>
      <c r="AB167" s="23"/>
    </row>
    <row r="168" spans="1:28" ht="13.5" customHeight="1" x14ac:dyDescent="0.35">
      <c r="A168" s="24" t="str">
        <f ca="1">IFERROR(__xludf.DUMMYFUNCTION("""COMPUTED_VALUE"""),"")</f>
        <v/>
      </c>
      <c r="B168" s="28" t="str">
        <f ca="1">IFERROR(__xludf.DUMMYFUNCTION("""COMPUTED_VALUE"""),"")</f>
        <v/>
      </c>
      <c r="C168" s="27" t="str">
        <f ca="1">IFERROR(__xludf.DUMMYFUNCTION("""COMPUTED_VALUE"""),"")</f>
        <v/>
      </c>
      <c r="D168" s="27" t="str">
        <f ca="1">IFERROR(__xludf.DUMMYFUNCTION("""COMPUTED_VALUE"""),"")</f>
        <v/>
      </c>
      <c r="E168" s="15" t="str">
        <f ca="1">IFERROR(__xludf.DUMMYFUNCTION("""COMPUTED_VALUE"""),"")</f>
        <v/>
      </c>
      <c r="F168" s="51" t="str">
        <f ca="1">IFERROR(__xludf.DUMMYFUNCTION("""COMPUTED_VALUE"""),"")</f>
        <v/>
      </c>
      <c r="G168" s="16" t="str">
        <f ca="1">IFERROR(__xludf.DUMMYFUNCTION("""COMPUTED_VALUE"""),"")</f>
        <v/>
      </c>
      <c r="H168" s="17" t="str">
        <f ca="1">IFERROR(__xludf.DUMMYFUNCTION("""COMPUTED_VALUE"""),"")</f>
        <v/>
      </c>
      <c r="I168" s="17" t="str">
        <f ca="1">IFERROR(__xludf.DUMMYFUNCTION("""COMPUTED_VALUE"""),"")</f>
        <v/>
      </c>
      <c r="J168" s="17" t="str">
        <f ca="1">IFERROR(__xludf.DUMMYFUNCTION("""COMPUTED_VALUE"""),"")</f>
        <v/>
      </c>
      <c r="K168" s="18" t="str">
        <f ca="1">IFERROR(__xludf.DUMMYFUNCTION("""COMPUTED_VALUE"""),"")</f>
        <v/>
      </c>
      <c r="L168" s="19"/>
      <c r="M168" s="19"/>
      <c r="N168" s="19"/>
      <c r="O168" s="19"/>
      <c r="P168" s="19"/>
      <c r="Q168" s="19"/>
      <c r="R168" s="19"/>
      <c r="S168" s="19"/>
      <c r="T168" s="19"/>
      <c r="U168" s="19"/>
      <c r="V168" s="20"/>
      <c r="W168" s="20"/>
      <c r="X168" s="20"/>
      <c r="Y168" s="20"/>
      <c r="Z168" s="21"/>
      <c r="AA168" s="22"/>
      <c r="AB168" s="23"/>
    </row>
    <row r="169" spans="1:28" ht="13.5" customHeight="1" x14ac:dyDescent="0.35">
      <c r="A169" s="24" t="str">
        <f ca="1">IFERROR(__xludf.DUMMYFUNCTION("""COMPUTED_VALUE"""),"")</f>
        <v/>
      </c>
      <c r="B169" s="28" t="str">
        <f ca="1">IFERROR(__xludf.DUMMYFUNCTION("""COMPUTED_VALUE"""),"")</f>
        <v/>
      </c>
      <c r="C169" s="27" t="str">
        <f ca="1">IFERROR(__xludf.DUMMYFUNCTION("""COMPUTED_VALUE"""),"")</f>
        <v/>
      </c>
      <c r="D169" s="27" t="str">
        <f ca="1">IFERROR(__xludf.DUMMYFUNCTION("""COMPUTED_VALUE"""),"")</f>
        <v/>
      </c>
      <c r="E169" s="15" t="str">
        <f ca="1">IFERROR(__xludf.DUMMYFUNCTION("""COMPUTED_VALUE"""),"")</f>
        <v/>
      </c>
      <c r="F169" s="51" t="str">
        <f ca="1">IFERROR(__xludf.DUMMYFUNCTION("""COMPUTED_VALUE"""),"")</f>
        <v/>
      </c>
      <c r="G169" s="16" t="str">
        <f ca="1">IFERROR(__xludf.DUMMYFUNCTION("""COMPUTED_VALUE"""),"")</f>
        <v/>
      </c>
      <c r="H169" s="17" t="str">
        <f ca="1">IFERROR(__xludf.DUMMYFUNCTION("""COMPUTED_VALUE"""),"")</f>
        <v/>
      </c>
      <c r="I169" s="17" t="str">
        <f ca="1">IFERROR(__xludf.DUMMYFUNCTION("""COMPUTED_VALUE"""),"")</f>
        <v/>
      </c>
      <c r="J169" s="17" t="str">
        <f ca="1">IFERROR(__xludf.DUMMYFUNCTION("""COMPUTED_VALUE"""),"")</f>
        <v/>
      </c>
      <c r="K169" s="18" t="str">
        <f ca="1">IFERROR(__xludf.DUMMYFUNCTION("""COMPUTED_VALUE"""),"")</f>
        <v/>
      </c>
      <c r="L169" s="19"/>
      <c r="M169" s="19"/>
      <c r="N169" s="19"/>
      <c r="O169" s="19"/>
      <c r="P169" s="19"/>
      <c r="Q169" s="19"/>
      <c r="R169" s="19"/>
      <c r="S169" s="19"/>
      <c r="T169" s="19"/>
      <c r="U169" s="19"/>
      <c r="V169" s="20"/>
      <c r="W169" s="20"/>
      <c r="X169" s="20"/>
      <c r="Y169" s="20"/>
      <c r="Z169" s="21"/>
      <c r="AA169" s="22"/>
      <c r="AB169" s="23"/>
    </row>
    <row r="170" spans="1:28" ht="13.5" customHeight="1" x14ac:dyDescent="0.35">
      <c r="A170" s="24" t="str">
        <f ca="1">IFERROR(__xludf.DUMMYFUNCTION("""COMPUTED_VALUE"""),"")</f>
        <v/>
      </c>
      <c r="B170" s="28" t="str">
        <f ca="1">IFERROR(__xludf.DUMMYFUNCTION("""COMPUTED_VALUE"""),"")</f>
        <v/>
      </c>
      <c r="C170" s="27" t="str">
        <f ca="1">IFERROR(__xludf.DUMMYFUNCTION("""COMPUTED_VALUE"""),"")</f>
        <v/>
      </c>
      <c r="D170" s="27" t="str">
        <f ca="1">IFERROR(__xludf.DUMMYFUNCTION("""COMPUTED_VALUE"""),"")</f>
        <v/>
      </c>
      <c r="E170" s="15" t="str">
        <f ca="1">IFERROR(__xludf.DUMMYFUNCTION("""COMPUTED_VALUE"""),"")</f>
        <v/>
      </c>
      <c r="F170" s="51" t="str">
        <f ca="1">IFERROR(__xludf.DUMMYFUNCTION("""COMPUTED_VALUE"""),"")</f>
        <v/>
      </c>
      <c r="G170" s="16" t="str">
        <f ca="1">IFERROR(__xludf.DUMMYFUNCTION("""COMPUTED_VALUE"""),"")</f>
        <v/>
      </c>
      <c r="H170" s="17" t="str">
        <f ca="1">IFERROR(__xludf.DUMMYFUNCTION("""COMPUTED_VALUE"""),"")</f>
        <v/>
      </c>
      <c r="I170" s="17" t="str">
        <f ca="1">IFERROR(__xludf.DUMMYFUNCTION("""COMPUTED_VALUE"""),"")</f>
        <v/>
      </c>
      <c r="J170" s="17" t="str">
        <f ca="1">IFERROR(__xludf.DUMMYFUNCTION("""COMPUTED_VALUE"""),"")</f>
        <v/>
      </c>
      <c r="K170" s="18" t="str">
        <f ca="1">IFERROR(__xludf.DUMMYFUNCTION("""COMPUTED_VALUE"""),"")</f>
        <v/>
      </c>
      <c r="L170" s="19"/>
      <c r="M170" s="19"/>
      <c r="N170" s="19"/>
      <c r="O170" s="19"/>
      <c r="P170" s="19"/>
      <c r="Q170" s="19"/>
      <c r="R170" s="19"/>
      <c r="S170" s="19"/>
      <c r="T170" s="19"/>
      <c r="U170" s="19"/>
      <c r="V170" s="20"/>
      <c r="W170" s="20"/>
      <c r="X170" s="20"/>
      <c r="Y170" s="20"/>
      <c r="Z170" s="21"/>
      <c r="AA170" s="22"/>
      <c r="AB170" s="22"/>
    </row>
    <row r="171" spans="1:28" ht="13.5" customHeight="1" x14ac:dyDescent="0.35">
      <c r="A171" s="24" t="str">
        <f ca="1">IFERROR(__xludf.DUMMYFUNCTION("""COMPUTED_VALUE"""),"")</f>
        <v/>
      </c>
      <c r="B171" s="28" t="str">
        <f ca="1">IFERROR(__xludf.DUMMYFUNCTION("""COMPUTED_VALUE"""),"")</f>
        <v/>
      </c>
      <c r="C171" s="27" t="str">
        <f ca="1">IFERROR(__xludf.DUMMYFUNCTION("""COMPUTED_VALUE"""),"")</f>
        <v/>
      </c>
      <c r="D171" s="27" t="str">
        <f ca="1">IFERROR(__xludf.DUMMYFUNCTION("""COMPUTED_VALUE"""),"")</f>
        <v/>
      </c>
      <c r="E171" s="15" t="str">
        <f ca="1">IFERROR(__xludf.DUMMYFUNCTION("""COMPUTED_VALUE"""),"")</f>
        <v/>
      </c>
      <c r="F171" s="51" t="str">
        <f ca="1">IFERROR(__xludf.DUMMYFUNCTION("""COMPUTED_VALUE"""),"")</f>
        <v/>
      </c>
      <c r="G171" s="16" t="str">
        <f ca="1">IFERROR(__xludf.DUMMYFUNCTION("""COMPUTED_VALUE"""),"")</f>
        <v/>
      </c>
      <c r="H171" s="17" t="str">
        <f ca="1">IFERROR(__xludf.DUMMYFUNCTION("""COMPUTED_VALUE"""),"")</f>
        <v/>
      </c>
      <c r="I171" s="17" t="str">
        <f ca="1">IFERROR(__xludf.DUMMYFUNCTION("""COMPUTED_VALUE"""),"")</f>
        <v/>
      </c>
      <c r="J171" s="17" t="str">
        <f ca="1">IFERROR(__xludf.DUMMYFUNCTION("""COMPUTED_VALUE"""),"")</f>
        <v/>
      </c>
      <c r="K171" s="18" t="str">
        <f ca="1">IFERROR(__xludf.DUMMYFUNCTION("""COMPUTED_VALUE"""),"")</f>
        <v/>
      </c>
      <c r="L171" s="19"/>
      <c r="M171" s="19"/>
      <c r="N171" s="19"/>
      <c r="O171" s="19"/>
      <c r="P171" s="19"/>
      <c r="Q171" s="19"/>
      <c r="R171" s="19"/>
      <c r="S171" s="19"/>
      <c r="T171" s="19"/>
      <c r="U171" s="19"/>
      <c r="V171" s="20"/>
      <c r="W171" s="20"/>
      <c r="X171" s="20"/>
      <c r="Y171" s="20"/>
      <c r="Z171" s="21"/>
      <c r="AA171" s="22"/>
      <c r="AB171" s="22"/>
    </row>
    <row r="172" spans="1:28" ht="13.5" customHeight="1" x14ac:dyDescent="0.35">
      <c r="A172" s="24" t="str">
        <f ca="1">IFERROR(__xludf.DUMMYFUNCTION("""COMPUTED_VALUE"""),"")</f>
        <v/>
      </c>
      <c r="B172" s="28" t="str">
        <f ca="1">IFERROR(__xludf.DUMMYFUNCTION("""COMPUTED_VALUE"""),"")</f>
        <v/>
      </c>
      <c r="C172" s="27" t="str">
        <f ca="1">IFERROR(__xludf.DUMMYFUNCTION("""COMPUTED_VALUE"""),"")</f>
        <v/>
      </c>
      <c r="D172" s="27" t="str">
        <f ca="1">IFERROR(__xludf.DUMMYFUNCTION("""COMPUTED_VALUE"""),"")</f>
        <v/>
      </c>
      <c r="E172" s="15" t="str">
        <f ca="1">IFERROR(__xludf.DUMMYFUNCTION("""COMPUTED_VALUE"""),"")</f>
        <v/>
      </c>
      <c r="F172" s="51" t="str">
        <f ca="1">IFERROR(__xludf.DUMMYFUNCTION("""COMPUTED_VALUE"""),"")</f>
        <v/>
      </c>
      <c r="G172" s="16" t="str">
        <f ca="1">IFERROR(__xludf.DUMMYFUNCTION("""COMPUTED_VALUE"""),"")</f>
        <v/>
      </c>
      <c r="H172" s="17" t="str">
        <f ca="1">IFERROR(__xludf.DUMMYFUNCTION("""COMPUTED_VALUE"""),"")</f>
        <v/>
      </c>
      <c r="I172" s="17" t="str">
        <f ca="1">IFERROR(__xludf.DUMMYFUNCTION("""COMPUTED_VALUE"""),"")</f>
        <v/>
      </c>
      <c r="J172" s="17" t="str">
        <f ca="1">IFERROR(__xludf.DUMMYFUNCTION("""COMPUTED_VALUE"""),"")</f>
        <v/>
      </c>
      <c r="K172" s="18" t="str">
        <f ca="1">IFERROR(__xludf.DUMMYFUNCTION("""COMPUTED_VALUE"""),"")</f>
        <v/>
      </c>
      <c r="L172" s="19"/>
      <c r="M172" s="19"/>
      <c r="N172" s="19"/>
      <c r="O172" s="19"/>
      <c r="P172" s="19"/>
      <c r="Q172" s="19"/>
      <c r="R172" s="19"/>
      <c r="S172" s="19"/>
      <c r="T172" s="19"/>
      <c r="U172" s="19"/>
      <c r="V172" s="20"/>
      <c r="W172" s="20"/>
      <c r="X172" s="20"/>
      <c r="Y172" s="20"/>
      <c r="Z172" s="21"/>
      <c r="AA172" s="22"/>
      <c r="AB172" s="22"/>
    </row>
    <row r="173" spans="1:28" ht="13.5" customHeight="1" x14ac:dyDescent="0.35">
      <c r="A173" s="24" t="str">
        <f ca="1">IFERROR(__xludf.DUMMYFUNCTION("""COMPUTED_VALUE"""),"")</f>
        <v/>
      </c>
      <c r="B173" s="28" t="str">
        <f ca="1">IFERROR(__xludf.DUMMYFUNCTION("""COMPUTED_VALUE"""),"")</f>
        <v/>
      </c>
      <c r="C173" s="27" t="str">
        <f ca="1">IFERROR(__xludf.DUMMYFUNCTION("""COMPUTED_VALUE"""),"")</f>
        <v/>
      </c>
      <c r="D173" s="27" t="str">
        <f ca="1">IFERROR(__xludf.DUMMYFUNCTION("""COMPUTED_VALUE"""),"")</f>
        <v/>
      </c>
      <c r="E173" s="15" t="str">
        <f ca="1">IFERROR(__xludf.DUMMYFUNCTION("""COMPUTED_VALUE"""),"")</f>
        <v/>
      </c>
      <c r="F173" s="51" t="str">
        <f ca="1">IFERROR(__xludf.DUMMYFUNCTION("""COMPUTED_VALUE"""),"")</f>
        <v/>
      </c>
      <c r="G173" s="16" t="str">
        <f ca="1">IFERROR(__xludf.DUMMYFUNCTION("""COMPUTED_VALUE"""),"")</f>
        <v/>
      </c>
      <c r="H173" s="17" t="str">
        <f ca="1">IFERROR(__xludf.DUMMYFUNCTION("""COMPUTED_VALUE"""),"")</f>
        <v/>
      </c>
      <c r="I173" s="17" t="str">
        <f ca="1">IFERROR(__xludf.DUMMYFUNCTION("""COMPUTED_VALUE"""),"")</f>
        <v/>
      </c>
      <c r="J173" s="17" t="str">
        <f ca="1">IFERROR(__xludf.DUMMYFUNCTION("""COMPUTED_VALUE"""),"")</f>
        <v/>
      </c>
      <c r="K173" s="18" t="str">
        <f ca="1">IFERROR(__xludf.DUMMYFUNCTION("""COMPUTED_VALUE"""),"")</f>
        <v/>
      </c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20"/>
      <c r="W173" s="20"/>
      <c r="X173" s="20"/>
      <c r="Y173" s="20"/>
      <c r="Z173" s="21"/>
      <c r="AA173" s="22"/>
      <c r="AB173" s="22"/>
    </row>
    <row r="174" spans="1:28" ht="13.5" customHeight="1" x14ac:dyDescent="0.35">
      <c r="A174" s="24" t="str">
        <f ca="1">IFERROR(__xludf.DUMMYFUNCTION("""COMPUTED_VALUE"""),"")</f>
        <v/>
      </c>
      <c r="B174" s="28" t="str">
        <f ca="1">IFERROR(__xludf.DUMMYFUNCTION("""COMPUTED_VALUE"""),"")</f>
        <v/>
      </c>
      <c r="C174" s="27" t="str">
        <f ca="1">IFERROR(__xludf.DUMMYFUNCTION("""COMPUTED_VALUE"""),"")</f>
        <v/>
      </c>
      <c r="D174" s="27" t="str">
        <f ca="1">IFERROR(__xludf.DUMMYFUNCTION("""COMPUTED_VALUE"""),"")</f>
        <v/>
      </c>
      <c r="E174" s="15" t="str">
        <f ca="1">IFERROR(__xludf.DUMMYFUNCTION("""COMPUTED_VALUE"""),"")</f>
        <v/>
      </c>
      <c r="F174" s="51" t="str">
        <f ca="1">IFERROR(__xludf.DUMMYFUNCTION("""COMPUTED_VALUE"""),"")</f>
        <v/>
      </c>
      <c r="G174" s="16" t="str">
        <f ca="1">IFERROR(__xludf.DUMMYFUNCTION("""COMPUTED_VALUE"""),"")</f>
        <v/>
      </c>
      <c r="H174" s="17" t="str">
        <f ca="1">IFERROR(__xludf.DUMMYFUNCTION("""COMPUTED_VALUE"""),"")</f>
        <v/>
      </c>
      <c r="I174" s="17" t="str">
        <f ca="1">IFERROR(__xludf.DUMMYFUNCTION("""COMPUTED_VALUE"""),"")</f>
        <v/>
      </c>
      <c r="J174" s="17" t="str">
        <f ca="1">IFERROR(__xludf.DUMMYFUNCTION("""COMPUTED_VALUE"""),"")</f>
        <v/>
      </c>
      <c r="K174" s="18" t="str">
        <f ca="1">IFERROR(__xludf.DUMMYFUNCTION("""COMPUTED_VALUE"""),"")</f>
        <v/>
      </c>
      <c r="L174" s="19"/>
      <c r="M174" s="19"/>
      <c r="N174" s="19"/>
      <c r="O174" s="19"/>
      <c r="P174" s="19"/>
      <c r="Q174" s="19"/>
      <c r="R174" s="19"/>
      <c r="S174" s="19"/>
      <c r="T174" s="19"/>
      <c r="U174" s="19"/>
      <c r="V174" s="20"/>
      <c r="W174" s="20"/>
      <c r="X174" s="20"/>
      <c r="Y174" s="20"/>
      <c r="Z174" s="21"/>
      <c r="AA174" s="22"/>
      <c r="AB174" s="22"/>
    </row>
    <row r="175" spans="1:28" ht="13.5" customHeight="1" x14ac:dyDescent="0.35">
      <c r="A175" s="24" t="str">
        <f ca="1">IFERROR(__xludf.DUMMYFUNCTION("""COMPUTED_VALUE"""),"")</f>
        <v/>
      </c>
      <c r="B175" s="28" t="str">
        <f ca="1">IFERROR(__xludf.DUMMYFUNCTION("""COMPUTED_VALUE"""),"")</f>
        <v/>
      </c>
      <c r="C175" s="27" t="str">
        <f ca="1">IFERROR(__xludf.DUMMYFUNCTION("""COMPUTED_VALUE"""),"")</f>
        <v/>
      </c>
      <c r="D175" s="27" t="str">
        <f ca="1">IFERROR(__xludf.DUMMYFUNCTION("""COMPUTED_VALUE"""),"")</f>
        <v/>
      </c>
      <c r="E175" s="15" t="str">
        <f ca="1">IFERROR(__xludf.DUMMYFUNCTION("""COMPUTED_VALUE"""),"")</f>
        <v/>
      </c>
      <c r="F175" s="51" t="str">
        <f ca="1">IFERROR(__xludf.DUMMYFUNCTION("""COMPUTED_VALUE"""),"")</f>
        <v/>
      </c>
      <c r="G175" s="16" t="str">
        <f ca="1">IFERROR(__xludf.DUMMYFUNCTION("""COMPUTED_VALUE"""),"")</f>
        <v/>
      </c>
      <c r="H175" s="17" t="str">
        <f ca="1">IFERROR(__xludf.DUMMYFUNCTION("""COMPUTED_VALUE"""),"")</f>
        <v/>
      </c>
      <c r="I175" s="17" t="str">
        <f ca="1">IFERROR(__xludf.DUMMYFUNCTION("""COMPUTED_VALUE"""),"")</f>
        <v/>
      </c>
      <c r="J175" s="17" t="str">
        <f ca="1">IFERROR(__xludf.DUMMYFUNCTION("""COMPUTED_VALUE"""),"")</f>
        <v/>
      </c>
      <c r="K175" s="18" t="str">
        <f ca="1">IFERROR(__xludf.DUMMYFUNCTION("""COMPUTED_VALUE"""),"")</f>
        <v/>
      </c>
      <c r="L175" s="19"/>
      <c r="M175" s="19"/>
      <c r="N175" s="19"/>
      <c r="O175" s="19"/>
      <c r="P175" s="19"/>
      <c r="Q175" s="19"/>
      <c r="R175" s="19"/>
      <c r="S175" s="19"/>
      <c r="T175" s="19"/>
      <c r="U175" s="19"/>
      <c r="V175" s="20"/>
      <c r="W175" s="20"/>
      <c r="X175" s="20"/>
      <c r="Y175" s="20"/>
      <c r="Z175" s="21"/>
      <c r="AA175" s="22"/>
      <c r="AB175" s="22"/>
    </row>
    <row r="176" spans="1:28" ht="13.5" customHeight="1" x14ac:dyDescent="0.35">
      <c r="A176" s="24" t="str">
        <f ca="1">IFERROR(__xludf.DUMMYFUNCTION("""COMPUTED_VALUE"""),"")</f>
        <v/>
      </c>
      <c r="B176" s="28" t="str">
        <f ca="1">IFERROR(__xludf.DUMMYFUNCTION("""COMPUTED_VALUE"""),"")</f>
        <v/>
      </c>
      <c r="C176" s="27" t="str">
        <f ca="1">IFERROR(__xludf.DUMMYFUNCTION("""COMPUTED_VALUE"""),"")</f>
        <v/>
      </c>
      <c r="D176" s="27" t="str">
        <f ca="1">IFERROR(__xludf.DUMMYFUNCTION("""COMPUTED_VALUE"""),"")</f>
        <v/>
      </c>
      <c r="E176" s="15" t="str">
        <f ca="1">IFERROR(__xludf.DUMMYFUNCTION("""COMPUTED_VALUE"""),"")</f>
        <v/>
      </c>
      <c r="F176" s="51" t="str">
        <f ca="1">IFERROR(__xludf.DUMMYFUNCTION("""COMPUTED_VALUE"""),"")</f>
        <v/>
      </c>
      <c r="G176" s="16" t="str">
        <f ca="1">IFERROR(__xludf.DUMMYFUNCTION("""COMPUTED_VALUE"""),"")</f>
        <v/>
      </c>
      <c r="H176" s="17" t="str">
        <f ca="1">IFERROR(__xludf.DUMMYFUNCTION("""COMPUTED_VALUE"""),"")</f>
        <v/>
      </c>
      <c r="I176" s="17" t="str">
        <f ca="1">IFERROR(__xludf.DUMMYFUNCTION("""COMPUTED_VALUE"""),"")</f>
        <v/>
      </c>
      <c r="J176" s="17" t="str">
        <f ca="1">IFERROR(__xludf.DUMMYFUNCTION("""COMPUTED_VALUE"""),"")</f>
        <v/>
      </c>
      <c r="K176" s="18" t="str">
        <f ca="1">IFERROR(__xludf.DUMMYFUNCTION("""COMPUTED_VALUE"""),"")</f>
        <v/>
      </c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V176" s="20"/>
      <c r="W176" s="20"/>
      <c r="X176" s="20"/>
      <c r="Y176" s="20"/>
      <c r="Z176" s="21"/>
      <c r="AA176" s="22"/>
      <c r="AB176" s="22"/>
    </row>
    <row r="177" spans="1:28" ht="13.5" customHeight="1" x14ac:dyDescent="0.35">
      <c r="A177" s="24" t="str">
        <f ca="1">IFERROR(__xludf.DUMMYFUNCTION("""COMPUTED_VALUE"""),"")</f>
        <v/>
      </c>
      <c r="B177" s="28" t="str">
        <f ca="1">IFERROR(__xludf.DUMMYFUNCTION("""COMPUTED_VALUE"""),"")</f>
        <v/>
      </c>
      <c r="C177" s="27" t="str">
        <f ca="1">IFERROR(__xludf.DUMMYFUNCTION("""COMPUTED_VALUE"""),"")</f>
        <v/>
      </c>
      <c r="D177" s="27" t="str">
        <f ca="1">IFERROR(__xludf.DUMMYFUNCTION("""COMPUTED_VALUE"""),"")</f>
        <v/>
      </c>
      <c r="E177" s="15" t="str">
        <f ca="1">IFERROR(__xludf.DUMMYFUNCTION("""COMPUTED_VALUE"""),"")</f>
        <v/>
      </c>
      <c r="F177" s="51" t="str">
        <f ca="1">IFERROR(__xludf.DUMMYFUNCTION("""COMPUTED_VALUE"""),"")</f>
        <v/>
      </c>
      <c r="G177" s="16" t="str">
        <f ca="1">IFERROR(__xludf.DUMMYFUNCTION("""COMPUTED_VALUE"""),"")</f>
        <v/>
      </c>
      <c r="H177" s="17" t="str">
        <f ca="1">IFERROR(__xludf.DUMMYFUNCTION("""COMPUTED_VALUE"""),"")</f>
        <v/>
      </c>
      <c r="I177" s="17" t="str">
        <f ca="1">IFERROR(__xludf.DUMMYFUNCTION("""COMPUTED_VALUE"""),"")</f>
        <v/>
      </c>
      <c r="J177" s="17" t="str">
        <f ca="1">IFERROR(__xludf.DUMMYFUNCTION("""COMPUTED_VALUE"""),"")</f>
        <v/>
      </c>
      <c r="K177" s="18" t="str">
        <f ca="1">IFERROR(__xludf.DUMMYFUNCTION("""COMPUTED_VALUE"""),"")</f>
        <v/>
      </c>
      <c r="L177" s="19"/>
      <c r="M177" s="19"/>
      <c r="N177" s="19"/>
      <c r="O177" s="19"/>
      <c r="P177" s="19"/>
      <c r="Q177" s="19"/>
      <c r="R177" s="19"/>
      <c r="S177" s="19"/>
      <c r="T177" s="19"/>
      <c r="U177" s="19"/>
      <c r="V177" s="20"/>
      <c r="W177" s="20"/>
      <c r="X177" s="20"/>
      <c r="Y177" s="20"/>
      <c r="Z177" s="21"/>
      <c r="AA177" s="22"/>
      <c r="AB177" s="22"/>
    </row>
    <row r="178" spans="1:28" ht="13.5" customHeight="1" x14ac:dyDescent="0.35">
      <c r="A178" s="24" t="str">
        <f ca="1">IFERROR(__xludf.DUMMYFUNCTION("""COMPUTED_VALUE"""),"")</f>
        <v/>
      </c>
      <c r="B178" s="28" t="str">
        <f ca="1">IFERROR(__xludf.DUMMYFUNCTION("""COMPUTED_VALUE"""),"")</f>
        <v/>
      </c>
      <c r="C178" s="27" t="str">
        <f ca="1">IFERROR(__xludf.DUMMYFUNCTION("""COMPUTED_VALUE"""),"")</f>
        <v/>
      </c>
      <c r="D178" s="27" t="str">
        <f ca="1">IFERROR(__xludf.DUMMYFUNCTION("""COMPUTED_VALUE"""),"")</f>
        <v/>
      </c>
      <c r="E178" s="15" t="str">
        <f ca="1">IFERROR(__xludf.DUMMYFUNCTION("""COMPUTED_VALUE"""),"")</f>
        <v/>
      </c>
      <c r="F178" s="51" t="str">
        <f ca="1">IFERROR(__xludf.DUMMYFUNCTION("""COMPUTED_VALUE"""),"")</f>
        <v/>
      </c>
      <c r="G178" s="16" t="str">
        <f ca="1">IFERROR(__xludf.DUMMYFUNCTION("""COMPUTED_VALUE"""),"")</f>
        <v/>
      </c>
      <c r="H178" s="17" t="str">
        <f ca="1">IFERROR(__xludf.DUMMYFUNCTION("""COMPUTED_VALUE"""),"")</f>
        <v/>
      </c>
      <c r="I178" s="17" t="str">
        <f ca="1">IFERROR(__xludf.DUMMYFUNCTION("""COMPUTED_VALUE"""),"")</f>
        <v/>
      </c>
      <c r="J178" s="17" t="str">
        <f ca="1">IFERROR(__xludf.DUMMYFUNCTION("""COMPUTED_VALUE"""),"")</f>
        <v/>
      </c>
      <c r="K178" s="18" t="str">
        <f ca="1">IFERROR(__xludf.DUMMYFUNCTION("""COMPUTED_VALUE"""),"")</f>
        <v/>
      </c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V178" s="20"/>
      <c r="W178" s="20"/>
      <c r="X178" s="20"/>
      <c r="Y178" s="20"/>
      <c r="Z178" s="21"/>
      <c r="AA178" s="22"/>
      <c r="AB178" s="22"/>
    </row>
    <row r="179" spans="1:28" ht="13.5" customHeight="1" x14ac:dyDescent="0.35">
      <c r="A179" s="24" t="str">
        <f ca="1">IFERROR(__xludf.DUMMYFUNCTION("""COMPUTED_VALUE"""),"")</f>
        <v/>
      </c>
      <c r="B179" s="28" t="str">
        <f ca="1">IFERROR(__xludf.DUMMYFUNCTION("""COMPUTED_VALUE"""),"")</f>
        <v/>
      </c>
      <c r="C179" s="27" t="str">
        <f ca="1">IFERROR(__xludf.DUMMYFUNCTION("""COMPUTED_VALUE"""),"")</f>
        <v/>
      </c>
      <c r="D179" s="27" t="str">
        <f ca="1">IFERROR(__xludf.DUMMYFUNCTION("""COMPUTED_VALUE"""),"")</f>
        <v/>
      </c>
      <c r="E179" s="15" t="str">
        <f ca="1">IFERROR(__xludf.DUMMYFUNCTION("""COMPUTED_VALUE"""),"")</f>
        <v/>
      </c>
      <c r="F179" s="51" t="str">
        <f ca="1">IFERROR(__xludf.DUMMYFUNCTION("""COMPUTED_VALUE"""),"")</f>
        <v/>
      </c>
      <c r="G179" s="16" t="str">
        <f ca="1">IFERROR(__xludf.DUMMYFUNCTION("""COMPUTED_VALUE"""),"")</f>
        <v/>
      </c>
      <c r="H179" s="17" t="str">
        <f ca="1">IFERROR(__xludf.DUMMYFUNCTION("""COMPUTED_VALUE"""),"")</f>
        <v/>
      </c>
      <c r="I179" s="17" t="str">
        <f ca="1">IFERROR(__xludf.DUMMYFUNCTION("""COMPUTED_VALUE"""),"")</f>
        <v/>
      </c>
      <c r="J179" s="17" t="str">
        <f ca="1">IFERROR(__xludf.DUMMYFUNCTION("""COMPUTED_VALUE"""),"")</f>
        <v/>
      </c>
      <c r="K179" s="18" t="str">
        <f ca="1">IFERROR(__xludf.DUMMYFUNCTION("""COMPUTED_VALUE"""),"")</f>
        <v/>
      </c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20"/>
      <c r="W179" s="20"/>
      <c r="X179" s="20"/>
      <c r="Y179" s="20"/>
      <c r="Z179" s="21"/>
      <c r="AA179" s="22"/>
      <c r="AB179" s="22"/>
    </row>
    <row r="180" spans="1:28" ht="13.5" customHeight="1" x14ac:dyDescent="0.35">
      <c r="A180" s="24" t="str">
        <f ca="1">IFERROR(__xludf.DUMMYFUNCTION("""COMPUTED_VALUE"""),"")</f>
        <v/>
      </c>
      <c r="B180" s="28" t="str">
        <f ca="1">IFERROR(__xludf.DUMMYFUNCTION("""COMPUTED_VALUE"""),"")</f>
        <v/>
      </c>
      <c r="C180" s="27" t="str">
        <f ca="1">IFERROR(__xludf.DUMMYFUNCTION("""COMPUTED_VALUE"""),"")</f>
        <v/>
      </c>
      <c r="D180" s="27" t="str">
        <f ca="1">IFERROR(__xludf.DUMMYFUNCTION("""COMPUTED_VALUE"""),"")</f>
        <v/>
      </c>
      <c r="E180" s="15" t="str">
        <f ca="1">IFERROR(__xludf.DUMMYFUNCTION("""COMPUTED_VALUE"""),"")</f>
        <v/>
      </c>
      <c r="F180" s="51" t="str">
        <f ca="1">IFERROR(__xludf.DUMMYFUNCTION("""COMPUTED_VALUE"""),"")</f>
        <v/>
      </c>
      <c r="G180" s="16" t="str">
        <f ca="1">IFERROR(__xludf.DUMMYFUNCTION("""COMPUTED_VALUE"""),"")</f>
        <v/>
      </c>
      <c r="H180" s="17" t="str">
        <f ca="1">IFERROR(__xludf.DUMMYFUNCTION("""COMPUTED_VALUE"""),"")</f>
        <v/>
      </c>
      <c r="I180" s="17" t="str">
        <f ca="1">IFERROR(__xludf.DUMMYFUNCTION("""COMPUTED_VALUE"""),"")</f>
        <v/>
      </c>
      <c r="J180" s="17" t="str">
        <f ca="1">IFERROR(__xludf.DUMMYFUNCTION("""COMPUTED_VALUE"""),"")</f>
        <v/>
      </c>
      <c r="K180" s="18" t="str">
        <f ca="1">IFERROR(__xludf.DUMMYFUNCTION("""COMPUTED_VALUE"""),"")</f>
        <v/>
      </c>
      <c r="L180" s="19"/>
      <c r="M180" s="19"/>
      <c r="N180" s="19"/>
      <c r="O180" s="19"/>
      <c r="P180" s="19"/>
      <c r="Q180" s="19"/>
      <c r="R180" s="19"/>
      <c r="S180" s="19"/>
      <c r="T180" s="19"/>
      <c r="U180" s="19"/>
      <c r="V180" s="20"/>
      <c r="W180" s="20"/>
      <c r="X180" s="20"/>
      <c r="Y180" s="20"/>
      <c r="Z180" s="21"/>
      <c r="AA180" s="22"/>
      <c r="AB180" s="22"/>
    </row>
    <row r="181" spans="1:28" ht="13.5" customHeight="1" x14ac:dyDescent="0.35">
      <c r="A181" s="29"/>
      <c r="B181" s="30"/>
      <c r="C181" s="31"/>
      <c r="D181" s="31"/>
      <c r="E181" s="30"/>
      <c r="F181" s="30"/>
      <c r="G181" s="33"/>
      <c r="H181" s="30"/>
      <c r="I181" s="30"/>
      <c r="J181" s="30"/>
      <c r="K181" s="34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20"/>
      <c r="W181" s="20"/>
      <c r="X181" s="20"/>
      <c r="Y181" s="20"/>
      <c r="Z181" s="21"/>
      <c r="AA181" s="22"/>
      <c r="AB181" s="22"/>
    </row>
    <row r="182" spans="1:28" ht="13.5" customHeight="1" x14ac:dyDescent="0.35">
      <c r="A182" s="29"/>
      <c r="B182" s="30"/>
      <c r="C182" s="31"/>
      <c r="D182" s="31"/>
      <c r="E182" s="30"/>
      <c r="F182" s="30"/>
      <c r="G182" s="33"/>
      <c r="H182" s="30"/>
      <c r="I182" s="30"/>
      <c r="J182" s="30"/>
      <c r="K182" s="34"/>
      <c r="L182" s="19"/>
      <c r="M182" s="19"/>
      <c r="N182" s="19"/>
      <c r="O182" s="19"/>
      <c r="P182" s="19"/>
      <c r="Q182" s="19"/>
      <c r="R182" s="19"/>
      <c r="S182" s="19"/>
      <c r="T182" s="19"/>
      <c r="U182" s="19"/>
      <c r="V182" s="20"/>
      <c r="W182" s="20"/>
      <c r="X182" s="20"/>
      <c r="Y182" s="20"/>
      <c r="Z182" s="21"/>
      <c r="AA182" s="22"/>
      <c r="AB182" s="22"/>
    </row>
    <row r="183" spans="1:28" ht="15.75" customHeight="1" x14ac:dyDescent="0.25">
      <c r="A183" s="29"/>
      <c r="B183" s="30"/>
      <c r="C183" s="31"/>
      <c r="D183" s="31"/>
      <c r="E183" s="30"/>
      <c r="F183" s="30"/>
      <c r="G183" s="33"/>
      <c r="H183" s="30"/>
      <c r="I183" s="30"/>
      <c r="J183" s="30"/>
      <c r="K183" s="34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1"/>
      <c r="AA183" s="22"/>
      <c r="AB183" s="22"/>
    </row>
    <row r="184" spans="1:28" ht="15.75" customHeight="1" x14ac:dyDescent="0.25">
      <c r="A184" s="29"/>
      <c r="B184" s="30"/>
      <c r="C184" s="31"/>
      <c r="D184" s="31"/>
      <c r="E184" s="30"/>
      <c r="F184" s="30"/>
      <c r="G184" s="33"/>
      <c r="H184" s="30"/>
      <c r="I184" s="30"/>
      <c r="J184" s="30"/>
      <c r="K184" s="34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1"/>
      <c r="AA184" s="22"/>
      <c r="AB184" s="22"/>
    </row>
    <row r="185" spans="1:28" ht="15.75" customHeight="1" x14ac:dyDescent="0.25">
      <c r="A185" s="29"/>
      <c r="B185" s="30"/>
      <c r="C185" s="31"/>
      <c r="D185" s="31"/>
      <c r="E185" s="30"/>
      <c r="F185" s="30"/>
      <c r="G185" s="33"/>
      <c r="H185" s="30"/>
      <c r="I185" s="30"/>
      <c r="J185" s="30"/>
      <c r="K185" s="34"/>
      <c r="L185" s="20"/>
      <c r="M185" s="20"/>
      <c r="N185" s="20"/>
      <c r="O185" s="20"/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1"/>
      <c r="AA185" s="22"/>
      <c r="AB185" s="22"/>
    </row>
    <row r="186" spans="1:28" ht="15.75" customHeight="1" x14ac:dyDescent="0.25">
      <c r="A186" s="29"/>
      <c r="B186" s="30"/>
      <c r="C186" s="31"/>
      <c r="D186" s="31"/>
      <c r="E186" s="30"/>
      <c r="F186" s="30"/>
      <c r="G186" s="33"/>
      <c r="H186" s="30"/>
      <c r="I186" s="30"/>
      <c r="J186" s="30"/>
      <c r="K186" s="34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1"/>
      <c r="AA186" s="22"/>
      <c r="AB186" s="22"/>
    </row>
    <row r="187" spans="1:28" ht="15.75" customHeight="1" x14ac:dyDescent="0.25">
      <c r="A187" s="29"/>
      <c r="B187" s="30"/>
      <c r="C187" s="31"/>
      <c r="D187" s="31"/>
      <c r="E187" s="30"/>
      <c r="F187" s="30"/>
      <c r="G187" s="33"/>
      <c r="H187" s="30"/>
      <c r="I187" s="30"/>
      <c r="J187" s="30"/>
      <c r="K187" s="34"/>
      <c r="L187" s="20"/>
      <c r="M187" s="20"/>
      <c r="N187" s="20"/>
      <c r="O187" s="20"/>
      <c r="P187" s="20"/>
      <c r="Q187" s="20"/>
      <c r="R187" s="20"/>
      <c r="S187" s="20"/>
      <c r="T187" s="20"/>
      <c r="U187" s="20"/>
      <c r="V187" s="20"/>
      <c r="W187" s="20"/>
      <c r="X187" s="20"/>
      <c r="Y187" s="20"/>
      <c r="Z187" s="21"/>
      <c r="AA187" s="22"/>
      <c r="AB187" s="22"/>
    </row>
    <row r="188" spans="1:28" ht="15.75" customHeight="1" x14ac:dyDescent="0.25">
      <c r="A188" s="29"/>
      <c r="B188" s="30"/>
      <c r="C188" s="31"/>
      <c r="D188" s="31"/>
      <c r="E188" s="30"/>
      <c r="F188" s="30"/>
      <c r="G188" s="33"/>
      <c r="H188" s="30"/>
      <c r="I188" s="30"/>
      <c r="J188" s="30"/>
      <c r="K188" s="34"/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1"/>
      <c r="AA188" s="22"/>
      <c r="AB188" s="22"/>
    </row>
    <row r="189" spans="1:28" ht="15.75" customHeight="1" x14ac:dyDescent="0.25">
      <c r="A189" s="29"/>
      <c r="B189" s="30"/>
      <c r="C189" s="31"/>
      <c r="D189" s="31"/>
      <c r="E189" s="30"/>
      <c r="F189" s="30"/>
      <c r="G189" s="33"/>
      <c r="H189" s="30"/>
      <c r="I189" s="30"/>
      <c r="J189" s="30"/>
      <c r="K189" s="34"/>
      <c r="L189" s="20"/>
      <c r="M189" s="20"/>
      <c r="N189" s="20"/>
      <c r="O189" s="20"/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1"/>
      <c r="AA189" s="22"/>
      <c r="AB189" s="22"/>
    </row>
    <row r="190" spans="1:28" ht="15.75" customHeight="1" x14ac:dyDescent="0.25">
      <c r="A190" s="29"/>
      <c r="B190" s="30"/>
      <c r="C190" s="31"/>
      <c r="D190" s="31"/>
      <c r="E190" s="30"/>
      <c r="F190" s="30"/>
      <c r="G190" s="33"/>
      <c r="H190" s="30"/>
      <c r="I190" s="30"/>
      <c r="J190" s="30"/>
      <c r="K190" s="34"/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1"/>
      <c r="AA190" s="22"/>
      <c r="AB190" s="22"/>
    </row>
    <row r="191" spans="1:28" ht="15.75" customHeight="1" x14ac:dyDescent="0.25">
      <c r="A191" s="29"/>
      <c r="B191" s="30"/>
      <c r="C191" s="31"/>
      <c r="D191" s="31"/>
      <c r="E191" s="30"/>
      <c r="F191" s="30"/>
      <c r="G191" s="33"/>
      <c r="H191" s="30"/>
      <c r="I191" s="30"/>
      <c r="J191" s="30"/>
      <c r="K191" s="34"/>
      <c r="L191" s="20"/>
      <c r="M191" s="20"/>
      <c r="N191" s="20"/>
      <c r="O191" s="20"/>
      <c r="P191" s="20"/>
      <c r="Q191" s="20"/>
      <c r="R191" s="20"/>
      <c r="S191" s="20"/>
      <c r="T191" s="20"/>
      <c r="U191" s="20"/>
      <c r="V191" s="20"/>
      <c r="W191" s="20"/>
      <c r="X191" s="20"/>
      <c r="Y191" s="20"/>
      <c r="Z191" s="21"/>
      <c r="AA191" s="22"/>
      <c r="AB191" s="22"/>
    </row>
    <row r="192" spans="1:28" ht="15.75" customHeight="1" x14ac:dyDescent="0.25">
      <c r="A192" s="29"/>
      <c r="B192" s="30"/>
      <c r="C192" s="31"/>
      <c r="D192" s="31"/>
      <c r="E192" s="30"/>
      <c r="F192" s="30"/>
      <c r="G192" s="33"/>
      <c r="H192" s="30"/>
      <c r="I192" s="30"/>
      <c r="J192" s="30"/>
      <c r="K192" s="34"/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1"/>
      <c r="AA192" s="22"/>
      <c r="AB192" s="22"/>
    </row>
    <row r="193" spans="1:28" ht="15.75" customHeight="1" x14ac:dyDescent="0.25">
      <c r="A193" s="29"/>
      <c r="B193" s="30"/>
      <c r="C193" s="31"/>
      <c r="D193" s="31"/>
      <c r="E193" s="30"/>
      <c r="F193" s="30"/>
      <c r="G193" s="33"/>
      <c r="H193" s="30"/>
      <c r="I193" s="30"/>
      <c r="J193" s="30"/>
      <c r="K193" s="34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1"/>
      <c r="AA193" s="22"/>
      <c r="AB193" s="22"/>
    </row>
    <row r="194" spans="1:28" ht="15.75" customHeight="1" x14ac:dyDescent="0.25">
      <c r="A194" s="29"/>
      <c r="B194" s="30"/>
      <c r="C194" s="31"/>
      <c r="D194" s="31"/>
      <c r="E194" s="30"/>
      <c r="F194" s="30"/>
      <c r="G194" s="33"/>
      <c r="H194" s="30"/>
      <c r="I194" s="30"/>
      <c r="J194" s="30"/>
      <c r="K194" s="34"/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1"/>
      <c r="AA194" s="22"/>
      <c r="AB194" s="22"/>
    </row>
    <row r="195" spans="1:28" ht="15.75" customHeight="1" x14ac:dyDescent="0.25">
      <c r="A195" s="29"/>
      <c r="B195" s="30"/>
      <c r="C195" s="31"/>
      <c r="D195" s="31"/>
      <c r="E195" s="30"/>
      <c r="F195" s="30"/>
      <c r="G195" s="33"/>
      <c r="H195" s="30"/>
      <c r="I195" s="30"/>
      <c r="J195" s="30"/>
      <c r="K195" s="34"/>
      <c r="L195" s="20"/>
      <c r="M195" s="20"/>
      <c r="N195" s="20"/>
      <c r="O195" s="20"/>
      <c r="P195" s="20"/>
      <c r="Q195" s="20"/>
      <c r="R195" s="20"/>
      <c r="S195" s="20"/>
      <c r="T195" s="20"/>
      <c r="U195" s="20"/>
      <c r="V195" s="20"/>
      <c r="W195" s="20"/>
      <c r="X195" s="20"/>
      <c r="Y195" s="20"/>
      <c r="Z195" s="21"/>
      <c r="AA195" s="22"/>
      <c r="AB195" s="22"/>
    </row>
    <row r="196" spans="1:28" ht="15.75" customHeight="1" x14ac:dyDescent="0.25">
      <c r="A196" s="29"/>
      <c r="B196" s="30"/>
      <c r="C196" s="31"/>
      <c r="D196" s="31"/>
      <c r="E196" s="30"/>
      <c r="F196" s="30"/>
      <c r="G196" s="33"/>
      <c r="H196" s="30"/>
      <c r="I196" s="30"/>
      <c r="J196" s="30"/>
      <c r="K196" s="34"/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1"/>
      <c r="AA196" s="22"/>
      <c r="AB196" s="22"/>
    </row>
    <row r="197" spans="1:28" ht="15.75" customHeight="1" x14ac:dyDescent="0.25">
      <c r="A197" s="29"/>
      <c r="B197" s="30"/>
      <c r="C197" s="31"/>
      <c r="D197" s="31"/>
      <c r="E197" s="30"/>
      <c r="F197" s="30"/>
      <c r="G197" s="33"/>
      <c r="H197" s="30"/>
      <c r="I197" s="30"/>
      <c r="J197" s="30"/>
      <c r="K197" s="34"/>
      <c r="L197" s="20"/>
      <c r="M197" s="20"/>
      <c r="N197" s="20"/>
      <c r="O197" s="20"/>
      <c r="P197" s="20"/>
      <c r="Q197" s="20"/>
      <c r="R197" s="20"/>
      <c r="S197" s="20"/>
      <c r="T197" s="20"/>
      <c r="U197" s="20"/>
      <c r="V197" s="20"/>
      <c r="W197" s="20"/>
      <c r="X197" s="20"/>
      <c r="Y197" s="20"/>
      <c r="Z197" s="21"/>
      <c r="AA197" s="22"/>
      <c r="AB197" s="22"/>
    </row>
    <row r="198" spans="1:28" ht="15.75" customHeight="1" x14ac:dyDescent="0.25">
      <c r="A198" s="29"/>
      <c r="B198" s="30"/>
      <c r="C198" s="31"/>
      <c r="D198" s="31"/>
      <c r="E198" s="30"/>
      <c r="F198" s="30"/>
      <c r="G198" s="33"/>
      <c r="H198" s="30"/>
      <c r="I198" s="30"/>
      <c r="J198" s="30"/>
      <c r="K198" s="34"/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1"/>
      <c r="AA198" s="22"/>
      <c r="AB198" s="22"/>
    </row>
    <row r="199" spans="1:28" ht="15.75" customHeight="1" x14ac:dyDescent="0.25">
      <c r="A199" s="29"/>
      <c r="B199" s="30"/>
      <c r="C199" s="31"/>
      <c r="D199" s="31"/>
      <c r="E199" s="30"/>
      <c r="F199" s="30"/>
      <c r="G199" s="33"/>
      <c r="H199" s="30"/>
      <c r="I199" s="30"/>
      <c r="J199" s="30"/>
      <c r="K199" s="34"/>
      <c r="L199" s="20"/>
      <c r="M199" s="20"/>
      <c r="N199" s="20"/>
      <c r="O199" s="20"/>
      <c r="P199" s="20"/>
      <c r="Q199" s="20"/>
      <c r="R199" s="20"/>
      <c r="S199" s="20"/>
      <c r="T199" s="20"/>
      <c r="U199" s="20"/>
      <c r="V199" s="20"/>
      <c r="W199" s="20"/>
      <c r="X199" s="20"/>
      <c r="Y199" s="20"/>
      <c r="Z199" s="21"/>
      <c r="AA199" s="22"/>
      <c r="AB199" s="22"/>
    </row>
    <row r="200" spans="1:28" ht="15.75" customHeight="1" x14ac:dyDescent="0.25">
      <c r="A200" s="29"/>
      <c r="B200" s="30"/>
      <c r="C200" s="31"/>
      <c r="D200" s="31"/>
      <c r="E200" s="30"/>
      <c r="F200" s="30"/>
      <c r="G200" s="33"/>
      <c r="H200" s="30"/>
      <c r="I200" s="30"/>
      <c r="J200" s="30"/>
      <c r="K200" s="34"/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1"/>
      <c r="AA200" s="22"/>
      <c r="AB200" s="22"/>
    </row>
    <row r="201" spans="1:28" ht="15.75" customHeight="1" x14ac:dyDescent="0.25">
      <c r="A201" s="29"/>
      <c r="B201" s="30"/>
      <c r="C201" s="31"/>
      <c r="D201" s="31"/>
      <c r="E201" s="30"/>
      <c r="F201" s="30"/>
      <c r="G201" s="33"/>
      <c r="H201" s="30"/>
      <c r="I201" s="30"/>
      <c r="J201" s="30"/>
      <c r="K201" s="34"/>
      <c r="L201" s="20"/>
      <c r="M201" s="20"/>
      <c r="N201" s="20"/>
      <c r="O201" s="20"/>
      <c r="P201" s="20"/>
      <c r="Q201" s="20"/>
      <c r="R201" s="20"/>
      <c r="S201" s="20"/>
      <c r="T201" s="20"/>
      <c r="U201" s="20"/>
      <c r="V201" s="20"/>
      <c r="W201" s="20"/>
      <c r="X201" s="20"/>
      <c r="Y201" s="20"/>
      <c r="Z201" s="21"/>
      <c r="AA201" s="22"/>
      <c r="AB201" s="22"/>
    </row>
    <row r="202" spans="1:28" ht="15.75" customHeight="1" x14ac:dyDescent="0.25">
      <c r="A202" s="29"/>
      <c r="B202" s="30"/>
      <c r="C202" s="31"/>
      <c r="D202" s="31"/>
      <c r="E202" s="30"/>
      <c r="F202" s="30"/>
      <c r="G202" s="33"/>
      <c r="H202" s="30"/>
      <c r="I202" s="30"/>
      <c r="J202" s="30"/>
      <c r="K202" s="34"/>
      <c r="L202" s="20"/>
      <c r="M202" s="20"/>
      <c r="N202" s="20"/>
      <c r="O202" s="20"/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1"/>
      <c r="AA202" s="22"/>
      <c r="AB202" s="22"/>
    </row>
    <row r="203" spans="1:28" ht="15.75" customHeight="1" x14ac:dyDescent="0.25">
      <c r="A203" s="29"/>
      <c r="B203" s="30"/>
      <c r="C203" s="31"/>
      <c r="D203" s="31"/>
      <c r="E203" s="30"/>
      <c r="F203" s="30"/>
      <c r="G203" s="33"/>
      <c r="H203" s="30"/>
      <c r="I203" s="30"/>
      <c r="J203" s="30"/>
      <c r="K203" s="34"/>
      <c r="L203" s="20"/>
      <c r="M203" s="20"/>
      <c r="N203" s="20"/>
      <c r="O203" s="20"/>
      <c r="P203" s="20"/>
      <c r="Q203" s="20"/>
      <c r="R203" s="20"/>
      <c r="S203" s="20"/>
      <c r="T203" s="20"/>
      <c r="U203" s="20"/>
      <c r="V203" s="20"/>
      <c r="W203" s="20"/>
      <c r="X203" s="20"/>
      <c r="Y203" s="20"/>
      <c r="Z203" s="21"/>
      <c r="AA203" s="22"/>
      <c r="AB203" s="22"/>
    </row>
    <row r="204" spans="1:28" ht="15.75" customHeight="1" x14ac:dyDescent="0.25">
      <c r="A204" s="29"/>
      <c r="B204" s="30"/>
      <c r="C204" s="31"/>
      <c r="D204" s="31"/>
      <c r="E204" s="30"/>
      <c r="F204" s="30"/>
      <c r="G204" s="33"/>
      <c r="H204" s="30"/>
      <c r="I204" s="30"/>
      <c r="J204" s="30"/>
      <c r="K204" s="34"/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1"/>
      <c r="AA204" s="22"/>
      <c r="AB204" s="22"/>
    </row>
    <row r="205" spans="1:28" ht="15.75" customHeight="1" x14ac:dyDescent="0.25">
      <c r="A205" s="29"/>
      <c r="B205" s="30"/>
      <c r="C205" s="31"/>
      <c r="D205" s="31"/>
      <c r="E205" s="30"/>
      <c r="F205" s="30"/>
      <c r="G205" s="33"/>
      <c r="H205" s="30"/>
      <c r="I205" s="30"/>
      <c r="J205" s="30"/>
      <c r="K205" s="34"/>
      <c r="L205" s="20"/>
      <c r="M205" s="20"/>
      <c r="N205" s="20"/>
      <c r="O205" s="20"/>
      <c r="P205" s="20"/>
      <c r="Q205" s="20"/>
      <c r="R205" s="20"/>
      <c r="S205" s="20"/>
      <c r="T205" s="20"/>
      <c r="U205" s="20"/>
      <c r="V205" s="20"/>
      <c r="W205" s="20"/>
      <c r="X205" s="20"/>
      <c r="Y205" s="20"/>
      <c r="Z205" s="21"/>
      <c r="AA205" s="22"/>
      <c r="AB205" s="22"/>
    </row>
    <row r="206" spans="1:28" ht="15.75" customHeight="1" x14ac:dyDescent="0.25">
      <c r="A206" s="29"/>
      <c r="B206" s="30"/>
      <c r="C206" s="31"/>
      <c r="D206" s="31"/>
      <c r="E206" s="30"/>
      <c r="F206" s="30"/>
      <c r="G206" s="33"/>
      <c r="H206" s="30"/>
      <c r="I206" s="30"/>
      <c r="J206" s="30"/>
      <c r="K206" s="34"/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1"/>
      <c r="AA206" s="22"/>
      <c r="AB206" s="22"/>
    </row>
    <row r="207" spans="1:28" ht="15.75" customHeight="1" x14ac:dyDescent="0.25">
      <c r="A207" s="29"/>
      <c r="B207" s="30"/>
      <c r="C207" s="31"/>
      <c r="D207" s="31"/>
      <c r="E207" s="30"/>
      <c r="F207" s="30"/>
      <c r="G207" s="33"/>
      <c r="H207" s="30"/>
      <c r="I207" s="30"/>
      <c r="J207" s="30"/>
      <c r="K207" s="34"/>
      <c r="L207" s="20"/>
      <c r="M207" s="20"/>
      <c r="N207" s="20"/>
      <c r="O207" s="20"/>
      <c r="P207" s="20"/>
      <c r="Q207" s="20"/>
      <c r="R207" s="20"/>
      <c r="S207" s="20"/>
      <c r="T207" s="20"/>
      <c r="U207" s="20"/>
      <c r="V207" s="20"/>
      <c r="W207" s="20"/>
      <c r="X207" s="20"/>
      <c r="Y207" s="20"/>
      <c r="Z207" s="21"/>
      <c r="AA207" s="22"/>
      <c r="AB207" s="22"/>
    </row>
    <row r="208" spans="1:28" ht="15.75" customHeight="1" x14ac:dyDescent="0.25">
      <c r="A208" s="29"/>
      <c r="B208" s="30"/>
      <c r="C208" s="31"/>
      <c r="D208" s="31"/>
      <c r="E208" s="30"/>
      <c r="F208" s="30"/>
      <c r="G208" s="33"/>
      <c r="H208" s="30"/>
      <c r="I208" s="30"/>
      <c r="J208" s="30"/>
      <c r="K208" s="34"/>
      <c r="L208" s="20"/>
      <c r="M208" s="20"/>
      <c r="N208" s="20"/>
      <c r="O208" s="20"/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1"/>
      <c r="AA208" s="22"/>
      <c r="AB208" s="22"/>
    </row>
    <row r="209" spans="1:28" ht="15.75" customHeight="1" x14ac:dyDescent="0.25">
      <c r="A209" s="29"/>
      <c r="B209" s="30"/>
      <c r="C209" s="31"/>
      <c r="D209" s="31"/>
      <c r="E209" s="30"/>
      <c r="F209" s="30"/>
      <c r="G209" s="33"/>
      <c r="H209" s="30"/>
      <c r="I209" s="30"/>
      <c r="J209" s="30"/>
      <c r="K209" s="34"/>
      <c r="L209" s="20"/>
      <c r="M209" s="20"/>
      <c r="N209" s="20"/>
      <c r="O209" s="20"/>
      <c r="P209" s="20"/>
      <c r="Q209" s="20"/>
      <c r="R209" s="20"/>
      <c r="S209" s="20"/>
      <c r="T209" s="20"/>
      <c r="U209" s="20"/>
      <c r="V209" s="20"/>
      <c r="W209" s="20"/>
      <c r="X209" s="20"/>
      <c r="Y209" s="20"/>
      <c r="Z209" s="21"/>
      <c r="AA209" s="22"/>
      <c r="AB209" s="22"/>
    </row>
    <row r="210" spans="1:28" ht="15.75" customHeight="1" x14ac:dyDescent="0.25">
      <c r="A210" s="29"/>
      <c r="B210" s="30"/>
      <c r="C210" s="31"/>
      <c r="D210" s="31"/>
      <c r="E210" s="30"/>
      <c r="F210" s="30"/>
      <c r="G210" s="33"/>
      <c r="H210" s="30"/>
      <c r="I210" s="30"/>
      <c r="J210" s="30"/>
      <c r="K210" s="34"/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1"/>
      <c r="AA210" s="22"/>
      <c r="AB210" s="22"/>
    </row>
    <row r="211" spans="1:28" ht="15.75" customHeight="1" x14ac:dyDescent="0.25">
      <c r="A211" s="29"/>
      <c r="B211" s="30"/>
      <c r="C211" s="31"/>
      <c r="D211" s="31"/>
      <c r="E211" s="30"/>
      <c r="F211" s="30"/>
      <c r="G211" s="33"/>
      <c r="H211" s="30"/>
      <c r="I211" s="30"/>
      <c r="J211" s="30"/>
      <c r="K211" s="34"/>
      <c r="L211" s="20"/>
      <c r="M211" s="20"/>
      <c r="N211" s="20"/>
      <c r="O211" s="20"/>
      <c r="P211" s="20"/>
      <c r="Q211" s="20"/>
      <c r="R211" s="20"/>
      <c r="S211" s="20"/>
      <c r="T211" s="20"/>
      <c r="U211" s="20"/>
      <c r="V211" s="20"/>
      <c r="W211" s="20"/>
      <c r="X211" s="20"/>
      <c r="Y211" s="20"/>
      <c r="Z211" s="21"/>
      <c r="AA211" s="22"/>
      <c r="AB211" s="22"/>
    </row>
    <row r="212" spans="1:28" ht="15.75" customHeight="1" x14ac:dyDescent="0.25">
      <c r="A212" s="29"/>
      <c r="B212" s="30"/>
      <c r="C212" s="31"/>
      <c r="D212" s="31"/>
      <c r="E212" s="30"/>
      <c r="F212" s="30"/>
      <c r="G212" s="33"/>
      <c r="H212" s="30"/>
      <c r="I212" s="30"/>
      <c r="J212" s="30"/>
      <c r="K212" s="34"/>
      <c r="L212" s="20"/>
      <c r="M212" s="20"/>
      <c r="N212" s="20"/>
      <c r="O212" s="20"/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1"/>
      <c r="AA212" s="22"/>
      <c r="AB212" s="22"/>
    </row>
    <row r="213" spans="1:28" ht="15.75" customHeight="1" x14ac:dyDescent="0.25">
      <c r="A213" s="29"/>
      <c r="B213" s="30"/>
      <c r="C213" s="31"/>
      <c r="D213" s="31"/>
      <c r="E213" s="30"/>
      <c r="F213" s="30"/>
      <c r="G213" s="33"/>
      <c r="H213" s="30"/>
      <c r="I213" s="30"/>
      <c r="J213" s="30"/>
      <c r="K213" s="34"/>
      <c r="L213" s="20"/>
      <c r="M213" s="20"/>
      <c r="N213" s="20"/>
      <c r="O213" s="20"/>
      <c r="P213" s="20"/>
      <c r="Q213" s="20"/>
      <c r="R213" s="20"/>
      <c r="S213" s="20"/>
      <c r="T213" s="20"/>
      <c r="U213" s="20"/>
      <c r="V213" s="20"/>
      <c r="W213" s="20"/>
      <c r="X213" s="20"/>
      <c r="Y213" s="20"/>
      <c r="Z213" s="21"/>
      <c r="AA213" s="22"/>
      <c r="AB213" s="22"/>
    </row>
    <row r="214" spans="1:28" ht="15.75" customHeight="1" x14ac:dyDescent="0.25">
      <c r="A214" s="29"/>
      <c r="B214" s="30"/>
      <c r="C214" s="31"/>
      <c r="D214" s="31"/>
      <c r="E214" s="30"/>
      <c r="F214" s="30"/>
      <c r="G214" s="33"/>
      <c r="H214" s="30"/>
      <c r="I214" s="30"/>
      <c r="J214" s="30"/>
      <c r="K214" s="34"/>
      <c r="L214" s="20"/>
      <c r="M214" s="20"/>
      <c r="N214" s="20"/>
      <c r="O214" s="20"/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1"/>
      <c r="AA214" s="22"/>
      <c r="AB214" s="22"/>
    </row>
    <row r="215" spans="1:28" ht="15.75" customHeight="1" x14ac:dyDescent="0.25">
      <c r="A215" s="29"/>
      <c r="B215" s="30"/>
      <c r="C215" s="31"/>
      <c r="D215" s="31"/>
      <c r="E215" s="30"/>
      <c r="F215" s="30"/>
      <c r="G215" s="33"/>
      <c r="H215" s="30"/>
      <c r="I215" s="30"/>
      <c r="J215" s="30"/>
      <c r="K215" s="34"/>
      <c r="L215" s="20"/>
      <c r="M215" s="20"/>
      <c r="N215" s="20"/>
      <c r="O215" s="20"/>
      <c r="P215" s="20"/>
      <c r="Q215" s="20"/>
      <c r="R215" s="20"/>
      <c r="S215" s="20"/>
      <c r="T215" s="20"/>
      <c r="U215" s="20"/>
      <c r="V215" s="20"/>
      <c r="W215" s="20"/>
      <c r="X215" s="20"/>
      <c r="Y215" s="20"/>
      <c r="Z215" s="21"/>
      <c r="AA215" s="22"/>
      <c r="AB215" s="22"/>
    </row>
    <row r="216" spans="1:28" ht="15.75" customHeight="1" x14ac:dyDescent="0.25">
      <c r="A216" s="29"/>
      <c r="B216" s="30"/>
      <c r="C216" s="31"/>
      <c r="D216" s="31"/>
      <c r="E216" s="30"/>
      <c r="F216" s="30"/>
      <c r="G216" s="33"/>
      <c r="H216" s="30"/>
      <c r="I216" s="30"/>
      <c r="J216" s="30"/>
      <c r="K216" s="34"/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1"/>
      <c r="AA216" s="22"/>
      <c r="AB216" s="22"/>
    </row>
    <row r="217" spans="1:28" ht="15.75" customHeight="1" x14ac:dyDescent="0.25">
      <c r="A217" s="29"/>
      <c r="B217" s="30"/>
      <c r="C217" s="31"/>
      <c r="D217" s="31"/>
      <c r="E217" s="30"/>
      <c r="F217" s="30"/>
      <c r="G217" s="33"/>
      <c r="H217" s="30"/>
      <c r="I217" s="30"/>
      <c r="J217" s="30"/>
      <c r="K217" s="34"/>
      <c r="L217" s="20"/>
      <c r="M217" s="20"/>
      <c r="N217" s="20"/>
      <c r="O217" s="20"/>
      <c r="P217" s="20"/>
      <c r="Q217" s="20"/>
      <c r="R217" s="20"/>
      <c r="S217" s="20"/>
      <c r="T217" s="20"/>
      <c r="U217" s="20"/>
      <c r="V217" s="20"/>
      <c r="W217" s="20"/>
      <c r="X217" s="20"/>
      <c r="Y217" s="20"/>
      <c r="Z217" s="21"/>
      <c r="AA217" s="22"/>
      <c r="AB217" s="22"/>
    </row>
    <row r="218" spans="1:28" ht="15.75" customHeight="1" x14ac:dyDescent="0.25">
      <c r="A218" s="29"/>
      <c r="B218" s="30"/>
      <c r="C218" s="31"/>
      <c r="D218" s="31"/>
      <c r="E218" s="30"/>
      <c r="F218" s="30"/>
      <c r="G218" s="33"/>
      <c r="H218" s="30"/>
      <c r="I218" s="30"/>
      <c r="J218" s="30"/>
      <c r="K218" s="34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1"/>
      <c r="AA218" s="22"/>
      <c r="AB218" s="22"/>
    </row>
    <row r="219" spans="1:28" ht="15.75" customHeight="1" x14ac:dyDescent="0.25">
      <c r="A219" s="29"/>
      <c r="B219" s="30"/>
      <c r="C219" s="31"/>
      <c r="D219" s="31"/>
      <c r="E219" s="30"/>
      <c r="F219" s="30"/>
      <c r="G219" s="33"/>
      <c r="H219" s="30"/>
      <c r="I219" s="30"/>
      <c r="J219" s="30"/>
      <c r="K219" s="34"/>
      <c r="L219" s="20"/>
      <c r="M219" s="20"/>
      <c r="N219" s="20"/>
      <c r="O219" s="20"/>
      <c r="P219" s="20"/>
      <c r="Q219" s="20"/>
      <c r="R219" s="20"/>
      <c r="S219" s="20"/>
      <c r="T219" s="20"/>
      <c r="U219" s="20"/>
      <c r="V219" s="20"/>
      <c r="W219" s="20"/>
      <c r="X219" s="20"/>
      <c r="Y219" s="20"/>
      <c r="Z219" s="21"/>
      <c r="AA219" s="22"/>
      <c r="AB219" s="22"/>
    </row>
    <row r="220" spans="1:28" ht="15.75" customHeight="1" x14ac:dyDescent="0.25">
      <c r="A220" s="29"/>
      <c r="B220" s="30"/>
      <c r="C220" s="31"/>
      <c r="D220" s="31"/>
      <c r="E220" s="30"/>
      <c r="F220" s="30"/>
      <c r="G220" s="33"/>
      <c r="H220" s="30"/>
      <c r="I220" s="30"/>
      <c r="J220" s="30"/>
      <c r="K220" s="34"/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1"/>
      <c r="AA220" s="22"/>
      <c r="AB220" s="22"/>
    </row>
    <row r="221" spans="1:28" ht="15.75" customHeight="1" x14ac:dyDescent="0.25">
      <c r="A221" s="29"/>
      <c r="B221" s="30"/>
      <c r="C221" s="31"/>
      <c r="D221" s="31"/>
      <c r="E221" s="30"/>
      <c r="F221" s="30"/>
      <c r="G221" s="33"/>
      <c r="H221" s="30"/>
      <c r="I221" s="30"/>
      <c r="J221" s="30"/>
      <c r="K221" s="34"/>
      <c r="L221" s="20"/>
      <c r="M221" s="20"/>
      <c r="N221" s="20"/>
      <c r="O221" s="20"/>
      <c r="P221" s="20"/>
      <c r="Q221" s="20"/>
      <c r="R221" s="20"/>
      <c r="S221" s="20"/>
      <c r="T221" s="20"/>
      <c r="U221" s="20"/>
      <c r="V221" s="20"/>
      <c r="W221" s="20"/>
      <c r="X221" s="20"/>
      <c r="Y221" s="20"/>
      <c r="Z221" s="21"/>
      <c r="AA221" s="22"/>
      <c r="AB221" s="22"/>
    </row>
    <row r="222" spans="1:28" ht="15.75" customHeight="1" x14ac:dyDescent="0.25">
      <c r="A222" s="29"/>
      <c r="B222" s="30"/>
      <c r="C222" s="31"/>
      <c r="D222" s="31"/>
      <c r="E222" s="30"/>
      <c r="F222" s="30"/>
      <c r="G222" s="33"/>
      <c r="H222" s="30"/>
      <c r="I222" s="30"/>
      <c r="J222" s="30"/>
      <c r="K222" s="34"/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1"/>
      <c r="AA222" s="22"/>
      <c r="AB222" s="22"/>
    </row>
    <row r="223" spans="1:28" ht="15.75" customHeight="1" x14ac:dyDescent="0.25">
      <c r="A223" s="29"/>
      <c r="B223" s="30"/>
      <c r="C223" s="31"/>
      <c r="D223" s="31"/>
      <c r="E223" s="30"/>
      <c r="F223" s="30"/>
      <c r="G223" s="33"/>
      <c r="H223" s="30"/>
      <c r="I223" s="30"/>
      <c r="J223" s="30"/>
      <c r="K223" s="34"/>
      <c r="L223" s="20"/>
      <c r="M223" s="20"/>
      <c r="N223" s="20"/>
      <c r="O223" s="20"/>
      <c r="P223" s="20"/>
      <c r="Q223" s="20"/>
      <c r="R223" s="20"/>
      <c r="S223" s="20"/>
      <c r="T223" s="20"/>
      <c r="U223" s="20"/>
      <c r="V223" s="20"/>
      <c r="W223" s="20"/>
      <c r="X223" s="20"/>
      <c r="Y223" s="20"/>
      <c r="Z223" s="21"/>
      <c r="AA223" s="22"/>
      <c r="AB223" s="22"/>
    </row>
    <row r="224" spans="1:28" ht="15.75" customHeight="1" x14ac:dyDescent="0.25">
      <c r="A224" s="29"/>
      <c r="B224" s="30"/>
      <c r="C224" s="31"/>
      <c r="D224" s="31"/>
      <c r="E224" s="30"/>
      <c r="F224" s="30"/>
      <c r="G224" s="33"/>
      <c r="H224" s="30"/>
      <c r="I224" s="30"/>
      <c r="J224" s="30"/>
      <c r="K224" s="34"/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1"/>
      <c r="AA224" s="22"/>
      <c r="AB224" s="22"/>
    </row>
    <row r="225" spans="1:28" ht="15.75" customHeight="1" x14ac:dyDescent="0.25">
      <c r="A225" s="29"/>
      <c r="B225" s="30"/>
      <c r="C225" s="31"/>
      <c r="D225" s="31"/>
      <c r="E225" s="30"/>
      <c r="F225" s="30"/>
      <c r="G225" s="33"/>
      <c r="H225" s="30"/>
      <c r="I225" s="30"/>
      <c r="J225" s="30"/>
      <c r="K225" s="34"/>
      <c r="L225" s="20"/>
      <c r="M225" s="20"/>
      <c r="N225" s="20"/>
      <c r="O225" s="20"/>
      <c r="P225" s="20"/>
      <c r="Q225" s="20"/>
      <c r="R225" s="20"/>
      <c r="S225" s="20"/>
      <c r="T225" s="20"/>
      <c r="U225" s="20"/>
      <c r="V225" s="20"/>
      <c r="W225" s="20"/>
      <c r="X225" s="20"/>
      <c r="Y225" s="20"/>
      <c r="Z225" s="21"/>
      <c r="AA225" s="22"/>
      <c r="AB225" s="22"/>
    </row>
    <row r="226" spans="1:28" ht="15.75" customHeight="1" x14ac:dyDescent="0.25">
      <c r="A226" s="29"/>
      <c r="B226" s="30"/>
      <c r="C226" s="31"/>
      <c r="D226" s="31"/>
      <c r="E226" s="30"/>
      <c r="F226" s="30"/>
      <c r="G226" s="33"/>
      <c r="H226" s="30"/>
      <c r="I226" s="30"/>
      <c r="J226" s="30"/>
      <c r="K226" s="34"/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1"/>
      <c r="AA226" s="22"/>
      <c r="AB226" s="22"/>
    </row>
    <row r="227" spans="1:28" ht="15.75" customHeight="1" x14ac:dyDescent="0.25">
      <c r="A227" s="29"/>
      <c r="B227" s="30"/>
      <c r="C227" s="31"/>
      <c r="D227" s="31"/>
      <c r="E227" s="30"/>
      <c r="F227" s="30"/>
      <c r="G227" s="33"/>
      <c r="H227" s="30"/>
      <c r="I227" s="30"/>
      <c r="J227" s="30"/>
      <c r="K227" s="34"/>
      <c r="L227" s="20"/>
      <c r="M227" s="20"/>
      <c r="N227" s="20"/>
      <c r="O227" s="20"/>
      <c r="P227" s="20"/>
      <c r="Q227" s="20"/>
      <c r="R227" s="20"/>
      <c r="S227" s="20"/>
      <c r="T227" s="20"/>
      <c r="U227" s="20"/>
      <c r="V227" s="20"/>
      <c r="W227" s="20"/>
      <c r="X227" s="20"/>
      <c r="Y227" s="20"/>
      <c r="Z227" s="21"/>
      <c r="AA227" s="22"/>
      <c r="AB227" s="22"/>
    </row>
    <row r="228" spans="1:28" ht="15.75" customHeight="1" x14ac:dyDescent="0.25">
      <c r="A228" s="29"/>
      <c r="B228" s="30"/>
      <c r="C228" s="31"/>
      <c r="D228" s="31"/>
      <c r="E228" s="30"/>
      <c r="F228" s="30"/>
      <c r="G228" s="33"/>
      <c r="H228" s="30"/>
      <c r="I228" s="30"/>
      <c r="J228" s="30"/>
      <c r="K228" s="34"/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1"/>
      <c r="AA228" s="22"/>
      <c r="AB228" s="22"/>
    </row>
    <row r="229" spans="1:28" ht="15.75" customHeight="1" x14ac:dyDescent="0.25">
      <c r="A229" s="29"/>
      <c r="B229" s="30"/>
      <c r="C229" s="31"/>
      <c r="D229" s="31"/>
      <c r="E229" s="30"/>
      <c r="F229" s="30"/>
      <c r="G229" s="33"/>
      <c r="H229" s="30"/>
      <c r="I229" s="30"/>
      <c r="J229" s="30"/>
      <c r="K229" s="34"/>
      <c r="L229" s="20"/>
      <c r="M229" s="20"/>
      <c r="N229" s="20"/>
      <c r="O229" s="20"/>
      <c r="P229" s="20"/>
      <c r="Q229" s="20"/>
      <c r="R229" s="20"/>
      <c r="S229" s="20"/>
      <c r="T229" s="20"/>
      <c r="U229" s="20"/>
      <c r="V229" s="20"/>
      <c r="W229" s="20"/>
      <c r="X229" s="20"/>
      <c r="Y229" s="20"/>
      <c r="Z229" s="21"/>
      <c r="AA229" s="22"/>
      <c r="AB229" s="22"/>
    </row>
    <row r="230" spans="1:28" ht="15.75" customHeight="1" x14ac:dyDescent="0.25">
      <c r="A230" s="29"/>
      <c r="B230" s="30"/>
      <c r="C230" s="31"/>
      <c r="D230" s="31"/>
      <c r="E230" s="30"/>
      <c r="F230" s="30"/>
      <c r="G230" s="33"/>
      <c r="H230" s="30"/>
      <c r="I230" s="30"/>
      <c r="J230" s="30"/>
      <c r="K230" s="34"/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1"/>
      <c r="AA230" s="22"/>
      <c r="AB230" s="22"/>
    </row>
    <row r="231" spans="1:28" ht="15.75" customHeight="1" x14ac:dyDescent="0.25">
      <c r="A231" s="29"/>
      <c r="B231" s="30"/>
      <c r="C231" s="31"/>
      <c r="D231" s="31"/>
      <c r="E231" s="30"/>
      <c r="F231" s="30"/>
      <c r="G231" s="33"/>
      <c r="H231" s="30"/>
      <c r="I231" s="30"/>
      <c r="J231" s="30"/>
      <c r="K231" s="34"/>
      <c r="L231" s="20"/>
      <c r="M231" s="20"/>
      <c r="N231" s="20"/>
      <c r="O231" s="20"/>
      <c r="P231" s="20"/>
      <c r="Q231" s="20"/>
      <c r="R231" s="20"/>
      <c r="S231" s="20"/>
      <c r="T231" s="20"/>
      <c r="U231" s="20"/>
      <c r="V231" s="20"/>
      <c r="W231" s="20"/>
      <c r="X231" s="20"/>
      <c r="Y231" s="20"/>
      <c r="Z231" s="21"/>
      <c r="AA231" s="22"/>
      <c r="AB231" s="22"/>
    </row>
    <row r="232" spans="1:28" ht="15.75" customHeight="1" x14ac:dyDescent="0.25">
      <c r="A232" s="29"/>
      <c r="B232" s="30"/>
      <c r="C232" s="31"/>
      <c r="D232" s="31"/>
      <c r="E232" s="30"/>
      <c r="F232" s="30"/>
      <c r="G232" s="33"/>
      <c r="H232" s="30"/>
      <c r="I232" s="30"/>
      <c r="J232" s="30"/>
      <c r="K232" s="34"/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1"/>
      <c r="AA232" s="22"/>
      <c r="AB232" s="22"/>
    </row>
    <row r="233" spans="1:28" ht="15.75" customHeight="1" x14ac:dyDescent="0.25">
      <c r="A233" s="29"/>
      <c r="B233" s="30"/>
      <c r="C233" s="31"/>
      <c r="D233" s="31"/>
      <c r="E233" s="30"/>
      <c r="F233" s="30"/>
      <c r="G233" s="33"/>
      <c r="H233" s="30"/>
      <c r="I233" s="30"/>
      <c r="J233" s="30"/>
      <c r="K233" s="34"/>
      <c r="L233" s="20"/>
      <c r="M233" s="20"/>
      <c r="N233" s="20"/>
      <c r="O233" s="20"/>
      <c r="P233" s="20"/>
      <c r="Q233" s="20"/>
      <c r="R233" s="20"/>
      <c r="S233" s="20"/>
      <c r="T233" s="20"/>
      <c r="U233" s="20"/>
      <c r="V233" s="20"/>
      <c r="W233" s="20"/>
      <c r="X233" s="20"/>
      <c r="Y233" s="20"/>
      <c r="Z233" s="21"/>
      <c r="AA233" s="22"/>
      <c r="AB233" s="22"/>
    </row>
    <row r="234" spans="1:28" ht="15.75" customHeight="1" x14ac:dyDescent="0.25">
      <c r="A234" s="29"/>
      <c r="B234" s="30"/>
      <c r="C234" s="31"/>
      <c r="D234" s="31"/>
      <c r="E234" s="30"/>
      <c r="F234" s="30"/>
      <c r="G234" s="33"/>
      <c r="H234" s="30"/>
      <c r="I234" s="30"/>
      <c r="J234" s="30"/>
      <c r="K234" s="34"/>
      <c r="L234" s="20"/>
      <c r="M234" s="20"/>
      <c r="N234" s="20"/>
      <c r="O234" s="20"/>
      <c r="P234" s="20"/>
      <c r="Q234" s="20"/>
      <c r="R234" s="20"/>
      <c r="S234" s="20"/>
      <c r="T234" s="20"/>
      <c r="U234" s="20"/>
      <c r="V234" s="20"/>
      <c r="W234" s="20"/>
      <c r="X234" s="20"/>
      <c r="Y234" s="20"/>
      <c r="Z234" s="21"/>
      <c r="AA234" s="22"/>
      <c r="AB234" s="22"/>
    </row>
    <row r="235" spans="1:28" ht="15.75" customHeight="1" x14ac:dyDescent="0.25">
      <c r="A235" s="29"/>
      <c r="B235" s="30"/>
      <c r="C235" s="31"/>
      <c r="D235" s="31"/>
      <c r="E235" s="30"/>
      <c r="F235" s="30"/>
      <c r="G235" s="33"/>
      <c r="H235" s="30"/>
      <c r="I235" s="30"/>
      <c r="J235" s="30"/>
      <c r="K235" s="34"/>
      <c r="L235" s="20"/>
      <c r="M235" s="20"/>
      <c r="N235" s="20"/>
      <c r="O235" s="20"/>
      <c r="P235" s="20"/>
      <c r="Q235" s="20"/>
      <c r="R235" s="20"/>
      <c r="S235" s="20"/>
      <c r="T235" s="20"/>
      <c r="U235" s="20"/>
      <c r="V235" s="20"/>
      <c r="W235" s="20"/>
      <c r="X235" s="20"/>
      <c r="Y235" s="20"/>
      <c r="Z235" s="21"/>
      <c r="AA235" s="22"/>
      <c r="AB235" s="22"/>
    </row>
    <row r="236" spans="1:28" ht="15.75" customHeight="1" x14ac:dyDescent="0.25">
      <c r="A236" s="29"/>
      <c r="B236" s="30"/>
      <c r="C236" s="31"/>
      <c r="D236" s="31"/>
      <c r="E236" s="30"/>
      <c r="F236" s="30"/>
      <c r="G236" s="33"/>
      <c r="H236" s="30"/>
      <c r="I236" s="30"/>
      <c r="J236" s="30"/>
      <c r="K236" s="34"/>
      <c r="L236" s="20"/>
      <c r="M236" s="20"/>
      <c r="N236" s="20"/>
      <c r="O236" s="20"/>
      <c r="P236" s="20"/>
      <c r="Q236" s="20"/>
      <c r="R236" s="20"/>
      <c r="S236" s="20"/>
      <c r="T236" s="20"/>
      <c r="U236" s="20"/>
      <c r="V236" s="20"/>
      <c r="W236" s="20"/>
      <c r="X236" s="20"/>
      <c r="Y236" s="20"/>
      <c r="Z236" s="21"/>
      <c r="AA236" s="22"/>
      <c r="AB236" s="22"/>
    </row>
    <row r="237" spans="1:28" ht="15.75" customHeight="1" x14ac:dyDescent="0.25">
      <c r="A237" s="29"/>
      <c r="B237" s="30"/>
      <c r="C237" s="31"/>
      <c r="D237" s="31"/>
      <c r="E237" s="30"/>
      <c r="F237" s="30"/>
      <c r="G237" s="33"/>
      <c r="H237" s="30"/>
      <c r="I237" s="30"/>
      <c r="J237" s="30"/>
      <c r="K237" s="34"/>
      <c r="L237" s="20"/>
      <c r="M237" s="20"/>
      <c r="N237" s="20"/>
      <c r="O237" s="20"/>
      <c r="P237" s="20"/>
      <c r="Q237" s="20"/>
      <c r="R237" s="20"/>
      <c r="S237" s="20"/>
      <c r="T237" s="20"/>
      <c r="U237" s="20"/>
      <c r="V237" s="20"/>
      <c r="W237" s="20"/>
      <c r="X237" s="20"/>
      <c r="Y237" s="20"/>
      <c r="Z237" s="21"/>
      <c r="AA237" s="22"/>
      <c r="AB237" s="22"/>
    </row>
    <row r="238" spans="1:28" ht="15.75" customHeight="1" x14ac:dyDescent="0.25">
      <c r="A238" s="29"/>
      <c r="B238" s="30"/>
      <c r="C238" s="31"/>
      <c r="D238" s="31"/>
      <c r="E238" s="30"/>
      <c r="F238" s="30"/>
      <c r="G238" s="33"/>
      <c r="H238" s="30"/>
      <c r="I238" s="30"/>
      <c r="J238" s="30"/>
      <c r="K238" s="34"/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1"/>
      <c r="AA238" s="22"/>
      <c r="AB238" s="22"/>
    </row>
    <row r="239" spans="1:28" ht="15.75" customHeight="1" x14ac:dyDescent="0.25">
      <c r="A239" s="29"/>
      <c r="B239" s="30"/>
      <c r="C239" s="31"/>
      <c r="D239" s="31"/>
      <c r="E239" s="30"/>
      <c r="F239" s="30"/>
      <c r="G239" s="33"/>
      <c r="H239" s="30"/>
      <c r="I239" s="30"/>
      <c r="J239" s="30"/>
      <c r="K239" s="34"/>
      <c r="L239" s="20"/>
      <c r="M239" s="20"/>
      <c r="N239" s="20"/>
      <c r="O239" s="20"/>
      <c r="P239" s="20"/>
      <c r="Q239" s="20"/>
      <c r="R239" s="20"/>
      <c r="S239" s="20"/>
      <c r="T239" s="20"/>
      <c r="U239" s="20"/>
      <c r="V239" s="20"/>
      <c r="W239" s="20"/>
      <c r="X239" s="20"/>
      <c r="Y239" s="20"/>
      <c r="Z239" s="21"/>
      <c r="AA239" s="22"/>
      <c r="AB239" s="22"/>
    </row>
    <row r="240" spans="1:28" ht="15.75" customHeight="1" x14ac:dyDescent="0.25">
      <c r="A240" s="29"/>
      <c r="B240" s="30"/>
      <c r="C240" s="31"/>
      <c r="D240" s="31"/>
      <c r="E240" s="30"/>
      <c r="F240" s="30"/>
      <c r="G240" s="33"/>
      <c r="H240" s="30"/>
      <c r="I240" s="30"/>
      <c r="J240" s="30"/>
      <c r="K240" s="34"/>
      <c r="L240" s="20"/>
      <c r="M240" s="20"/>
      <c r="N240" s="20"/>
      <c r="O240" s="20"/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1"/>
      <c r="AA240" s="22"/>
      <c r="AB240" s="22"/>
    </row>
    <row r="241" spans="1:28" ht="15.75" customHeight="1" x14ac:dyDescent="0.25">
      <c r="A241" s="29"/>
      <c r="B241" s="30"/>
      <c r="C241" s="31"/>
      <c r="D241" s="31"/>
      <c r="E241" s="30"/>
      <c r="F241" s="30"/>
      <c r="G241" s="33"/>
      <c r="H241" s="30"/>
      <c r="I241" s="30"/>
      <c r="J241" s="30"/>
      <c r="K241" s="34"/>
      <c r="L241" s="20"/>
      <c r="M241" s="20"/>
      <c r="N241" s="20"/>
      <c r="O241" s="20"/>
      <c r="P241" s="20"/>
      <c r="Q241" s="20"/>
      <c r="R241" s="20"/>
      <c r="S241" s="20"/>
      <c r="T241" s="20"/>
      <c r="U241" s="20"/>
      <c r="V241" s="20"/>
      <c r="W241" s="20"/>
      <c r="X241" s="20"/>
      <c r="Y241" s="20"/>
      <c r="Z241" s="21"/>
      <c r="AA241" s="22"/>
      <c r="AB241" s="22"/>
    </row>
    <row r="242" spans="1:28" ht="15.75" customHeight="1" x14ac:dyDescent="0.25">
      <c r="A242" s="29"/>
      <c r="B242" s="30"/>
      <c r="C242" s="31"/>
      <c r="D242" s="31"/>
      <c r="E242" s="30"/>
      <c r="F242" s="30"/>
      <c r="G242" s="33"/>
      <c r="H242" s="30"/>
      <c r="I242" s="30"/>
      <c r="J242" s="30"/>
      <c r="K242" s="34"/>
      <c r="L242" s="20"/>
      <c r="M242" s="20"/>
      <c r="N242" s="20"/>
      <c r="O242" s="20"/>
      <c r="P242" s="20"/>
      <c r="Q242" s="20"/>
      <c r="R242" s="20"/>
      <c r="S242" s="20"/>
      <c r="T242" s="20"/>
      <c r="U242" s="20"/>
      <c r="V242" s="20"/>
      <c r="W242" s="20"/>
      <c r="X242" s="20"/>
      <c r="Y242" s="20"/>
      <c r="Z242" s="21"/>
      <c r="AA242" s="22"/>
      <c r="AB242" s="22"/>
    </row>
    <row r="243" spans="1:28" ht="15.75" customHeight="1" x14ac:dyDescent="0.25">
      <c r="A243" s="29"/>
      <c r="B243" s="30"/>
      <c r="C243" s="31"/>
      <c r="D243" s="31"/>
      <c r="E243" s="30"/>
      <c r="F243" s="30"/>
      <c r="G243" s="33"/>
      <c r="H243" s="30"/>
      <c r="I243" s="30"/>
      <c r="J243" s="30"/>
      <c r="K243" s="34"/>
      <c r="L243" s="20"/>
      <c r="M243" s="20"/>
      <c r="N243" s="20"/>
      <c r="O243" s="20"/>
      <c r="P243" s="20"/>
      <c r="Q243" s="20"/>
      <c r="R243" s="20"/>
      <c r="S243" s="20"/>
      <c r="T243" s="20"/>
      <c r="U243" s="20"/>
      <c r="V243" s="20"/>
      <c r="W243" s="20"/>
      <c r="X243" s="20"/>
      <c r="Y243" s="20"/>
      <c r="Z243" s="21"/>
      <c r="AA243" s="22"/>
      <c r="AB243" s="22"/>
    </row>
    <row r="244" spans="1:28" ht="15.75" customHeight="1" x14ac:dyDescent="0.25">
      <c r="A244" s="29"/>
      <c r="B244" s="30"/>
      <c r="C244" s="31"/>
      <c r="D244" s="31"/>
      <c r="E244" s="30"/>
      <c r="F244" s="30"/>
      <c r="G244" s="33"/>
      <c r="H244" s="30"/>
      <c r="I244" s="30"/>
      <c r="J244" s="30"/>
      <c r="K244" s="34"/>
      <c r="L244" s="20"/>
      <c r="M244" s="20"/>
      <c r="N244" s="20"/>
      <c r="O244" s="20"/>
      <c r="P244" s="20"/>
      <c r="Q244" s="20"/>
      <c r="R244" s="20"/>
      <c r="S244" s="20"/>
      <c r="T244" s="20"/>
      <c r="U244" s="20"/>
      <c r="V244" s="20"/>
      <c r="W244" s="20"/>
      <c r="X244" s="20"/>
      <c r="Y244" s="20"/>
      <c r="Z244" s="21"/>
      <c r="AA244" s="22"/>
      <c r="AB244" s="22"/>
    </row>
    <row r="245" spans="1:28" ht="15.75" customHeight="1" x14ac:dyDescent="0.25">
      <c r="A245" s="29"/>
      <c r="B245" s="30"/>
      <c r="C245" s="31"/>
      <c r="D245" s="31"/>
      <c r="E245" s="30"/>
      <c r="F245" s="30"/>
      <c r="G245" s="33"/>
      <c r="H245" s="30"/>
      <c r="I245" s="30"/>
      <c r="J245" s="30"/>
      <c r="K245" s="34"/>
      <c r="L245" s="20"/>
      <c r="M245" s="20"/>
      <c r="N245" s="20"/>
      <c r="O245" s="20"/>
      <c r="P245" s="20"/>
      <c r="Q245" s="20"/>
      <c r="R245" s="20"/>
      <c r="S245" s="20"/>
      <c r="T245" s="20"/>
      <c r="U245" s="20"/>
      <c r="V245" s="20"/>
      <c r="W245" s="20"/>
      <c r="X245" s="20"/>
      <c r="Y245" s="20"/>
      <c r="Z245" s="21"/>
      <c r="AA245" s="22"/>
      <c r="AB245" s="22"/>
    </row>
    <row r="246" spans="1:28" ht="15.75" customHeight="1" x14ac:dyDescent="0.25">
      <c r="A246" s="29"/>
      <c r="B246" s="30"/>
      <c r="C246" s="31"/>
      <c r="D246" s="31"/>
      <c r="E246" s="30"/>
      <c r="F246" s="30"/>
      <c r="G246" s="33"/>
      <c r="H246" s="30"/>
      <c r="I246" s="30"/>
      <c r="J246" s="30"/>
      <c r="K246" s="34"/>
      <c r="L246" s="20"/>
      <c r="M246" s="20"/>
      <c r="N246" s="20"/>
      <c r="O246" s="20"/>
      <c r="P246" s="20"/>
      <c r="Q246" s="20"/>
      <c r="R246" s="20"/>
      <c r="S246" s="20"/>
      <c r="T246" s="20"/>
      <c r="U246" s="20"/>
      <c r="V246" s="20"/>
      <c r="W246" s="20"/>
      <c r="X246" s="20"/>
      <c r="Y246" s="20"/>
      <c r="Z246" s="21"/>
      <c r="AA246" s="22"/>
      <c r="AB246" s="22"/>
    </row>
    <row r="247" spans="1:28" ht="15.75" customHeight="1" x14ac:dyDescent="0.25">
      <c r="A247" s="29"/>
      <c r="B247" s="30"/>
      <c r="C247" s="31"/>
      <c r="D247" s="31"/>
      <c r="E247" s="30"/>
      <c r="F247" s="30"/>
      <c r="G247" s="33"/>
      <c r="H247" s="30"/>
      <c r="I247" s="30"/>
      <c r="J247" s="30"/>
      <c r="K247" s="34"/>
      <c r="L247" s="20"/>
      <c r="M247" s="20"/>
      <c r="N247" s="20"/>
      <c r="O247" s="20"/>
      <c r="P247" s="20"/>
      <c r="Q247" s="20"/>
      <c r="R247" s="20"/>
      <c r="S247" s="20"/>
      <c r="T247" s="20"/>
      <c r="U247" s="20"/>
      <c r="V247" s="20"/>
      <c r="W247" s="20"/>
      <c r="X247" s="20"/>
      <c r="Y247" s="20"/>
      <c r="Z247" s="21"/>
      <c r="AA247" s="22"/>
      <c r="AB247" s="22"/>
    </row>
    <row r="248" spans="1:28" ht="15.75" customHeight="1" x14ac:dyDescent="0.25">
      <c r="A248" s="29"/>
      <c r="B248" s="30"/>
      <c r="C248" s="31"/>
      <c r="D248" s="31"/>
      <c r="E248" s="30"/>
      <c r="F248" s="30"/>
      <c r="G248" s="33"/>
      <c r="H248" s="30"/>
      <c r="I248" s="30"/>
      <c r="J248" s="30"/>
      <c r="K248" s="34"/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0"/>
      <c r="W248" s="20"/>
      <c r="X248" s="20"/>
      <c r="Y248" s="20"/>
      <c r="Z248" s="21"/>
      <c r="AA248" s="22"/>
      <c r="AB248" s="22"/>
    </row>
    <row r="249" spans="1:28" ht="15.75" customHeight="1" x14ac:dyDescent="0.25">
      <c r="A249" s="29"/>
      <c r="B249" s="30"/>
      <c r="C249" s="31"/>
      <c r="D249" s="31"/>
      <c r="E249" s="30"/>
      <c r="F249" s="30"/>
      <c r="G249" s="33"/>
      <c r="H249" s="30"/>
      <c r="I249" s="30"/>
      <c r="J249" s="30"/>
      <c r="K249" s="34"/>
      <c r="L249" s="20"/>
      <c r="M249" s="20"/>
      <c r="N249" s="20"/>
      <c r="O249" s="20"/>
      <c r="P249" s="20"/>
      <c r="Q249" s="20"/>
      <c r="R249" s="20"/>
      <c r="S249" s="20"/>
      <c r="T249" s="20"/>
      <c r="U249" s="20"/>
      <c r="V249" s="20"/>
      <c r="W249" s="20"/>
      <c r="X249" s="20"/>
      <c r="Y249" s="20"/>
      <c r="Z249" s="21"/>
      <c r="AA249" s="22"/>
      <c r="AB249" s="22"/>
    </row>
    <row r="250" spans="1:28" ht="15.75" customHeight="1" x14ac:dyDescent="0.25">
      <c r="A250" s="29"/>
      <c r="B250" s="30"/>
      <c r="C250" s="31"/>
      <c r="D250" s="31"/>
      <c r="E250" s="30"/>
      <c r="F250" s="30"/>
      <c r="G250" s="33"/>
      <c r="H250" s="30"/>
      <c r="I250" s="30"/>
      <c r="J250" s="30"/>
      <c r="K250" s="34"/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1"/>
      <c r="AA250" s="22"/>
      <c r="AB250" s="22"/>
    </row>
    <row r="251" spans="1:28" ht="15.75" customHeight="1" x14ac:dyDescent="0.25">
      <c r="A251" s="29"/>
      <c r="B251" s="30"/>
      <c r="C251" s="31"/>
      <c r="D251" s="31"/>
      <c r="E251" s="30"/>
      <c r="F251" s="30"/>
      <c r="G251" s="33"/>
      <c r="H251" s="30"/>
      <c r="I251" s="30"/>
      <c r="J251" s="30"/>
      <c r="K251" s="34"/>
      <c r="L251" s="20"/>
      <c r="M251" s="20"/>
      <c r="N251" s="20"/>
      <c r="O251" s="20"/>
      <c r="P251" s="20"/>
      <c r="Q251" s="20"/>
      <c r="R251" s="20"/>
      <c r="S251" s="20"/>
      <c r="T251" s="20"/>
      <c r="U251" s="20"/>
      <c r="V251" s="20"/>
      <c r="W251" s="20"/>
      <c r="X251" s="20"/>
      <c r="Y251" s="20"/>
      <c r="Z251" s="21"/>
      <c r="AA251" s="22"/>
      <c r="AB251" s="22"/>
    </row>
    <row r="252" spans="1:28" ht="15.75" customHeight="1" x14ac:dyDescent="0.25">
      <c r="A252" s="29"/>
      <c r="B252" s="30"/>
      <c r="C252" s="31"/>
      <c r="D252" s="31"/>
      <c r="E252" s="30"/>
      <c r="F252" s="30"/>
      <c r="G252" s="33"/>
      <c r="H252" s="30"/>
      <c r="I252" s="30"/>
      <c r="J252" s="30"/>
      <c r="K252" s="34"/>
      <c r="L252" s="20"/>
      <c r="M252" s="20"/>
      <c r="N252" s="20"/>
      <c r="O252" s="20"/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1"/>
      <c r="AA252" s="22"/>
      <c r="AB252" s="22"/>
    </row>
    <row r="253" spans="1:28" ht="15.75" customHeight="1" x14ac:dyDescent="0.25">
      <c r="A253" s="29"/>
      <c r="B253" s="30"/>
      <c r="C253" s="31"/>
      <c r="D253" s="31"/>
      <c r="E253" s="30"/>
      <c r="F253" s="30"/>
      <c r="G253" s="33"/>
      <c r="H253" s="30"/>
      <c r="I253" s="30"/>
      <c r="J253" s="30"/>
      <c r="K253" s="34"/>
      <c r="L253" s="20"/>
      <c r="M253" s="20"/>
      <c r="N253" s="20"/>
      <c r="O253" s="20"/>
      <c r="P253" s="20"/>
      <c r="Q253" s="20"/>
      <c r="R253" s="20"/>
      <c r="S253" s="20"/>
      <c r="T253" s="20"/>
      <c r="U253" s="20"/>
      <c r="V253" s="20"/>
      <c r="W253" s="20"/>
      <c r="X253" s="20"/>
      <c r="Y253" s="20"/>
      <c r="Z253" s="21"/>
      <c r="AA253" s="22"/>
      <c r="AB253" s="22"/>
    </row>
    <row r="254" spans="1:28" ht="15.75" customHeight="1" x14ac:dyDescent="0.25">
      <c r="A254" s="29"/>
      <c r="B254" s="30"/>
      <c r="C254" s="31"/>
      <c r="D254" s="31"/>
      <c r="E254" s="30"/>
      <c r="F254" s="30"/>
      <c r="G254" s="33"/>
      <c r="H254" s="30"/>
      <c r="I254" s="30"/>
      <c r="J254" s="30"/>
      <c r="K254" s="34"/>
      <c r="L254" s="20"/>
      <c r="M254" s="20"/>
      <c r="N254" s="20"/>
      <c r="O254" s="20"/>
      <c r="P254" s="20"/>
      <c r="Q254" s="20"/>
      <c r="R254" s="20"/>
      <c r="S254" s="20"/>
      <c r="T254" s="20"/>
      <c r="U254" s="20"/>
      <c r="V254" s="20"/>
      <c r="W254" s="20"/>
      <c r="X254" s="20"/>
      <c r="Y254" s="20"/>
      <c r="Z254" s="21"/>
      <c r="AA254" s="22"/>
      <c r="AB254" s="22"/>
    </row>
    <row r="255" spans="1:28" ht="15.75" customHeight="1" x14ac:dyDescent="0.25">
      <c r="A255" s="29"/>
      <c r="B255" s="30"/>
      <c r="C255" s="31"/>
      <c r="D255" s="31"/>
      <c r="E255" s="30"/>
      <c r="F255" s="30"/>
      <c r="G255" s="33"/>
      <c r="H255" s="30"/>
      <c r="I255" s="30"/>
      <c r="J255" s="30"/>
      <c r="K255" s="34"/>
      <c r="L255" s="20"/>
      <c r="M255" s="20"/>
      <c r="N255" s="20"/>
      <c r="O255" s="20"/>
      <c r="P255" s="20"/>
      <c r="Q255" s="20"/>
      <c r="R255" s="20"/>
      <c r="S255" s="20"/>
      <c r="T255" s="20"/>
      <c r="U255" s="20"/>
      <c r="V255" s="20"/>
      <c r="W255" s="20"/>
      <c r="X255" s="20"/>
      <c r="Y255" s="20"/>
      <c r="Z255" s="21"/>
      <c r="AA255" s="22"/>
      <c r="AB255" s="22"/>
    </row>
    <row r="256" spans="1:28" ht="15.75" customHeight="1" x14ac:dyDescent="0.25">
      <c r="A256" s="29"/>
      <c r="B256" s="30"/>
      <c r="C256" s="31"/>
      <c r="D256" s="31"/>
      <c r="E256" s="30"/>
      <c r="F256" s="30"/>
      <c r="G256" s="33"/>
      <c r="H256" s="30"/>
      <c r="I256" s="30"/>
      <c r="J256" s="30"/>
      <c r="K256" s="34"/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0"/>
      <c r="W256" s="20"/>
      <c r="X256" s="20"/>
      <c r="Y256" s="20"/>
      <c r="Z256" s="21"/>
      <c r="AA256" s="22"/>
      <c r="AB256" s="22"/>
    </row>
    <row r="257" spans="1:28" ht="15.75" customHeight="1" x14ac:dyDescent="0.25">
      <c r="A257" s="29"/>
      <c r="B257" s="30"/>
      <c r="C257" s="31"/>
      <c r="D257" s="31"/>
      <c r="E257" s="30"/>
      <c r="F257" s="30"/>
      <c r="G257" s="33"/>
      <c r="H257" s="30"/>
      <c r="I257" s="30"/>
      <c r="J257" s="30"/>
      <c r="K257" s="34"/>
      <c r="L257" s="20"/>
      <c r="M257" s="20"/>
      <c r="N257" s="20"/>
      <c r="O257" s="20"/>
      <c r="P257" s="20"/>
      <c r="Q257" s="20"/>
      <c r="R257" s="20"/>
      <c r="S257" s="20"/>
      <c r="T257" s="20"/>
      <c r="U257" s="20"/>
      <c r="V257" s="20"/>
      <c r="W257" s="20"/>
      <c r="X257" s="20"/>
      <c r="Y257" s="20"/>
      <c r="Z257" s="21"/>
      <c r="AA257" s="22"/>
      <c r="AB257" s="22"/>
    </row>
    <row r="258" spans="1:28" ht="15.75" customHeight="1" x14ac:dyDescent="0.25">
      <c r="A258" s="29"/>
      <c r="B258" s="30"/>
      <c r="C258" s="31"/>
      <c r="D258" s="31"/>
      <c r="E258" s="30"/>
      <c r="F258" s="30"/>
      <c r="G258" s="33"/>
      <c r="H258" s="30"/>
      <c r="I258" s="30"/>
      <c r="J258" s="30"/>
      <c r="K258" s="34"/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0"/>
      <c r="W258" s="20"/>
      <c r="X258" s="20"/>
      <c r="Y258" s="20"/>
      <c r="Z258" s="21"/>
      <c r="AA258" s="22"/>
      <c r="AB258" s="22"/>
    </row>
    <row r="259" spans="1:28" ht="15.75" customHeight="1" x14ac:dyDescent="0.25">
      <c r="A259" s="29"/>
      <c r="B259" s="30"/>
      <c r="C259" s="31"/>
      <c r="D259" s="31"/>
      <c r="E259" s="30"/>
      <c r="F259" s="30"/>
      <c r="G259" s="33"/>
      <c r="H259" s="30"/>
      <c r="I259" s="30"/>
      <c r="J259" s="30"/>
      <c r="K259" s="34"/>
      <c r="L259" s="20"/>
      <c r="M259" s="20"/>
      <c r="N259" s="20"/>
      <c r="O259" s="20"/>
      <c r="P259" s="20"/>
      <c r="Q259" s="20"/>
      <c r="R259" s="20"/>
      <c r="S259" s="20"/>
      <c r="T259" s="20"/>
      <c r="U259" s="20"/>
      <c r="V259" s="20"/>
      <c r="W259" s="20"/>
      <c r="X259" s="20"/>
      <c r="Y259" s="20"/>
      <c r="Z259" s="21"/>
      <c r="AA259" s="22"/>
      <c r="AB259" s="22"/>
    </row>
    <row r="260" spans="1:28" ht="15.75" customHeight="1" x14ac:dyDescent="0.25">
      <c r="A260" s="29"/>
      <c r="B260" s="30"/>
      <c r="C260" s="31"/>
      <c r="D260" s="31"/>
      <c r="E260" s="30"/>
      <c r="F260" s="30"/>
      <c r="G260" s="33"/>
      <c r="H260" s="30"/>
      <c r="I260" s="30"/>
      <c r="J260" s="30"/>
      <c r="K260" s="34"/>
      <c r="L260" s="20"/>
      <c r="M260" s="20"/>
      <c r="N260" s="20"/>
      <c r="O260" s="20"/>
      <c r="P260" s="20"/>
      <c r="Q260" s="20"/>
      <c r="R260" s="20"/>
      <c r="S260" s="20"/>
      <c r="T260" s="20"/>
      <c r="U260" s="20"/>
      <c r="V260" s="20"/>
      <c r="W260" s="20"/>
      <c r="X260" s="20"/>
      <c r="Y260" s="20"/>
      <c r="Z260" s="21"/>
      <c r="AA260" s="22"/>
      <c r="AB260" s="22"/>
    </row>
    <row r="261" spans="1:28" ht="15.75" customHeight="1" x14ac:dyDescent="0.25">
      <c r="A261" s="29"/>
      <c r="B261" s="30"/>
      <c r="C261" s="31"/>
      <c r="D261" s="31"/>
      <c r="E261" s="30"/>
      <c r="F261" s="30"/>
      <c r="G261" s="33"/>
      <c r="H261" s="30"/>
      <c r="I261" s="30"/>
      <c r="J261" s="30"/>
      <c r="K261" s="34"/>
      <c r="L261" s="20"/>
      <c r="M261" s="20"/>
      <c r="N261" s="20"/>
      <c r="O261" s="20"/>
      <c r="P261" s="20"/>
      <c r="Q261" s="20"/>
      <c r="R261" s="20"/>
      <c r="S261" s="20"/>
      <c r="T261" s="20"/>
      <c r="U261" s="20"/>
      <c r="V261" s="20"/>
      <c r="W261" s="20"/>
      <c r="X261" s="20"/>
      <c r="Y261" s="20"/>
      <c r="Z261" s="21"/>
      <c r="AA261" s="22"/>
      <c r="AB261" s="22"/>
    </row>
    <row r="262" spans="1:28" ht="15.75" customHeight="1" x14ac:dyDescent="0.25">
      <c r="A262" s="29"/>
      <c r="B262" s="30"/>
      <c r="C262" s="31"/>
      <c r="D262" s="31"/>
      <c r="E262" s="30"/>
      <c r="F262" s="30"/>
      <c r="G262" s="33"/>
      <c r="H262" s="30"/>
      <c r="I262" s="30"/>
      <c r="J262" s="30"/>
      <c r="K262" s="34"/>
      <c r="L262" s="20"/>
      <c r="M262" s="20"/>
      <c r="N262" s="20"/>
      <c r="O262" s="20"/>
      <c r="P262" s="20"/>
      <c r="Q262" s="20"/>
      <c r="R262" s="20"/>
      <c r="S262" s="20"/>
      <c r="T262" s="20"/>
      <c r="U262" s="20"/>
      <c r="V262" s="20"/>
      <c r="W262" s="20"/>
      <c r="X262" s="20"/>
      <c r="Y262" s="20"/>
      <c r="Z262" s="21"/>
      <c r="AA262" s="22"/>
      <c r="AB262" s="22"/>
    </row>
    <row r="263" spans="1:28" ht="15.75" customHeight="1" x14ac:dyDescent="0.25">
      <c r="A263" s="29"/>
      <c r="B263" s="30"/>
      <c r="C263" s="31"/>
      <c r="D263" s="31"/>
      <c r="E263" s="30"/>
      <c r="F263" s="30"/>
      <c r="G263" s="33"/>
      <c r="H263" s="30"/>
      <c r="I263" s="30"/>
      <c r="J263" s="30"/>
      <c r="K263" s="34"/>
      <c r="L263" s="20"/>
      <c r="M263" s="20"/>
      <c r="N263" s="20"/>
      <c r="O263" s="20"/>
      <c r="P263" s="20"/>
      <c r="Q263" s="20"/>
      <c r="R263" s="20"/>
      <c r="S263" s="20"/>
      <c r="T263" s="20"/>
      <c r="U263" s="20"/>
      <c r="V263" s="20"/>
      <c r="W263" s="20"/>
      <c r="X263" s="20"/>
      <c r="Y263" s="20"/>
      <c r="Z263" s="21"/>
      <c r="AA263" s="22"/>
      <c r="AB263" s="22"/>
    </row>
    <row r="264" spans="1:28" ht="15.75" customHeight="1" x14ac:dyDescent="0.25">
      <c r="A264" s="29"/>
      <c r="B264" s="30"/>
      <c r="C264" s="31"/>
      <c r="D264" s="31"/>
      <c r="E264" s="30"/>
      <c r="F264" s="30"/>
      <c r="G264" s="33"/>
      <c r="H264" s="30"/>
      <c r="I264" s="30"/>
      <c r="J264" s="30"/>
      <c r="K264" s="34"/>
      <c r="L264" s="20"/>
      <c r="M264" s="20"/>
      <c r="N264" s="20"/>
      <c r="O264" s="20"/>
      <c r="P264" s="20"/>
      <c r="Q264" s="20"/>
      <c r="R264" s="20"/>
      <c r="S264" s="20"/>
      <c r="T264" s="20"/>
      <c r="U264" s="20"/>
      <c r="V264" s="20"/>
      <c r="W264" s="20"/>
      <c r="X264" s="20"/>
      <c r="Y264" s="20"/>
      <c r="Z264" s="21"/>
      <c r="AA264" s="22"/>
      <c r="AB264" s="22"/>
    </row>
    <row r="265" spans="1:28" ht="15.75" customHeight="1" x14ac:dyDescent="0.25">
      <c r="A265" s="29"/>
      <c r="B265" s="30"/>
      <c r="C265" s="31"/>
      <c r="D265" s="31"/>
      <c r="E265" s="30"/>
      <c r="F265" s="30"/>
      <c r="G265" s="33"/>
      <c r="H265" s="30"/>
      <c r="I265" s="30"/>
      <c r="J265" s="30"/>
      <c r="K265" s="34"/>
      <c r="L265" s="20"/>
      <c r="M265" s="20"/>
      <c r="N265" s="20"/>
      <c r="O265" s="20"/>
      <c r="P265" s="20"/>
      <c r="Q265" s="20"/>
      <c r="R265" s="20"/>
      <c r="S265" s="20"/>
      <c r="T265" s="20"/>
      <c r="U265" s="20"/>
      <c r="V265" s="20"/>
      <c r="W265" s="20"/>
      <c r="X265" s="20"/>
      <c r="Y265" s="20"/>
      <c r="Z265" s="21"/>
      <c r="AA265" s="22"/>
      <c r="AB265" s="22"/>
    </row>
    <row r="266" spans="1:28" ht="15.75" customHeight="1" x14ac:dyDescent="0.25">
      <c r="A266" s="29"/>
      <c r="B266" s="30"/>
      <c r="C266" s="31"/>
      <c r="D266" s="31"/>
      <c r="E266" s="30"/>
      <c r="F266" s="30"/>
      <c r="G266" s="33"/>
      <c r="H266" s="30"/>
      <c r="I266" s="30"/>
      <c r="J266" s="30"/>
      <c r="K266" s="34"/>
      <c r="L266" s="20"/>
      <c r="M266" s="20"/>
      <c r="N266" s="20"/>
      <c r="O266" s="20"/>
      <c r="P266" s="20"/>
      <c r="Q266" s="20"/>
      <c r="R266" s="20"/>
      <c r="S266" s="20"/>
      <c r="T266" s="20"/>
      <c r="U266" s="20"/>
      <c r="V266" s="20"/>
      <c r="W266" s="20"/>
      <c r="X266" s="20"/>
      <c r="Y266" s="20"/>
      <c r="Z266" s="21"/>
      <c r="AA266" s="22"/>
      <c r="AB266" s="22"/>
    </row>
    <row r="267" spans="1:28" ht="15.75" customHeight="1" x14ac:dyDescent="0.25">
      <c r="A267" s="29"/>
      <c r="B267" s="30"/>
      <c r="C267" s="31"/>
      <c r="D267" s="31"/>
      <c r="E267" s="30"/>
      <c r="F267" s="30"/>
      <c r="G267" s="33"/>
      <c r="H267" s="30"/>
      <c r="I267" s="30"/>
      <c r="J267" s="30"/>
      <c r="K267" s="34"/>
      <c r="L267" s="20"/>
      <c r="M267" s="20"/>
      <c r="N267" s="20"/>
      <c r="O267" s="20"/>
      <c r="P267" s="20"/>
      <c r="Q267" s="20"/>
      <c r="R267" s="20"/>
      <c r="S267" s="20"/>
      <c r="T267" s="20"/>
      <c r="U267" s="20"/>
      <c r="V267" s="20"/>
      <c r="W267" s="20"/>
      <c r="X267" s="20"/>
      <c r="Y267" s="20"/>
      <c r="Z267" s="21"/>
      <c r="AA267" s="22"/>
      <c r="AB267" s="22"/>
    </row>
    <row r="268" spans="1:28" ht="15.75" customHeight="1" x14ac:dyDescent="0.25">
      <c r="A268" s="29"/>
      <c r="B268" s="30"/>
      <c r="C268" s="31"/>
      <c r="D268" s="31"/>
      <c r="E268" s="30"/>
      <c r="F268" s="30"/>
      <c r="G268" s="33"/>
      <c r="H268" s="30"/>
      <c r="I268" s="30"/>
      <c r="J268" s="30"/>
      <c r="K268" s="34"/>
      <c r="L268" s="20"/>
      <c r="M268" s="20"/>
      <c r="N268" s="20"/>
      <c r="O268" s="20"/>
      <c r="P268" s="20"/>
      <c r="Q268" s="20"/>
      <c r="R268" s="20"/>
      <c r="S268" s="20"/>
      <c r="T268" s="20"/>
      <c r="U268" s="20"/>
      <c r="V268" s="20"/>
      <c r="W268" s="20"/>
      <c r="X268" s="20"/>
      <c r="Y268" s="20"/>
      <c r="Z268" s="21"/>
      <c r="AA268" s="22"/>
      <c r="AB268" s="22"/>
    </row>
    <row r="269" spans="1:28" ht="15.75" customHeight="1" x14ac:dyDescent="0.25">
      <c r="A269" s="29"/>
      <c r="B269" s="30"/>
      <c r="C269" s="31"/>
      <c r="D269" s="31"/>
      <c r="E269" s="30"/>
      <c r="F269" s="30"/>
      <c r="G269" s="33"/>
      <c r="H269" s="30"/>
      <c r="I269" s="30"/>
      <c r="J269" s="30"/>
      <c r="K269" s="34"/>
      <c r="L269" s="20"/>
      <c r="M269" s="20"/>
      <c r="N269" s="20"/>
      <c r="O269" s="20"/>
      <c r="P269" s="20"/>
      <c r="Q269" s="20"/>
      <c r="R269" s="20"/>
      <c r="S269" s="20"/>
      <c r="T269" s="20"/>
      <c r="U269" s="20"/>
      <c r="V269" s="20"/>
      <c r="W269" s="20"/>
      <c r="X269" s="20"/>
      <c r="Y269" s="20"/>
      <c r="Z269" s="21"/>
      <c r="AA269" s="22"/>
      <c r="AB269" s="22"/>
    </row>
    <row r="270" spans="1:28" ht="15.75" customHeight="1" x14ac:dyDescent="0.25">
      <c r="A270" s="29"/>
      <c r="B270" s="30"/>
      <c r="C270" s="31"/>
      <c r="D270" s="31"/>
      <c r="E270" s="30"/>
      <c r="F270" s="30"/>
      <c r="G270" s="33"/>
      <c r="H270" s="30"/>
      <c r="I270" s="30"/>
      <c r="J270" s="30"/>
      <c r="K270" s="34"/>
      <c r="L270" s="20"/>
      <c r="M270" s="20"/>
      <c r="N270" s="20"/>
      <c r="O270" s="20"/>
      <c r="P270" s="20"/>
      <c r="Q270" s="20"/>
      <c r="R270" s="20"/>
      <c r="S270" s="20"/>
      <c r="T270" s="20"/>
      <c r="U270" s="20"/>
      <c r="V270" s="20"/>
      <c r="W270" s="20"/>
      <c r="X270" s="20"/>
      <c r="Y270" s="20"/>
      <c r="Z270" s="21"/>
      <c r="AA270" s="22"/>
      <c r="AB270" s="22"/>
    </row>
    <row r="271" spans="1:28" ht="15.75" customHeight="1" x14ac:dyDescent="0.25">
      <c r="A271" s="36"/>
      <c r="B271" s="37"/>
      <c r="C271" s="38"/>
      <c r="D271" s="38"/>
      <c r="E271" s="37"/>
      <c r="F271" s="37"/>
      <c r="G271" s="40"/>
      <c r="H271" s="37"/>
      <c r="I271" s="37"/>
      <c r="J271" s="37"/>
      <c r="K271" s="41"/>
      <c r="L271" s="20"/>
      <c r="M271" s="20"/>
      <c r="N271" s="20"/>
      <c r="O271" s="20"/>
      <c r="P271" s="20"/>
      <c r="Q271" s="20"/>
      <c r="R271" s="20"/>
      <c r="S271" s="20"/>
      <c r="T271" s="20"/>
      <c r="U271" s="20"/>
      <c r="V271" s="20"/>
      <c r="W271" s="20"/>
      <c r="X271" s="20"/>
      <c r="Y271" s="20"/>
      <c r="Z271" s="21"/>
      <c r="AA271" s="22"/>
      <c r="AB271" s="22"/>
    </row>
    <row r="272" spans="1:28" ht="15.75" customHeight="1" x14ac:dyDescent="0.25">
      <c r="A272" s="42"/>
      <c r="B272" s="42"/>
      <c r="C272" s="43"/>
      <c r="D272" s="43"/>
      <c r="E272" s="42"/>
      <c r="F272" s="42"/>
      <c r="G272" s="44"/>
      <c r="H272" s="42"/>
      <c r="I272" s="42"/>
      <c r="J272" s="42"/>
      <c r="K272" s="42"/>
      <c r="L272" s="20"/>
      <c r="M272" s="20"/>
      <c r="N272" s="20"/>
      <c r="O272" s="20"/>
      <c r="P272" s="20"/>
      <c r="Q272" s="20"/>
      <c r="R272" s="20"/>
      <c r="S272" s="20"/>
      <c r="T272" s="20"/>
      <c r="U272" s="20"/>
      <c r="V272" s="20"/>
      <c r="W272" s="20"/>
      <c r="X272" s="20"/>
      <c r="Y272" s="20"/>
      <c r="Z272" s="21"/>
      <c r="AA272" s="22"/>
      <c r="AB272" s="22"/>
    </row>
    <row r="273" spans="1:28" ht="15.75" customHeight="1" x14ac:dyDescent="0.25">
      <c r="A273" s="42"/>
      <c r="B273" s="42"/>
      <c r="C273" s="43"/>
      <c r="D273" s="43"/>
      <c r="E273" s="42"/>
      <c r="F273" s="42"/>
      <c r="G273" s="44"/>
      <c r="H273" s="42"/>
      <c r="I273" s="42"/>
      <c r="J273" s="42"/>
      <c r="K273" s="42"/>
      <c r="L273" s="20"/>
      <c r="M273" s="20"/>
      <c r="N273" s="20"/>
      <c r="O273" s="20"/>
      <c r="P273" s="20"/>
      <c r="Q273" s="20"/>
      <c r="R273" s="20"/>
      <c r="S273" s="20"/>
      <c r="T273" s="20"/>
      <c r="U273" s="20"/>
      <c r="V273" s="20"/>
      <c r="W273" s="20"/>
      <c r="X273" s="20"/>
      <c r="Y273" s="20"/>
      <c r="Z273" s="21"/>
      <c r="AA273" s="22"/>
      <c r="AB273" s="22"/>
    </row>
    <row r="274" spans="1:28" ht="15.75" customHeight="1" x14ac:dyDescent="0.25">
      <c r="A274" s="42"/>
      <c r="B274" s="42"/>
      <c r="C274" s="43"/>
      <c r="D274" s="43"/>
      <c r="E274" s="42"/>
      <c r="F274" s="42"/>
      <c r="G274" s="44"/>
      <c r="H274" s="42"/>
      <c r="I274" s="42"/>
      <c r="J274" s="42"/>
      <c r="K274" s="42"/>
      <c r="L274" s="20"/>
      <c r="M274" s="20"/>
      <c r="N274" s="20"/>
      <c r="O274" s="20"/>
      <c r="P274" s="20"/>
      <c r="Q274" s="20"/>
      <c r="R274" s="20"/>
      <c r="S274" s="20"/>
      <c r="T274" s="20"/>
      <c r="U274" s="20"/>
      <c r="V274" s="20"/>
      <c r="W274" s="20"/>
      <c r="X274" s="20"/>
      <c r="Y274" s="20"/>
      <c r="Z274" s="21"/>
      <c r="AA274" s="22"/>
      <c r="AB274" s="22"/>
    </row>
    <row r="275" spans="1:28" ht="15.75" customHeight="1" x14ac:dyDescent="0.25">
      <c r="A275" s="42"/>
      <c r="B275" s="42"/>
      <c r="C275" s="43"/>
      <c r="D275" s="43"/>
      <c r="E275" s="42"/>
      <c r="F275" s="42"/>
      <c r="G275" s="44"/>
      <c r="H275" s="42"/>
      <c r="I275" s="42"/>
      <c r="J275" s="42"/>
      <c r="K275" s="42"/>
      <c r="L275" s="20"/>
      <c r="M275" s="20"/>
      <c r="N275" s="20"/>
      <c r="O275" s="20"/>
      <c r="P275" s="20"/>
      <c r="Q275" s="20"/>
      <c r="R275" s="20"/>
      <c r="S275" s="20"/>
      <c r="T275" s="20"/>
      <c r="U275" s="20"/>
      <c r="V275" s="20"/>
      <c r="W275" s="20"/>
      <c r="X275" s="20"/>
      <c r="Y275" s="20"/>
      <c r="Z275" s="21"/>
      <c r="AA275" s="22"/>
      <c r="AB275" s="22"/>
    </row>
    <row r="276" spans="1:28" ht="15.75" customHeight="1" x14ac:dyDescent="0.25">
      <c r="A276" s="42"/>
      <c r="B276" s="42"/>
      <c r="C276" s="43"/>
      <c r="D276" s="43"/>
      <c r="E276" s="42"/>
      <c r="F276" s="42"/>
      <c r="G276" s="44"/>
      <c r="H276" s="42"/>
      <c r="I276" s="42"/>
      <c r="J276" s="42"/>
      <c r="K276" s="42"/>
      <c r="L276" s="20"/>
      <c r="M276" s="20"/>
      <c r="N276" s="20"/>
      <c r="O276" s="20"/>
      <c r="P276" s="20"/>
      <c r="Q276" s="20"/>
      <c r="R276" s="20"/>
      <c r="S276" s="20"/>
      <c r="T276" s="20"/>
      <c r="U276" s="20"/>
      <c r="V276" s="20"/>
      <c r="W276" s="20"/>
      <c r="X276" s="20"/>
      <c r="Y276" s="20"/>
      <c r="Z276" s="21"/>
      <c r="AA276" s="22"/>
      <c r="AB276" s="22"/>
    </row>
    <row r="277" spans="1:28" ht="15.75" customHeight="1" x14ac:dyDescent="0.25">
      <c r="A277" s="42"/>
      <c r="B277" s="42"/>
      <c r="C277" s="43"/>
      <c r="D277" s="43"/>
      <c r="E277" s="42"/>
      <c r="F277" s="42"/>
      <c r="G277" s="44"/>
      <c r="H277" s="42"/>
      <c r="I277" s="42"/>
      <c r="J277" s="42"/>
      <c r="K277" s="42"/>
      <c r="L277" s="20"/>
      <c r="M277" s="20"/>
      <c r="N277" s="20"/>
      <c r="O277" s="20"/>
      <c r="P277" s="20"/>
      <c r="Q277" s="20"/>
      <c r="R277" s="20"/>
      <c r="S277" s="20"/>
      <c r="T277" s="20"/>
      <c r="U277" s="20"/>
      <c r="V277" s="20"/>
      <c r="W277" s="20"/>
      <c r="X277" s="20"/>
      <c r="Y277" s="20"/>
      <c r="Z277" s="21"/>
      <c r="AA277" s="22"/>
      <c r="AB277" s="22"/>
    </row>
    <row r="278" spans="1:28" ht="15.75" customHeight="1" x14ac:dyDescent="0.25">
      <c r="A278" s="42"/>
      <c r="B278" s="42"/>
      <c r="C278" s="43"/>
      <c r="D278" s="43"/>
      <c r="E278" s="42"/>
      <c r="F278" s="42"/>
      <c r="G278" s="44"/>
      <c r="H278" s="42"/>
      <c r="I278" s="42"/>
      <c r="J278" s="42"/>
      <c r="K278" s="42"/>
      <c r="L278" s="20"/>
      <c r="M278" s="20"/>
      <c r="N278" s="20"/>
      <c r="O278" s="20"/>
      <c r="P278" s="20"/>
      <c r="Q278" s="20"/>
      <c r="R278" s="20"/>
      <c r="S278" s="20"/>
      <c r="T278" s="20"/>
      <c r="U278" s="20"/>
      <c r="V278" s="20"/>
      <c r="W278" s="20"/>
      <c r="X278" s="20"/>
      <c r="Y278" s="20"/>
      <c r="Z278" s="21"/>
      <c r="AA278" s="22"/>
      <c r="AB278" s="22"/>
    </row>
    <row r="279" spans="1:28" ht="15.75" customHeight="1" x14ac:dyDescent="0.25">
      <c r="A279" s="42"/>
      <c r="B279" s="42"/>
      <c r="C279" s="43"/>
      <c r="D279" s="43"/>
      <c r="E279" s="42"/>
      <c r="F279" s="42"/>
      <c r="G279" s="44"/>
      <c r="H279" s="42"/>
      <c r="I279" s="42"/>
      <c r="J279" s="42"/>
      <c r="K279" s="42"/>
      <c r="L279" s="20"/>
      <c r="M279" s="20"/>
      <c r="N279" s="20"/>
      <c r="O279" s="20"/>
      <c r="P279" s="20"/>
      <c r="Q279" s="20"/>
      <c r="R279" s="20"/>
      <c r="S279" s="20"/>
      <c r="T279" s="20"/>
      <c r="U279" s="20"/>
      <c r="V279" s="20"/>
      <c r="W279" s="20"/>
      <c r="X279" s="20"/>
      <c r="Y279" s="20"/>
      <c r="Z279" s="21"/>
      <c r="AA279" s="22"/>
      <c r="AB279" s="22"/>
    </row>
    <row r="280" spans="1:28" ht="15.75" customHeight="1" x14ac:dyDescent="0.25">
      <c r="A280" s="42"/>
      <c r="B280" s="42"/>
      <c r="C280" s="43"/>
      <c r="D280" s="43"/>
      <c r="E280" s="42"/>
      <c r="F280" s="42"/>
      <c r="G280" s="44"/>
      <c r="H280" s="42"/>
      <c r="I280" s="42"/>
      <c r="J280" s="42"/>
      <c r="K280" s="42"/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0"/>
      <c r="W280" s="20"/>
      <c r="X280" s="20"/>
      <c r="Y280" s="20"/>
      <c r="Z280" s="21"/>
      <c r="AA280" s="22"/>
      <c r="AB280" s="22"/>
    </row>
    <row r="281" spans="1:28" ht="15.75" customHeight="1" x14ac:dyDescent="0.25">
      <c r="A281" s="42"/>
      <c r="B281" s="42"/>
      <c r="C281" s="43"/>
      <c r="D281" s="43"/>
      <c r="E281" s="42"/>
      <c r="F281" s="42"/>
      <c r="G281" s="44"/>
      <c r="H281" s="42"/>
      <c r="I281" s="42"/>
      <c r="J281" s="42"/>
      <c r="K281" s="42"/>
      <c r="L281" s="20"/>
      <c r="M281" s="20"/>
      <c r="N281" s="20"/>
      <c r="O281" s="20"/>
      <c r="P281" s="20"/>
      <c r="Q281" s="20"/>
      <c r="R281" s="20"/>
      <c r="S281" s="20"/>
      <c r="T281" s="20"/>
      <c r="U281" s="20"/>
      <c r="V281" s="20"/>
      <c r="W281" s="20"/>
      <c r="X281" s="20"/>
      <c r="Y281" s="20"/>
      <c r="Z281" s="21"/>
      <c r="AA281" s="22"/>
      <c r="AB281" s="22"/>
    </row>
    <row r="282" spans="1:28" ht="15.75" customHeight="1" x14ac:dyDescent="0.25">
      <c r="A282" s="42"/>
      <c r="B282" s="42"/>
      <c r="C282" s="43"/>
      <c r="D282" s="43"/>
      <c r="E282" s="42"/>
      <c r="F282" s="42"/>
      <c r="G282" s="44"/>
      <c r="H282" s="42"/>
      <c r="I282" s="42"/>
      <c r="J282" s="42"/>
      <c r="K282" s="42"/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0"/>
      <c r="W282" s="20"/>
      <c r="X282" s="20"/>
      <c r="Y282" s="20"/>
      <c r="Z282" s="21"/>
      <c r="AA282" s="22"/>
      <c r="AB282" s="22"/>
    </row>
    <row r="283" spans="1:28" ht="15.75" customHeight="1" x14ac:dyDescent="0.25">
      <c r="A283" s="42"/>
      <c r="B283" s="42"/>
      <c r="C283" s="43"/>
      <c r="D283" s="43"/>
      <c r="E283" s="42"/>
      <c r="F283" s="42"/>
      <c r="G283" s="44"/>
      <c r="H283" s="42"/>
      <c r="I283" s="42"/>
      <c r="J283" s="42"/>
      <c r="K283" s="42"/>
      <c r="L283" s="20"/>
      <c r="M283" s="20"/>
      <c r="N283" s="20"/>
      <c r="O283" s="20"/>
      <c r="P283" s="20"/>
      <c r="Q283" s="20"/>
      <c r="R283" s="20"/>
      <c r="S283" s="20"/>
      <c r="T283" s="20"/>
      <c r="U283" s="20"/>
      <c r="V283" s="20"/>
      <c r="W283" s="20"/>
      <c r="X283" s="20"/>
      <c r="Y283" s="20"/>
      <c r="Z283" s="21"/>
      <c r="AA283" s="22"/>
      <c r="AB283" s="22"/>
    </row>
    <row r="284" spans="1:28" ht="15.75" customHeight="1" x14ac:dyDescent="0.25">
      <c r="A284" s="42"/>
      <c r="B284" s="42"/>
      <c r="C284" s="43"/>
      <c r="D284" s="43"/>
      <c r="E284" s="42"/>
      <c r="F284" s="42"/>
      <c r="G284" s="44"/>
      <c r="H284" s="42"/>
      <c r="I284" s="42"/>
      <c r="J284" s="42"/>
      <c r="K284" s="42"/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0"/>
      <c r="W284" s="20"/>
      <c r="X284" s="20"/>
      <c r="Y284" s="20"/>
      <c r="Z284" s="21"/>
      <c r="AA284" s="22"/>
      <c r="AB284" s="22"/>
    </row>
    <row r="285" spans="1:28" ht="15.75" customHeight="1" x14ac:dyDescent="0.25">
      <c r="A285" s="42"/>
      <c r="B285" s="42"/>
      <c r="C285" s="43"/>
      <c r="D285" s="43"/>
      <c r="E285" s="42"/>
      <c r="F285" s="42"/>
      <c r="G285" s="44"/>
      <c r="H285" s="42"/>
      <c r="I285" s="42"/>
      <c r="J285" s="42"/>
      <c r="K285" s="42"/>
      <c r="L285" s="20"/>
      <c r="M285" s="20"/>
      <c r="N285" s="20"/>
      <c r="O285" s="20"/>
      <c r="P285" s="20"/>
      <c r="Q285" s="20"/>
      <c r="R285" s="20"/>
      <c r="S285" s="20"/>
      <c r="T285" s="20"/>
      <c r="U285" s="20"/>
      <c r="V285" s="20"/>
      <c r="W285" s="20"/>
      <c r="X285" s="20"/>
      <c r="Y285" s="20"/>
      <c r="Z285" s="21"/>
      <c r="AA285" s="22"/>
      <c r="AB285" s="22"/>
    </row>
    <row r="286" spans="1:28" ht="15.75" customHeight="1" x14ac:dyDescent="0.25">
      <c r="A286" s="42"/>
      <c r="B286" s="42"/>
      <c r="C286" s="43"/>
      <c r="D286" s="43"/>
      <c r="E286" s="42"/>
      <c r="F286" s="42"/>
      <c r="G286" s="44"/>
      <c r="H286" s="42"/>
      <c r="I286" s="42"/>
      <c r="J286" s="42"/>
      <c r="K286" s="42"/>
      <c r="L286" s="20"/>
      <c r="M286" s="20"/>
      <c r="N286" s="20"/>
      <c r="O286" s="20"/>
      <c r="P286" s="20"/>
      <c r="Q286" s="20"/>
      <c r="R286" s="20"/>
      <c r="S286" s="20"/>
      <c r="T286" s="20"/>
      <c r="U286" s="20"/>
      <c r="V286" s="20"/>
      <c r="W286" s="20"/>
      <c r="X286" s="20"/>
      <c r="Y286" s="20"/>
      <c r="Z286" s="21"/>
      <c r="AA286" s="22"/>
      <c r="AB286" s="22"/>
    </row>
    <row r="287" spans="1:28" ht="15.75" customHeight="1" x14ac:dyDescent="0.25">
      <c r="A287" s="42"/>
      <c r="B287" s="42"/>
      <c r="C287" s="43"/>
      <c r="D287" s="43"/>
      <c r="E287" s="42"/>
      <c r="F287" s="42"/>
      <c r="G287" s="44"/>
      <c r="H287" s="42"/>
      <c r="I287" s="42"/>
      <c r="J287" s="42"/>
      <c r="K287" s="42"/>
      <c r="L287" s="20"/>
      <c r="M287" s="20"/>
      <c r="N287" s="20"/>
      <c r="O287" s="20"/>
      <c r="P287" s="20"/>
      <c r="Q287" s="20"/>
      <c r="R287" s="20"/>
      <c r="S287" s="20"/>
      <c r="T287" s="20"/>
      <c r="U287" s="20"/>
      <c r="V287" s="20"/>
      <c r="W287" s="20"/>
      <c r="X287" s="20"/>
      <c r="Y287" s="20"/>
      <c r="Z287" s="21"/>
      <c r="AA287" s="22"/>
      <c r="AB287" s="22"/>
    </row>
    <row r="288" spans="1:28" ht="15.75" customHeight="1" x14ac:dyDescent="0.25">
      <c r="A288" s="42"/>
      <c r="B288" s="42"/>
      <c r="C288" s="43"/>
      <c r="D288" s="43"/>
      <c r="E288" s="42"/>
      <c r="F288" s="42"/>
      <c r="G288" s="44"/>
      <c r="H288" s="42"/>
      <c r="I288" s="42"/>
      <c r="J288" s="42"/>
      <c r="K288" s="42"/>
      <c r="L288" s="20"/>
      <c r="M288" s="20"/>
      <c r="N288" s="20"/>
      <c r="O288" s="20"/>
      <c r="P288" s="20"/>
      <c r="Q288" s="20"/>
      <c r="R288" s="20"/>
      <c r="S288" s="20"/>
      <c r="T288" s="20"/>
      <c r="U288" s="20"/>
      <c r="V288" s="20"/>
      <c r="W288" s="20"/>
      <c r="X288" s="20"/>
      <c r="Y288" s="20"/>
      <c r="Z288" s="21"/>
      <c r="AA288" s="22"/>
      <c r="AB288" s="22"/>
    </row>
    <row r="289" spans="1:28" ht="15.75" customHeight="1" x14ac:dyDescent="0.25">
      <c r="A289" s="42"/>
      <c r="B289" s="42"/>
      <c r="C289" s="43"/>
      <c r="D289" s="43"/>
      <c r="E289" s="42"/>
      <c r="F289" s="42"/>
      <c r="G289" s="44"/>
      <c r="H289" s="42"/>
      <c r="I289" s="42"/>
      <c r="J289" s="42"/>
      <c r="K289" s="42"/>
      <c r="L289" s="20"/>
      <c r="M289" s="20"/>
      <c r="N289" s="20"/>
      <c r="O289" s="20"/>
      <c r="P289" s="20"/>
      <c r="Q289" s="20"/>
      <c r="R289" s="20"/>
      <c r="S289" s="20"/>
      <c r="T289" s="20"/>
      <c r="U289" s="20"/>
      <c r="V289" s="20"/>
      <c r="W289" s="20"/>
      <c r="X289" s="20"/>
      <c r="Y289" s="20"/>
      <c r="Z289" s="21"/>
      <c r="AA289" s="22"/>
      <c r="AB289" s="22"/>
    </row>
    <row r="290" spans="1:28" ht="15.75" customHeight="1" x14ac:dyDescent="0.25">
      <c r="A290" s="42"/>
      <c r="B290" s="42"/>
      <c r="C290" s="43"/>
      <c r="D290" s="43"/>
      <c r="E290" s="42"/>
      <c r="F290" s="42"/>
      <c r="G290" s="44"/>
      <c r="H290" s="42"/>
      <c r="I290" s="42"/>
      <c r="J290" s="42"/>
      <c r="K290" s="42"/>
      <c r="L290" s="20"/>
      <c r="M290" s="20"/>
      <c r="N290" s="20"/>
      <c r="O290" s="20"/>
      <c r="P290" s="20"/>
      <c r="Q290" s="20"/>
      <c r="R290" s="20"/>
      <c r="S290" s="20"/>
      <c r="T290" s="20"/>
      <c r="U290" s="20"/>
      <c r="V290" s="20"/>
      <c r="W290" s="20"/>
      <c r="X290" s="20"/>
      <c r="Y290" s="20"/>
      <c r="Z290" s="21"/>
      <c r="AA290" s="22"/>
      <c r="AB290" s="22"/>
    </row>
    <row r="291" spans="1:28" ht="15.75" customHeight="1" x14ac:dyDescent="0.25">
      <c r="A291" s="42"/>
      <c r="B291" s="42"/>
      <c r="C291" s="43"/>
      <c r="D291" s="43"/>
      <c r="E291" s="42"/>
      <c r="F291" s="42"/>
      <c r="G291" s="44"/>
      <c r="H291" s="42"/>
      <c r="I291" s="42"/>
      <c r="J291" s="42"/>
      <c r="K291" s="42"/>
      <c r="L291" s="20"/>
      <c r="M291" s="20"/>
      <c r="N291" s="20"/>
      <c r="O291" s="20"/>
      <c r="P291" s="20"/>
      <c r="Q291" s="20"/>
      <c r="R291" s="20"/>
      <c r="S291" s="20"/>
      <c r="T291" s="20"/>
      <c r="U291" s="20"/>
      <c r="V291" s="20"/>
      <c r="W291" s="20"/>
      <c r="X291" s="20"/>
      <c r="Y291" s="20"/>
      <c r="Z291" s="21"/>
      <c r="AA291" s="22"/>
      <c r="AB291" s="22"/>
    </row>
    <row r="292" spans="1:28" ht="15.75" customHeight="1" x14ac:dyDescent="0.25">
      <c r="A292" s="42"/>
      <c r="B292" s="42"/>
      <c r="C292" s="43"/>
      <c r="D292" s="43"/>
      <c r="E292" s="42"/>
      <c r="F292" s="42"/>
      <c r="G292" s="44"/>
      <c r="H292" s="42"/>
      <c r="I292" s="42"/>
      <c r="J292" s="42"/>
      <c r="K292" s="42"/>
      <c r="L292" s="20"/>
      <c r="M292" s="20"/>
      <c r="N292" s="20"/>
      <c r="O292" s="20"/>
      <c r="P292" s="20"/>
      <c r="Q292" s="20"/>
      <c r="R292" s="20"/>
      <c r="S292" s="20"/>
      <c r="T292" s="20"/>
      <c r="U292" s="20"/>
      <c r="V292" s="20"/>
      <c r="W292" s="20"/>
      <c r="X292" s="20"/>
      <c r="Y292" s="20"/>
      <c r="Z292" s="21"/>
      <c r="AA292" s="22"/>
      <c r="AB292" s="22"/>
    </row>
    <row r="293" spans="1:28" ht="15.75" customHeight="1" x14ac:dyDescent="0.25">
      <c r="A293" s="42"/>
      <c r="B293" s="42"/>
      <c r="C293" s="43"/>
      <c r="D293" s="43"/>
      <c r="E293" s="42"/>
      <c r="F293" s="42"/>
      <c r="G293" s="44"/>
      <c r="H293" s="42"/>
      <c r="I293" s="42"/>
      <c r="J293" s="42"/>
      <c r="K293" s="42"/>
      <c r="L293" s="20"/>
      <c r="M293" s="20"/>
      <c r="N293" s="20"/>
      <c r="O293" s="20"/>
      <c r="P293" s="20"/>
      <c r="Q293" s="20"/>
      <c r="R293" s="20"/>
      <c r="S293" s="20"/>
      <c r="T293" s="20"/>
      <c r="U293" s="20"/>
      <c r="V293" s="20"/>
      <c r="W293" s="20"/>
      <c r="X293" s="20"/>
      <c r="Y293" s="20"/>
      <c r="Z293" s="21"/>
      <c r="AA293" s="22"/>
      <c r="AB293" s="22"/>
    </row>
    <row r="294" spans="1:28" ht="15.75" customHeight="1" x14ac:dyDescent="0.25">
      <c r="A294" s="42"/>
      <c r="B294" s="42"/>
      <c r="C294" s="43"/>
      <c r="D294" s="43"/>
      <c r="E294" s="42"/>
      <c r="F294" s="42"/>
      <c r="G294" s="44"/>
      <c r="H294" s="42"/>
      <c r="I294" s="42"/>
      <c r="J294" s="42"/>
      <c r="K294" s="42"/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0"/>
      <c r="W294" s="20"/>
      <c r="X294" s="20"/>
      <c r="Y294" s="20"/>
      <c r="Z294" s="21"/>
      <c r="AA294" s="22"/>
      <c r="AB294" s="22"/>
    </row>
    <row r="295" spans="1:28" ht="15.75" customHeight="1" x14ac:dyDescent="0.25">
      <c r="A295" s="42"/>
      <c r="B295" s="42"/>
      <c r="C295" s="43"/>
      <c r="D295" s="43"/>
      <c r="E295" s="42"/>
      <c r="F295" s="42"/>
      <c r="G295" s="44"/>
      <c r="H295" s="42"/>
      <c r="I295" s="42"/>
      <c r="J295" s="42"/>
      <c r="K295" s="42"/>
      <c r="L295" s="20"/>
      <c r="M295" s="20"/>
      <c r="N295" s="20"/>
      <c r="O295" s="20"/>
      <c r="P295" s="20"/>
      <c r="Q295" s="20"/>
      <c r="R295" s="20"/>
      <c r="S295" s="20"/>
      <c r="T295" s="20"/>
      <c r="U295" s="20"/>
      <c r="V295" s="20"/>
      <c r="W295" s="20"/>
      <c r="X295" s="20"/>
      <c r="Y295" s="20"/>
      <c r="Z295" s="21"/>
      <c r="AA295" s="22"/>
      <c r="AB295" s="22"/>
    </row>
    <row r="296" spans="1:28" ht="15.75" customHeight="1" x14ac:dyDescent="0.25">
      <c r="A296" s="42"/>
      <c r="B296" s="42"/>
      <c r="C296" s="43"/>
      <c r="D296" s="43"/>
      <c r="E296" s="42"/>
      <c r="F296" s="42"/>
      <c r="G296" s="44"/>
      <c r="H296" s="42"/>
      <c r="I296" s="42"/>
      <c r="J296" s="42"/>
      <c r="K296" s="42"/>
      <c r="L296" s="20"/>
      <c r="M296" s="20"/>
      <c r="N296" s="20"/>
      <c r="O296" s="20"/>
      <c r="P296" s="20"/>
      <c r="Q296" s="20"/>
      <c r="R296" s="20"/>
      <c r="S296" s="20"/>
      <c r="T296" s="20"/>
      <c r="U296" s="20"/>
      <c r="V296" s="20"/>
      <c r="W296" s="20"/>
      <c r="X296" s="20"/>
      <c r="Y296" s="20"/>
      <c r="Z296" s="21"/>
      <c r="AA296" s="22"/>
      <c r="AB296" s="22"/>
    </row>
    <row r="297" spans="1:28" ht="15.75" customHeight="1" x14ac:dyDescent="0.25">
      <c r="A297" s="42"/>
      <c r="B297" s="42"/>
      <c r="C297" s="43"/>
      <c r="D297" s="43"/>
      <c r="E297" s="42"/>
      <c r="F297" s="42"/>
      <c r="G297" s="44"/>
      <c r="H297" s="42"/>
      <c r="I297" s="42"/>
      <c r="J297" s="42"/>
      <c r="K297" s="42"/>
      <c r="L297" s="20"/>
      <c r="M297" s="20"/>
      <c r="N297" s="20"/>
      <c r="O297" s="20"/>
      <c r="P297" s="20"/>
      <c r="Q297" s="20"/>
      <c r="R297" s="20"/>
      <c r="S297" s="20"/>
      <c r="T297" s="20"/>
      <c r="U297" s="20"/>
      <c r="V297" s="20"/>
      <c r="W297" s="20"/>
      <c r="X297" s="20"/>
      <c r="Y297" s="20"/>
      <c r="Z297" s="21"/>
      <c r="AA297" s="22"/>
      <c r="AB297" s="22"/>
    </row>
    <row r="298" spans="1:28" ht="15.75" customHeight="1" x14ac:dyDescent="0.25">
      <c r="A298" s="42"/>
      <c r="B298" s="42"/>
      <c r="C298" s="43"/>
      <c r="D298" s="43"/>
      <c r="E298" s="42"/>
      <c r="F298" s="42"/>
      <c r="G298" s="44"/>
      <c r="H298" s="42"/>
      <c r="I298" s="42"/>
      <c r="J298" s="42"/>
      <c r="K298" s="42"/>
      <c r="L298" s="20"/>
      <c r="M298" s="20"/>
      <c r="N298" s="20"/>
      <c r="O298" s="20"/>
      <c r="P298" s="20"/>
      <c r="Q298" s="20"/>
      <c r="R298" s="20"/>
      <c r="S298" s="20"/>
      <c r="T298" s="20"/>
      <c r="U298" s="20"/>
      <c r="V298" s="20"/>
      <c r="W298" s="20"/>
      <c r="X298" s="20"/>
      <c r="Y298" s="20"/>
      <c r="Z298" s="21"/>
      <c r="AA298" s="22"/>
      <c r="AB298" s="22"/>
    </row>
    <row r="299" spans="1:28" ht="15.75" customHeight="1" x14ac:dyDescent="0.25">
      <c r="A299" s="42"/>
      <c r="B299" s="42"/>
      <c r="C299" s="43"/>
      <c r="D299" s="43"/>
      <c r="E299" s="42"/>
      <c r="F299" s="42"/>
      <c r="G299" s="44"/>
      <c r="H299" s="42"/>
      <c r="I299" s="42"/>
      <c r="J299" s="42"/>
      <c r="K299" s="42"/>
      <c r="L299" s="20"/>
      <c r="M299" s="20"/>
      <c r="N299" s="20"/>
      <c r="O299" s="20"/>
      <c r="P299" s="20"/>
      <c r="Q299" s="20"/>
      <c r="R299" s="20"/>
      <c r="S299" s="20"/>
      <c r="T299" s="20"/>
      <c r="U299" s="20"/>
      <c r="V299" s="20"/>
      <c r="W299" s="20"/>
      <c r="X299" s="20"/>
      <c r="Y299" s="20"/>
      <c r="Z299" s="21"/>
      <c r="AA299" s="22"/>
      <c r="AB299" s="22"/>
    </row>
    <row r="300" spans="1:28" ht="15.75" customHeight="1" x14ac:dyDescent="0.25">
      <c r="A300" s="42"/>
      <c r="B300" s="42"/>
      <c r="C300" s="43"/>
      <c r="D300" s="43"/>
      <c r="E300" s="42"/>
      <c r="F300" s="42"/>
      <c r="G300" s="44"/>
      <c r="H300" s="42"/>
      <c r="I300" s="42"/>
      <c r="J300" s="42"/>
      <c r="K300" s="42"/>
      <c r="L300" s="20"/>
      <c r="M300" s="20"/>
      <c r="N300" s="20"/>
      <c r="O300" s="20"/>
      <c r="P300" s="20"/>
      <c r="Q300" s="20"/>
      <c r="R300" s="20"/>
      <c r="S300" s="20"/>
      <c r="T300" s="20"/>
      <c r="U300" s="20"/>
      <c r="V300" s="20"/>
      <c r="W300" s="20"/>
      <c r="X300" s="20"/>
      <c r="Y300" s="20"/>
      <c r="Z300" s="21"/>
      <c r="AA300" s="22"/>
      <c r="AB300" s="22"/>
    </row>
    <row r="301" spans="1:28" ht="15.75" customHeight="1" x14ac:dyDescent="0.25">
      <c r="A301" s="42"/>
      <c r="B301" s="42"/>
      <c r="C301" s="43"/>
      <c r="D301" s="43"/>
      <c r="E301" s="42"/>
      <c r="F301" s="42"/>
      <c r="G301" s="44"/>
      <c r="H301" s="42"/>
      <c r="I301" s="42"/>
      <c r="J301" s="42"/>
      <c r="K301" s="42"/>
      <c r="L301" s="20"/>
      <c r="M301" s="20"/>
      <c r="N301" s="20"/>
      <c r="O301" s="20"/>
      <c r="P301" s="20"/>
      <c r="Q301" s="20"/>
      <c r="R301" s="20"/>
      <c r="S301" s="20"/>
      <c r="T301" s="20"/>
      <c r="U301" s="20"/>
      <c r="V301" s="20"/>
      <c r="W301" s="20"/>
      <c r="X301" s="20"/>
      <c r="Y301" s="20"/>
      <c r="Z301" s="21"/>
      <c r="AA301" s="22"/>
      <c r="AB301" s="22"/>
    </row>
    <row r="302" spans="1:28" ht="15.75" customHeight="1" x14ac:dyDescent="0.25">
      <c r="A302" s="42"/>
      <c r="B302" s="42"/>
      <c r="C302" s="43"/>
      <c r="D302" s="43"/>
      <c r="E302" s="42"/>
      <c r="F302" s="42"/>
      <c r="G302" s="44"/>
      <c r="H302" s="42"/>
      <c r="I302" s="42"/>
      <c r="J302" s="42"/>
      <c r="K302" s="42"/>
      <c r="L302" s="20"/>
      <c r="M302" s="20"/>
      <c r="N302" s="20"/>
      <c r="O302" s="20"/>
      <c r="P302" s="20"/>
      <c r="Q302" s="20"/>
      <c r="R302" s="20"/>
      <c r="S302" s="20"/>
      <c r="T302" s="20"/>
      <c r="U302" s="20"/>
      <c r="V302" s="20"/>
      <c r="W302" s="20"/>
      <c r="X302" s="20"/>
      <c r="Y302" s="20"/>
      <c r="Z302" s="21"/>
      <c r="AA302" s="22"/>
      <c r="AB302" s="22"/>
    </row>
    <row r="303" spans="1:28" ht="15.75" customHeight="1" x14ac:dyDescent="0.25">
      <c r="A303" s="42"/>
      <c r="B303" s="42"/>
      <c r="C303" s="43"/>
      <c r="D303" s="43"/>
      <c r="E303" s="42"/>
      <c r="F303" s="42"/>
      <c r="G303" s="44"/>
      <c r="H303" s="42"/>
      <c r="I303" s="42"/>
      <c r="J303" s="42"/>
      <c r="K303" s="42"/>
      <c r="L303" s="20"/>
      <c r="M303" s="20"/>
      <c r="N303" s="20"/>
      <c r="O303" s="20"/>
      <c r="P303" s="20"/>
      <c r="Q303" s="20"/>
      <c r="R303" s="20"/>
      <c r="S303" s="20"/>
      <c r="T303" s="20"/>
      <c r="U303" s="20"/>
      <c r="V303" s="20"/>
      <c r="W303" s="20"/>
      <c r="X303" s="20"/>
      <c r="Y303" s="20"/>
      <c r="Z303" s="21"/>
      <c r="AA303" s="22"/>
      <c r="AB303" s="22"/>
    </row>
    <row r="304" spans="1:28" ht="15.75" customHeight="1" x14ac:dyDescent="0.25">
      <c r="A304" s="42"/>
      <c r="B304" s="42"/>
      <c r="C304" s="43"/>
      <c r="D304" s="43"/>
      <c r="E304" s="42"/>
      <c r="F304" s="42"/>
      <c r="G304" s="44"/>
      <c r="H304" s="42"/>
      <c r="I304" s="42"/>
      <c r="J304" s="42"/>
      <c r="K304" s="42"/>
      <c r="L304" s="20"/>
      <c r="M304" s="20"/>
      <c r="N304" s="20"/>
      <c r="O304" s="20"/>
      <c r="P304" s="20"/>
      <c r="Q304" s="20"/>
      <c r="R304" s="20"/>
      <c r="S304" s="20"/>
      <c r="T304" s="20"/>
      <c r="U304" s="20"/>
      <c r="V304" s="20"/>
      <c r="W304" s="20"/>
      <c r="X304" s="20"/>
      <c r="Y304" s="20"/>
      <c r="Z304" s="21"/>
      <c r="AA304" s="22"/>
      <c r="AB304" s="22"/>
    </row>
    <row r="305" spans="1:28" ht="15.75" customHeight="1" x14ac:dyDescent="0.25">
      <c r="A305" s="42"/>
      <c r="B305" s="42"/>
      <c r="C305" s="43"/>
      <c r="D305" s="43"/>
      <c r="E305" s="42"/>
      <c r="F305" s="42"/>
      <c r="G305" s="44"/>
      <c r="H305" s="42"/>
      <c r="I305" s="42"/>
      <c r="J305" s="42"/>
      <c r="K305" s="42"/>
      <c r="L305" s="20"/>
      <c r="M305" s="20"/>
      <c r="N305" s="20"/>
      <c r="O305" s="20"/>
      <c r="P305" s="20"/>
      <c r="Q305" s="20"/>
      <c r="R305" s="20"/>
      <c r="S305" s="20"/>
      <c r="T305" s="20"/>
      <c r="U305" s="20"/>
      <c r="V305" s="20"/>
      <c r="W305" s="20"/>
      <c r="X305" s="20"/>
      <c r="Y305" s="20"/>
      <c r="Z305" s="21"/>
      <c r="AA305" s="22"/>
      <c r="AB305" s="22"/>
    </row>
    <row r="306" spans="1:28" ht="15.75" customHeight="1" x14ac:dyDescent="0.25">
      <c r="A306" s="42"/>
      <c r="B306" s="42"/>
      <c r="C306" s="43"/>
      <c r="D306" s="43"/>
      <c r="E306" s="42"/>
      <c r="F306" s="42"/>
      <c r="G306" s="44"/>
      <c r="H306" s="42"/>
      <c r="I306" s="42"/>
      <c r="J306" s="42"/>
      <c r="K306" s="42"/>
      <c r="L306" s="20"/>
      <c r="M306" s="20"/>
      <c r="N306" s="20"/>
      <c r="O306" s="20"/>
      <c r="P306" s="20"/>
      <c r="Q306" s="20"/>
      <c r="R306" s="20"/>
      <c r="S306" s="20"/>
      <c r="T306" s="20"/>
      <c r="U306" s="20"/>
      <c r="V306" s="20"/>
      <c r="W306" s="20"/>
      <c r="X306" s="20"/>
      <c r="Y306" s="20"/>
      <c r="Z306" s="21"/>
      <c r="AA306" s="22"/>
      <c r="AB306" s="22"/>
    </row>
    <row r="307" spans="1:28" ht="15.75" customHeight="1" x14ac:dyDescent="0.25">
      <c r="A307" s="42"/>
      <c r="B307" s="42"/>
      <c r="C307" s="43"/>
      <c r="D307" s="43"/>
      <c r="E307" s="42"/>
      <c r="F307" s="42"/>
      <c r="G307" s="44"/>
      <c r="H307" s="42"/>
      <c r="I307" s="42"/>
      <c r="J307" s="42"/>
      <c r="K307" s="42"/>
      <c r="L307" s="20"/>
      <c r="M307" s="20"/>
      <c r="N307" s="20"/>
      <c r="O307" s="20"/>
      <c r="P307" s="20"/>
      <c r="Q307" s="20"/>
      <c r="R307" s="20"/>
      <c r="S307" s="20"/>
      <c r="T307" s="20"/>
      <c r="U307" s="20"/>
      <c r="V307" s="20"/>
      <c r="W307" s="20"/>
      <c r="X307" s="20"/>
      <c r="Y307" s="20"/>
      <c r="Z307" s="21"/>
      <c r="AA307" s="22"/>
      <c r="AB307" s="22"/>
    </row>
    <row r="308" spans="1:28" ht="15.75" customHeight="1" x14ac:dyDescent="0.25">
      <c r="A308" s="42"/>
      <c r="B308" s="42"/>
      <c r="C308" s="43"/>
      <c r="D308" s="43"/>
      <c r="E308" s="42"/>
      <c r="F308" s="42"/>
      <c r="G308" s="44"/>
      <c r="H308" s="42"/>
      <c r="I308" s="42"/>
      <c r="J308" s="42"/>
      <c r="K308" s="42"/>
      <c r="L308" s="20"/>
      <c r="M308" s="20"/>
      <c r="N308" s="20"/>
      <c r="O308" s="20"/>
      <c r="P308" s="20"/>
      <c r="Q308" s="20"/>
      <c r="R308" s="20"/>
      <c r="S308" s="20"/>
      <c r="T308" s="20"/>
      <c r="U308" s="20"/>
      <c r="V308" s="20"/>
      <c r="W308" s="20"/>
      <c r="X308" s="20"/>
      <c r="Y308" s="20"/>
      <c r="Z308" s="21"/>
      <c r="AA308" s="22"/>
      <c r="AB308" s="22"/>
    </row>
    <row r="309" spans="1:28" ht="15.75" customHeight="1" x14ac:dyDescent="0.25">
      <c r="A309" s="45"/>
      <c r="B309" s="45"/>
      <c r="C309" s="46"/>
      <c r="D309" s="46"/>
      <c r="E309" s="45"/>
      <c r="F309" s="45"/>
      <c r="G309" s="47"/>
      <c r="H309" s="45"/>
      <c r="I309" s="45"/>
      <c r="J309" s="45"/>
      <c r="K309" s="45"/>
      <c r="L309" s="20"/>
      <c r="M309" s="20"/>
      <c r="N309" s="20"/>
      <c r="O309" s="20"/>
      <c r="P309" s="20"/>
      <c r="Q309" s="20"/>
      <c r="R309" s="20"/>
      <c r="S309" s="20"/>
      <c r="T309" s="20"/>
      <c r="U309" s="20"/>
      <c r="V309" s="20"/>
      <c r="W309" s="20"/>
      <c r="X309" s="20"/>
      <c r="Y309" s="20"/>
      <c r="Z309" s="21"/>
      <c r="AA309" s="22"/>
      <c r="AB309" s="23"/>
    </row>
    <row r="310" spans="1:28" ht="15.75" customHeight="1" x14ac:dyDescent="0.25">
      <c r="A310" s="45"/>
      <c r="B310" s="45"/>
      <c r="C310" s="46"/>
      <c r="D310" s="46"/>
      <c r="E310" s="45"/>
      <c r="F310" s="45"/>
      <c r="G310" s="47"/>
      <c r="H310" s="45"/>
      <c r="I310" s="45"/>
      <c r="J310" s="45"/>
      <c r="K310" s="45"/>
      <c r="L310" s="20"/>
      <c r="M310" s="20"/>
      <c r="N310" s="20"/>
      <c r="O310" s="20"/>
      <c r="P310" s="20"/>
      <c r="Q310" s="20"/>
      <c r="R310" s="20"/>
      <c r="S310" s="20"/>
      <c r="T310" s="20"/>
      <c r="U310" s="20"/>
      <c r="V310" s="20"/>
      <c r="W310" s="20"/>
      <c r="X310" s="20"/>
      <c r="Y310" s="20"/>
      <c r="Z310" s="21"/>
      <c r="AA310" s="22"/>
      <c r="AB310" s="23"/>
    </row>
    <row r="311" spans="1:28" ht="15.75" customHeight="1" x14ac:dyDescent="0.25">
      <c r="A311" s="45"/>
      <c r="B311" s="45"/>
      <c r="C311" s="46"/>
      <c r="D311" s="46"/>
      <c r="E311" s="45"/>
      <c r="F311" s="45"/>
      <c r="G311" s="47"/>
      <c r="H311" s="45"/>
      <c r="I311" s="45"/>
      <c r="J311" s="45"/>
      <c r="K311" s="45"/>
      <c r="L311" s="20"/>
      <c r="M311" s="20"/>
      <c r="N311" s="20"/>
      <c r="O311" s="20"/>
      <c r="P311" s="20"/>
      <c r="Q311" s="20"/>
      <c r="R311" s="20"/>
      <c r="S311" s="20"/>
      <c r="T311" s="20"/>
      <c r="U311" s="20"/>
      <c r="V311" s="20"/>
      <c r="W311" s="20"/>
      <c r="X311" s="20"/>
      <c r="Y311" s="20"/>
      <c r="Z311" s="21"/>
      <c r="AA311" s="22"/>
      <c r="AB311" s="23"/>
    </row>
    <row r="312" spans="1:28" ht="15.75" customHeight="1" x14ac:dyDescent="0.25">
      <c r="A312" s="45"/>
      <c r="B312" s="45"/>
      <c r="C312" s="46"/>
      <c r="D312" s="46"/>
      <c r="E312" s="45"/>
      <c r="F312" s="45"/>
      <c r="G312" s="47"/>
      <c r="H312" s="45"/>
      <c r="I312" s="45"/>
      <c r="J312" s="45"/>
      <c r="K312" s="45"/>
      <c r="L312" s="20"/>
      <c r="M312" s="20"/>
      <c r="N312" s="20"/>
      <c r="O312" s="20"/>
      <c r="P312" s="20"/>
      <c r="Q312" s="20"/>
      <c r="R312" s="20"/>
      <c r="S312" s="20"/>
      <c r="T312" s="20"/>
      <c r="U312" s="20"/>
      <c r="V312" s="20"/>
      <c r="W312" s="20"/>
      <c r="X312" s="20"/>
      <c r="Y312" s="20"/>
      <c r="Z312" s="21"/>
      <c r="AA312" s="22"/>
      <c r="AB312" s="23"/>
    </row>
    <row r="313" spans="1:28" ht="15.75" customHeight="1" x14ac:dyDescent="0.25">
      <c r="A313" s="45"/>
      <c r="B313" s="45"/>
      <c r="C313" s="46"/>
      <c r="D313" s="46"/>
      <c r="E313" s="45"/>
      <c r="F313" s="45"/>
      <c r="G313" s="47"/>
      <c r="H313" s="45"/>
      <c r="I313" s="45"/>
      <c r="J313" s="45"/>
      <c r="K313" s="45"/>
      <c r="L313" s="20"/>
      <c r="M313" s="20"/>
      <c r="N313" s="20"/>
      <c r="O313" s="20"/>
      <c r="P313" s="20"/>
      <c r="Q313" s="20"/>
      <c r="R313" s="20"/>
      <c r="S313" s="20"/>
      <c r="T313" s="20"/>
      <c r="U313" s="20"/>
      <c r="V313" s="20"/>
      <c r="W313" s="20"/>
      <c r="X313" s="20"/>
      <c r="Y313" s="20"/>
      <c r="Z313" s="21"/>
      <c r="AA313" s="22"/>
      <c r="AB313" s="23"/>
    </row>
    <row r="314" spans="1:28" ht="15.75" customHeight="1" x14ac:dyDescent="0.25">
      <c r="A314" s="45"/>
      <c r="B314" s="45"/>
      <c r="C314" s="46"/>
      <c r="D314" s="46"/>
      <c r="E314" s="45"/>
      <c r="F314" s="45"/>
      <c r="G314" s="47"/>
      <c r="H314" s="45"/>
      <c r="I314" s="45"/>
      <c r="J314" s="45"/>
      <c r="K314" s="45"/>
      <c r="L314" s="20"/>
      <c r="M314" s="20"/>
      <c r="N314" s="20"/>
      <c r="O314" s="20"/>
      <c r="P314" s="20"/>
      <c r="Q314" s="20"/>
      <c r="R314" s="20"/>
      <c r="S314" s="20"/>
      <c r="T314" s="20"/>
      <c r="U314" s="20"/>
      <c r="V314" s="20"/>
      <c r="W314" s="20"/>
      <c r="X314" s="20"/>
      <c r="Y314" s="20"/>
      <c r="Z314" s="21"/>
      <c r="AA314" s="22"/>
      <c r="AB314" s="23"/>
    </row>
    <row r="315" spans="1:28" ht="15.75" customHeight="1" x14ac:dyDescent="0.25">
      <c r="A315" s="45"/>
      <c r="B315" s="45"/>
      <c r="C315" s="46"/>
      <c r="D315" s="46"/>
      <c r="E315" s="45"/>
      <c r="F315" s="45"/>
      <c r="G315" s="47"/>
      <c r="H315" s="45"/>
      <c r="I315" s="45"/>
      <c r="J315" s="45"/>
      <c r="K315" s="45"/>
      <c r="L315" s="20"/>
      <c r="M315" s="20"/>
      <c r="N315" s="20"/>
      <c r="O315" s="20"/>
      <c r="P315" s="20"/>
      <c r="Q315" s="20"/>
      <c r="R315" s="20"/>
      <c r="S315" s="20"/>
      <c r="T315" s="20"/>
      <c r="U315" s="20"/>
      <c r="V315" s="20"/>
      <c r="W315" s="20"/>
      <c r="X315" s="20"/>
      <c r="Y315" s="20"/>
      <c r="Z315" s="21"/>
      <c r="AA315" s="22"/>
      <c r="AB315" s="23"/>
    </row>
    <row r="316" spans="1:28" ht="15.75" customHeight="1" x14ac:dyDescent="0.25">
      <c r="A316" s="45"/>
      <c r="B316" s="45"/>
      <c r="C316" s="46"/>
      <c r="D316" s="46"/>
      <c r="E316" s="45"/>
      <c r="F316" s="45"/>
      <c r="G316" s="47"/>
      <c r="H316" s="45"/>
      <c r="I316" s="45"/>
      <c r="J316" s="45"/>
      <c r="K316" s="45"/>
      <c r="L316" s="20"/>
      <c r="M316" s="20"/>
      <c r="N316" s="20"/>
      <c r="O316" s="20"/>
      <c r="P316" s="20"/>
      <c r="Q316" s="20"/>
      <c r="R316" s="20"/>
      <c r="S316" s="20"/>
      <c r="T316" s="20"/>
      <c r="U316" s="20"/>
      <c r="V316" s="20"/>
      <c r="W316" s="20"/>
      <c r="X316" s="20"/>
      <c r="Y316" s="20"/>
      <c r="Z316" s="21"/>
      <c r="AA316" s="22"/>
      <c r="AB316" s="23"/>
    </row>
    <row r="317" spans="1:28" ht="15.75" customHeight="1" x14ac:dyDescent="0.25">
      <c r="A317" s="45"/>
      <c r="B317" s="45"/>
      <c r="C317" s="46"/>
      <c r="D317" s="46"/>
      <c r="E317" s="45"/>
      <c r="F317" s="45"/>
      <c r="G317" s="47"/>
      <c r="H317" s="45"/>
      <c r="I317" s="45"/>
      <c r="J317" s="45"/>
      <c r="K317" s="45"/>
      <c r="L317" s="20"/>
      <c r="M317" s="20"/>
      <c r="N317" s="20"/>
      <c r="O317" s="20"/>
      <c r="P317" s="20"/>
      <c r="Q317" s="20"/>
      <c r="R317" s="20"/>
      <c r="S317" s="20"/>
      <c r="T317" s="20"/>
      <c r="U317" s="20"/>
      <c r="V317" s="20"/>
      <c r="W317" s="20"/>
      <c r="X317" s="20"/>
      <c r="Y317" s="20"/>
      <c r="Z317" s="21"/>
      <c r="AA317" s="22"/>
      <c r="AB317" s="23"/>
    </row>
    <row r="318" spans="1:28" ht="15.75" customHeight="1" x14ac:dyDescent="0.25">
      <c r="A318" s="45"/>
      <c r="B318" s="45"/>
      <c r="C318" s="46"/>
      <c r="D318" s="46"/>
      <c r="E318" s="45"/>
      <c r="F318" s="45"/>
      <c r="G318" s="47"/>
      <c r="H318" s="45"/>
      <c r="I318" s="45"/>
      <c r="J318" s="45"/>
      <c r="K318" s="45"/>
      <c r="L318" s="20"/>
      <c r="M318" s="20"/>
      <c r="N318" s="20"/>
      <c r="O318" s="20"/>
      <c r="P318" s="20"/>
      <c r="Q318" s="20"/>
      <c r="R318" s="20"/>
      <c r="S318" s="20"/>
      <c r="T318" s="20"/>
      <c r="U318" s="20"/>
      <c r="V318" s="20"/>
      <c r="W318" s="20"/>
      <c r="X318" s="20"/>
      <c r="Y318" s="20"/>
      <c r="Z318" s="21"/>
      <c r="AA318" s="22"/>
      <c r="AB318" s="23"/>
    </row>
    <row r="319" spans="1:28" ht="15.75" customHeight="1" x14ac:dyDescent="0.25">
      <c r="A319" s="45"/>
      <c r="B319" s="45"/>
      <c r="C319" s="46"/>
      <c r="D319" s="46"/>
      <c r="E319" s="45"/>
      <c r="F319" s="45"/>
      <c r="G319" s="47"/>
      <c r="H319" s="45"/>
      <c r="I319" s="45"/>
      <c r="J319" s="45"/>
      <c r="K319" s="45"/>
      <c r="L319" s="20"/>
      <c r="M319" s="20"/>
      <c r="N319" s="20"/>
      <c r="O319" s="20"/>
      <c r="P319" s="20"/>
      <c r="Q319" s="20"/>
      <c r="R319" s="20"/>
      <c r="S319" s="20"/>
      <c r="T319" s="20"/>
      <c r="U319" s="20"/>
      <c r="V319" s="20"/>
      <c r="W319" s="20"/>
      <c r="X319" s="20"/>
      <c r="Y319" s="20"/>
      <c r="Z319" s="21"/>
      <c r="AA319" s="22"/>
      <c r="AB319" s="23"/>
    </row>
    <row r="320" spans="1:28" ht="15.75" customHeight="1" x14ac:dyDescent="0.25">
      <c r="A320" s="45"/>
      <c r="B320" s="45"/>
      <c r="C320" s="46"/>
      <c r="D320" s="46"/>
      <c r="E320" s="45"/>
      <c r="F320" s="45"/>
      <c r="G320" s="47"/>
      <c r="H320" s="45"/>
      <c r="I320" s="45"/>
      <c r="J320" s="45"/>
      <c r="K320" s="45"/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1"/>
      <c r="AA320" s="22"/>
      <c r="AB320" s="23"/>
    </row>
    <row r="321" spans="1:28" ht="15.75" customHeight="1" x14ac:dyDescent="0.25">
      <c r="A321" s="45"/>
      <c r="B321" s="45"/>
      <c r="C321" s="46"/>
      <c r="D321" s="46"/>
      <c r="E321" s="45"/>
      <c r="F321" s="45"/>
      <c r="G321" s="47"/>
      <c r="H321" s="45"/>
      <c r="I321" s="45"/>
      <c r="J321" s="45"/>
      <c r="K321" s="45"/>
      <c r="L321" s="20"/>
      <c r="M321" s="20"/>
      <c r="N321" s="20"/>
      <c r="O321" s="20"/>
      <c r="P321" s="20"/>
      <c r="Q321" s="20"/>
      <c r="R321" s="20"/>
      <c r="S321" s="20"/>
      <c r="T321" s="20"/>
      <c r="U321" s="20"/>
      <c r="V321" s="20"/>
      <c r="W321" s="20"/>
      <c r="X321" s="20"/>
      <c r="Y321" s="20"/>
      <c r="Z321" s="21"/>
      <c r="AA321" s="22"/>
      <c r="AB321" s="23"/>
    </row>
    <row r="322" spans="1:28" ht="15.75" customHeight="1" x14ac:dyDescent="0.25">
      <c r="A322" s="45"/>
      <c r="B322" s="45"/>
      <c r="C322" s="46"/>
      <c r="D322" s="46"/>
      <c r="E322" s="45"/>
      <c r="F322" s="45"/>
      <c r="G322" s="47"/>
      <c r="H322" s="45"/>
      <c r="I322" s="45"/>
      <c r="J322" s="45"/>
      <c r="K322" s="45"/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0"/>
      <c r="W322" s="20"/>
      <c r="X322" s="20"/>
      <c r="Y322" s="20"/>
      <c r="Z322" s="21"/>
      <c r="AA322" s="22"/>
      <c r="AB322" s="23"/>
    </row>
    <row r="323" spans="1:28" ht="15.75" customHeight="1" x14ac:dyDescent="0.25">
      <c r="A323" s="45"/>
      <c r="B323" s="45"/>
      <c r="C323" s="46"/>
      <c r="D323" s="46"/>
      <c r="E323" s="45"/>
      <c r="F323" s="45"/>
      <c r="G323" s="47"/>
      <c r="H323" s="45"/>
      <c r="I323" s="45"/>
      <c r="J323" s="45"/>
      <c r="K323" s="45"/>
      <c r="L323" s="20"/>
      <c r="M323" s="20"/>
      <c r="N323" s="20"/>
      <c r="O323" s="20"/>
      <c r="P323" s="20"/>
      <c r="Q323" s="20"/>
      <c r="R323" s="20"/>
      <c r="S323" s="20"/>
      <c r="T323" s="20"/>
      <c r="U323" s="20"/>
      <c r="V323" s="20"/>
      <c r="W323" s="20"/>
      <c r="X323" s="20"/>
      <c r="Y323" s="20"/>
      <c r="Z323" s="21"/>
      <c r="AA323" s="22"/>
      <c r="AB323" s="23"/>
    </row>
    <row r="324" spans="1:28" ht="15.75" customHeight="1" x14ac:dyDescent="0.25">
      <c r="A324" s="45"/>
      <c r="B324" s="45"/>
      <c r="C324" s="46"/>
      <c r="D324" s="46"/>
      <c r="E324" s="45"/>
      <c r="F324" s="45"/>
      <c r="G324" s="47"/>
      <c r="H324" s="45"/>
      <c r="I324" s="45"/>
      <c r="J324" s="45"/>
      <c r="K324" s="45"/>
      <c r="L324" s="20"/>
      <c r="M324" s="20"/>
      <c r="N324" s="20"/>
      <c r="O324" s="20"/>
      <c r="P324" s="20"/>
      <c r="Q324" s="20"/>
      <c r="R324" s="20"/>
      <c r="S324" s="20"/>
      <c r="T324" s="20"/>
      <c r="U324" s="20"/>
      <c r="V324" s="20"/>
      <c r="W324" s="20"/>
      <c r="X324" s="20"/>
      <c r="Y324" s="20"/>
      <c r="Z324" s="21"/>
      <c r="AA324" s="22"/>
      <c r="AB324" s="23"/>
    </row>
    <row r="325" spans="1:28" ht="15.75" customHeight="1" x14ac:dyDescent="0.25">
      <c r="A325" s="45"/>
      <c r="B325" s="45"/>
      <c r="C325" s="46"/>
      <c r="D325" s="46"/>
      <c r="E325" s="45"/>
      <c r="F325" s="45"/>
      <c r="G325" s="47"/>
      <c r="H325" s="45"/>
      <c r="I325" s="45"/>
      <c r="J325" s="45"/>
      <c r="K325" s="45"/>
      <c r="L325" s="20"/>
      <c r="M325" s="20"/>
      <c r="N325" s="20"/>
      <c r="O325" s="20"/>
      <c r="P325" s="20"/>
      <c r="Q325" s="20"/>
      <c r="R325" s="20"/>
      <c r="S325" s="20"/>
      <c r="T325" s="20"/>
      <c r="U325" s="20"/>
      <c r="V325" s="20"/>
      <c r="W325" s="20"/>
      <c r="X325" s="20"/>
      <c r="Y325" s="20"/>
      <c r="Z325" s="21"/>
      <c r="AA325" s="22"/>
      <c r="AB325" s="23"/>
    </row>
    <row r="326" spans="1:28" ht="15.75" customHeight="1" x14ac:dyDescent="0.25">
      <c r="A326" s="45"/>
      <c r="B326" s="45"/>
      <c r="C326" s="46"/>
      <c r="D326" s="46"/>
      <c r="E326" s="45"/>
      <c r="F326" s="45"/>
      <c r="G326" s="47"/>
      <c r="H326" s="45"/>
      <c r="I326" s="45"/>
      <c r="J326" s="45"/>
      <c r="K326" s="45"/>
      <c r="L326" s="20"/>
      <c r="M326" s="20"/>
      <c r="N326" s="20"/>
      <c r="O326" s="20"/>
      <c r="P326" s="20"/>
      <c r="Q326" s="20"/>
      <c r="R326" s="20"/>
      <c r="S326" s="20"/>
      <c r="T326" s="20"/>
      <c r="U326" s="20"/>
      <c r="V326" s="20"/>
      <c r="W326" s="20"/>
      <c r="X326" s="20"/>
      <c r="Y326" s="20"/>
      <c r="Z326" s="21"/>
      <c r="AA326" s="22"/>
      <c r="AB326" s="23"/>
    </row>
    <row r="327" spans="1:28" ht="15.75" customHeight="1" x14ac:dyDescent="0.25">
      <c r="A327" s="45"/>
      <c r="B327" s="45"/>
      <c r="C327" s="46"/>
      <c r="D327" s="46"/>
      <c r="E327" s="45"/>
      <c r="F327" s="45"/>
      <c r="G327" s="47"/>
      <c r="H327" s="45"/>
      <c r="I327" s="45"/>
      <c r="J327" s="45"/>
      <c r="K327" s="45"/>
      <c r="L327" s="20"/>
      <c r="M327" s="20"/>
      <c r="N327" s="20"/>
      <c r="O327" s="20"/>
      <c r="P327" s="20"/>
      <c r="Q327" s="20"/>
      <c r="R327" s="20"/>
      <c r="S327" s="20"/>
      <c r="T327" s="20"/>
      <c r="U327" s="20"/>
      <c r="V327" s="20"/>
      <c r="W327" s="20"/>
      <c r="X327" s="20"/>
      <c r="Y327" s="20"/>
      <c r="Z327" s="21"/>
      <c r="AA327" s="22"/>
      <c r="AB327" s="23"/>
    </row>
    <row r="328" spans="1:28" ht="15.75" customHeight="1" x14ac:dyDescent="0.25">
      <c r="A328" s="45"/>
      <c r="B328" s="45"/>
      <c r="C328" s="46"/>
      <c r="D328" s="46"/>
      <c r="E328" s="45"/>
      <c r="F328" s="45"/>
      <c r="G328" s="47"/>
      <c r="H328" s="45"/>
      <c r="I328" s="45"/>
      <c r="J328" s="45"/>
      <c r="K328" s="45"/>
      <c r="L328" s="20"/>
      <c r="M328" s="20"/>
      <c r="N328" s="20"/>
      <c r="O328" s="20"/>
      <c r="P328" s="20"/>
      <c r="Q328" s="20"/>
      <c r="R328" s="20"/>
      <c r="S328" s="20"/>
      <c r="T328" s="20"/>
      <c r="U328" s="20"/>
      <c r="V328" s="20"/>
      <c r="W328" s="20"/>
      <c r="X328" s="20"/>
      <c r="Y328" s="20"/>
      <c r="Z328" s="21"/>
      <c r="AA328" s="22"/>
      <c r="AB328" s="23"/>
    </row>
    <row r="329" spans="1:28" ht="15.75" customHeight="1" x14ac:dyDescent="0.25">
      <c r="A329" s="45"/>
      <c r="B329" s="45"/>
      <c r="C329" s="46"/>
      <c r="D329" s="46"/>
      <c r="E329" s="45"/>
      <c r="F329" s="45"/>
      <c r="G329" s="47"/>
      <c r="H329" s="45"/>
      <c r="I329" s="45"/>
      <c r="J329" s="45"/>
      <c r="K329" s="45"/>
      <c r="L329" s="20"/>
      <c r="M329" s="20"/>
      <c r="N329" s="20"/>
      <c r="O329" s="20"/>
      <c r="P329" s="20"/>
      <c r="Q329" s="20"/>
      <c r="R329" s="20"/>
      <c r="S329" s="20"/>
      <c r="T329" s="20"/>
      <c r="U329" s="20"/>
      <c r="V329" s="20"/>
      <c r="W329" s="20"/>
      <c r="X329" s="20"/>
      <c r="Y329" s="20"/>
      <c r="Z329" s="21"/>
      <c r="AA329" s="22"/>
      <c r="AB329" s="23"/>
    </row>
    <row r="330" spans="1:28" ht="15.75" customHeight="1" x14ac:dyDescent="0.25">
      <c r="A330" s="45"/>
      <c r="B330" s="45"/>
      <c r="C330" s="46"/>
      <c r="D330" s="46"/>
      <c r="E330" s="45"/>
      <c r="F330" s="45"/>
      <c r="G330" s="47"/>
      <c r="H330" s="45"/>
      <c r="I330" s="45"/>
      <c r="J330" s="45"/>
      <c r="K330" s="45"/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0"/>
      <c r="W330" s="20"/>
      <c r="X330" s="20"/>
      <c r="Y330" s="20"/>
      <c r="Z330" s="21"/>
      <c r="AA330" s="22"/>
      <c r="AB330" s="23"/>
    </row>
    <row r="331" spans="1:28" ht="15.75" customHeight="1" x14ac:dyDescent="0.25">
      <c r="A331" s="45"/>
      <c r="B331" s="45"/>
      <c r="C331" s="46"/>
      <c r="D331" s="46"/>
      <c r="E331" s="45"/>
      <c r="F331" s="45"/>
      <c r="G331" s="47"/>
      <c r="H331" s="45"/>
      <c r="I331" s="45"/>
      <c r="J331" s="45"/>
      <c r="K331" s="45"/>
      <c r="L331" s="20"/>
      <c r="M331" s="20"/>
      <c r="N331" s="20"/>
      <c r="O331" s="20"/>
      <c r="P331" s="20"/>
      <c r="Q331" s="20"/>
      <c r="R331" s="20"/>
      <c r="S331" s="20"/>
      <c r="T331" s="20"/>
      <c r="U331" s="20"/>
      <c r="V331" s="20"/>
      <c r="W331" s="20"/>
      <c r="X331" s="20"/>
      <c r="Y331" s="20"/>
      <c r="Z331" s="21"/>
      <c r="AA331" s="22"/>
      <c r="AB331" s="23"/>
    </row>
    <row r="332" spans="1:28" ht="15.75" customHeight="1" x14ac:dyDescent="0.25">
      <c r="A332" s="45"/>
      <c r="B332" s="45"/>
      <c r="C332" s="46"/>
      <c r="D332" s="46"/>
      <c r="E332" s="45"/>
      <c r="F332" s="45"/>
      <c r="G332" s="47"/>
      <c r="H332" s="45"/>
      <c r="I332" s="45"/>
      <c r="J332" s="45"/>
      <c r="K332" s="45"/>
      <c r="L332" s="20"/>
      <c r="M332" s="20"/>
      <c r="N332" s="20"/>
      <c r="O332" s="20"/>
      <c r="P332" s="20"/>
      <c r="Q332" s="20"/>
      <c r="R332" s="20"/>
      <c r="S332" s="20"/>
      <c r="T332" s="20"/>
      <c r="U332" s="20"/>
      <c r="V332" s="20"/>
      <c r="W332" s="20"/>
      <c r="X332" s="20"/>
      <c r="Y332" s="20"/>
      <c r="Z332" s="21"/>
      <c r="AA332" s="22"/>
      <c r="AB332" s="23"/>
    </row>
    <row r="333" spans="1:28" ht="15.75" customHeight="1" x14ac:dyDescent="0.25">
      <c r="A333" s="45"/>
      <c r="B333" s="45"/>
      <c r="C333" s="46"/>
      <c r="D333" s="46"/>
      <c r="E333" s="45"/>
      <c r="F333" s="45"/>
      <c r="G333" s="47"/>
      <c r="H333" s="45"/>
      <c r="I333" s="45"/>
      <c r="J333" s="45"/>
      <c r="K333" s="45"/>
      <c r="L333" s="20"/>
      <c r="M333" s="20"/>
      <c r="N333" s="20"/>
      <c r="O333" s="20"/>
      <c r="P333" s="20"/>
      <c r="Q333" s="20"/>
      <c r="R333" s="20"/>
      <c r="S333" s="20"/>
      <c r="T333" s="20"/>
      <c r="U333" s="20"/>
      <c r="V333" s="20"/>
      <c r="W333" s="20"/>
      <c r="X333" s="20"/>
      <c r="Y333" s="20"/>
      <c r="Z333" s="21"/>
      <c r="AA333" s="22"/>
      <c r="AB333" s="23"/>
    </row>
    <row r="334" spans="1:28" ht="15.75" customHeight="1" x14ac:dyDescent="0.25">
      <c r="A334" s="45"/>
      <c r="B334" s="45"/>
      <c r="C334" s="46"/>
      <c r="D334" s="46"/>
      <c r="E334" s="45"/>
      <c r="F334" s="45"/>
      <c r="G334" s="47"/>
      <c r="H334" s="45"/>
      <c r="I334" s="45"/>
      <c r="J334" s="45"/>
      <c r="K334" s="45"/>
      <c r="L334" s="20"/>
      <c r="M334" s="20"/>
      <c r="N334" s="20"/>
      <c r="O334" s="20"/>
      <c r="P334" s="20"/>
      <c r="Q334" s="20"/>
      <c r="R334" s="20"/>
      <c r="S334" s="20"/>
      <c r="T334" s="20"/>
      <c r="U334" s="20"/>
      <c r="V334" s="20"/>
      <c r="W334" s="20"/>
      <c r="X334" s="20"/>
      <c r="Y334" s="20"/>
      <c r="Z334" s="21"/>
      <c r="AA334" s="22"/>
      <c r="AB334" s="23"/>
    </row>
    <row r="335" spans="1:28" ht="15.75" customHeight="1" x14ac:dyDescent="0.25">
      <c r="A335" s="45"/>
      <c r="B335" s="45"/>
      <c r="C335" s="46"/>
      <c r="D335" s="46"/>
      <c r="E335" s="45"/>
      <c r="F335" s="45"/>
      <c r="G335" s="47"/>
      <c r="H335" s="45"/>
      <c r="I335" s="45"/>
      <c r="J335" s="45"/>
      <c r="K335" s="45"/>
      <c r="L335" s="20"/>
      <c r="M335" s="20"/>
      <c r="N335" s="20"/>
      <c r="O335" s="20"/>
      <c r="P335" s="20"/>
      <c r="Q335" s="20"/>
      <c r="R335" s="20"/>
      <c r="S335" s="20"/>
      <c r="T335" s="20"/>
      <c r="U335" s="20"/>
      <c r="V335" s="20"/>
      <c r="W335" s="20"/>
      <c r="X335" s="20"/>
      <c r="Y335" s="20"/>
      <c r="Z335" s="21"/>
      <c r="AA335" s="22"/>
      <c r="AB335" s="23"/>
    </row>
    <row r="336" spans="1:28" ht="15.75" customHeight="1" x14ac:dyDescent="0.25">
      <c r="A336" s="45"/>
      <c r="B336" s="45"/>
      <c r="C336" s="46"/>
      <c r="D336" s="46"/>
      <c r="E336" s="45"/>
      <c r="F336" s="45"/>
      <c r="G336" s="47"/>
      <c r="H336" s="45"/>
      <c r="I336" s="45"/>
      <c r="J336" s="45"/>
      <c r="K336" s="45"/>
      <c r="L336" s="20"/>
      <c r="M336" s="20"/>
      <c r="N336" s="20"/>
      <c r="O336" s="20"/>
      <c r="P336" s="20"/>
      <c r="Q336" s="20"/>
      <c r="R336" s="20"/>
      <c r="S336" s="20"/>
      <c r="T336" s="20"/>
      <c r="U336" s="20"/>
      <c r="V336" s="20"/>
      <c r="W336" s="20"/>
      <c r="X336" s="20"/>
      <c r="Y336" s="20"/>
      <c r="Z336" s="21"/>
      <c r="AA336" s="22"/>
      <c r="AB336" s="23"/>
    </row>
    <row r="337" spans="1:28" ht="15.75" customHeight="1" x14ac:dyDescent="0.25">
      <c r="A337" s="45"/>
      <c r="B337" s="45"/>
      <c r="C337" s="46"/>
      <c r="D337" s="46"/>
      <c r="E337" s="45"/>
      <c r="F337" s="45"/>
      <c r="G337" s="47"/>
      <c r="H337" s="45"/>
      <c r="I337" s="45"/>
      <c r="J337" s="45"/>
      <c r="K337" s="45"/>
      <c r="L337" s="20"/>
      <c r="M337" s="20"/>
      <c r="N337" s="20"/>
      <c r="O337" s="20"/>
      <c r="P337" s="20"/>
      <c r="Q337" s="20"/>
      <c r="R337" s="20"/>
      <c r="S337" s="20"/>
      <c r="T337" s="20"/>
      <c r="U337" s="20"/>
      <c r="V337" s="20"/>
      <c r="W337" s="20"/>
      <c r="X337" s="20"/>
      <c r="Y337" s="20"/>
      <c r="Z337" s="21"/>
      <c r="AA337" s="22"/>
      <c r="AB337" s="23"/>
    </row>
    <row r="338" spans="1:28" ht="15.75" customHeight="1" x14ac:dyDescent="0.25">
      <c r="A338" s="45"/>
      <c r="B338" s="45"/>
      <c r="C338" s="46"/>
      <c r="D338" s="46"/>
      <c r="E338" s="45"/>
      <c r="F338" s="45"/>
      <c r="G338" s="47"/>
      <c r="H338" s="45"/>
      <c r="I338" s="45"/>
      <c r="J338" s="45"/>
      <c r="K338" s="45"/>
      <c r="L338" s="20"/>
      <c r="M338" s="20"/>
      <c r="N338" s="20"/>
      <c r="O338" s="20"/>
      <c r="P338" s="20"/>
      <c r="Q338" s="20"/>
      <c r="R338" s="20"/>
      <c r="S338" s="20"/>
      <c r="T338" s="20"/>
      <c r="U338" s="20"/>
      <c r="V338" s="20"/>
      <c r="W338" s="20"/>
      <c r="X338" s="20"/>
      <c r="Y338" s="20"/>
      <c r="Z338" s="21"/>
      <c r="AA338" s="22"/>
      <c r="AB338" s="23"/>
    </row>
    <row r="339" spans="1:28" ht="15.75" customHeight="1" x14ac:dyDescent="0.25">
      <c r="A339" s="45"/>
      <c r="B339" s="45"/>
      <c r="C339" s="46"/>
      <c r="D339" s="46"/>
      <c r="E339" s="45"/>
      <c r="F339" s="45"/>
      <c r="G339" s="47"/>
      <c r="H339" s="45"/>
      <c r="I339" s="45"/>
      <c r="J339" s="45"/>
      <c r="K339" s="45"/>
      <c r="L339" s="20"/>
      <c r="M339" s="20"/>
      <c r="N339" s="20"/>
      <c r="O339" s="20"/>
      <c r="P339" s="20"/>
      <c r="Q339" s="20"/>
      <c r="R339" s="20"/>
      <c r="S339" s="20"/>
      <c r="T339" s="20"/>
      <c r="U339" s="20"/>
      <c r="V339" s="20"/>
      <c r="W339" s="20"/>
      <c r="X339" s="20"/>
      <c r="Y339" s="20"/>
      <c r="Z339" s="21"/>
      <c r="AA339" s="22"/>
      <c r="AB339" s="23"/>
    </row>
    <row r="340" spans="1:28" ht="15.75" customHeight="1" x14ac:dyDescent="0.25">
      <c r="A340" s="45"/>
      <c r="B340" s="45"/>
      <c r="C340" s="46"/>
      <c r="D340" s="46"/>
      <c r="E340" s="45"/>
      <c r="F340" s="45"/>
      <c r="G340" s="47"/>
      <c r="H340" s="45"/>
      <c r="I340" s="45"/>
      <c r="J340" s="45"/>
      <c r="K340" s="45"/>
      <c r="L340" s="20"/>
      <c r="M340" s="20"/>
      <c r="N340" s="20"/>
      <c r="O340" s="20"/>
      <c r="P340" s="20"/>
      <c r="Q340" s="20"/>
      <c r="R340" s="20"/>
      <c r="S340" s="20"/>
      <c r="T340" s="20"/>
      <c r="U340" s="20"/>
      <c r="V340" s="20"/>
      <c r="W340" s="20"/>
      <c r="X340" s="20"/>
      <c r="Y340" s="20"/>
      <c r="Z340" s="21"/>
      <c r="AA340" s="22"/>
      <c r="AB340" s="23"/>
    </row>
    <row r="341" spans="1:28" ht="15.75" customHeight="1" x14ac:dyDescent="0.25">
      <c r="A341" s="45"/>
      <c r="B341" s="45"/>
      <c r="C341" s="46"/>
      <c r="D341" s="46"/>
      <c r="E341" s="45"/>
      <c r="F341" s="45"/>
      <c r="G341" s="47"/>
      <c r="H341" s="45"/>
      <c r="I341" s="45"/>
      <c r="J341" s="45"/>
      <c r="K341" s="45"/>
      <c r="L341" s="20"/>
      <c r="M341" s="20"/>
      <c r="N341" s="20"/>
      <c r="O341" s="20"/>
      <c r="P341" s="20"/>
      <c r="Q341" s="20"/>
      <c r="R341" s="20"/>
      <c r="S341" s="20"/>
      <c r="T341" s="20"/>
      <c r="U341" s="20"/>
      <c r="V341" s="20"/>
      <c r="W341" s="20"/>
      <c r="X341" s="20"/>
      <c r="Y341" s="20"/>
      <c r="Z341" s="21"/>
      <c r="AA341" s="22"/>
      <c r="AB341" s="23"/>
    </row>
    <row r="342" spans="1:28" ht="15.75" customHeight="1" x14ac:dyDescent="0.25">
      <c r="A342" s="45"/>
      <c r="B342" s="45"/>
      <c r="C342" s="46"/>
      <c r="D342" s="46"/>
      <c r="E342" s="45"/>
      <c r="F342" s="45"/>
      <c r="G342" s="47"/>
      <c r="H342" s="45"/>
      <c r="I342" s="45"/>
      <c r="J342" s="45"/>
      <c r="K342" s="45"/>
      <c r="L342" s="20"/>
      <c r="M342" s="20"/>
      <c r="N342" s="20"/>
      <c r="O342" s="20"/>
      <c r="P342" s="20"/>
      <c r="Q342" s="20"/>
      <c r="R342" s="20"/>
      <c r="S342" s="20"/>
      <c r="T342" s="20"/>
      <c r="U342" s="20"/>
      <c r="V342" s="20"/>
      <c r="W342" s="20"/>
      <c r="X342" s="20"/>
      <c r="Y342" s="20"/>
      <c r="Z342" s="21"/>
      <c r="AA342" s="22"/>
      <c r="AB342" s="23"/>
    </row>
    <row r="343" spans="1:28" ht="15.75" customHeight="1" x14ac:dyDescent="0.25">
      <c r="A343" s="45"/>
      <c r="B343" s="45"/>
      <c r="C343" s="46"/>
      <c r="D343" s="46"/>
      <c r="E343" s="45"/>
      <c r="F343" s="45"/>
      <c r="G343" s="47"/>
      <c r="H343" s="45"/>
      <c r="I343" s="45"/>
      <c r="J343" s="45"/>
      <c r="K343" s="45"/>
      <c r="L343" s="20"/>
      <c r="M343" s="20"/>
      <c r="N343" s="20"/>
      <c r="O343" s="20"/>
      <c r="P343" s="20"/>
      <c r="Q343" s="20"/>
      <c r="R343" s="20"/>
      <c r="S343" s="20"/>
      <c r="T343" s="20"/>
      <c r="U343" s="20"/>
      <c r="V343" s="20"/>
      <c r="W343" s="20"/>
      <c r="X343" s="20"/>
      <c r="Y343" s="20"/>
      <c r="Z343" s="21"/>
      <c r="AA343" s="22"/>
      <c r="AB343" s="23"/>
    </row>
    <row r="344" spans="1:28" ht="15.75" customHeight="1" x14ac:dyDescent="0.25">
      <c r="A344" s="45"/>
      <c r="B344" s="45"/>
      <c r="C344" s="46"/>
      <c r="D344" s="46"/>
      <c r="E344" s="45"/>
      <c r="F344" s="45"/>
      <c r="G344" s="47"/>
      <c r="H344" s="45"/>
      <c r="I344" s="45"/>
      <c r="J344" s="45"/>
      <c r="K344" s="45"/>
      <c r="L344" s="20"/>
      <c r="M344" s="20"/>
      <c r="N344" s="20"/>
      <c r="O344" s="20"/>
      <c r="P344" s="20"/>
      <c r="Q344" s="20"/>
      <c r="R344" s="20"/>
      <c r="S344" s="20"/>
      <c r="T344" s="20"/>
      <c r="U344" s="20"/>
      <c r="V344" s="20"/>
      <c r="W344" s="20"/>
      <c r="X344" s="20"/>
      <c r="Y344" s="20"/>
      <c r="Z344" s="21"/>
      <c r="AA344" s="22"/>
      <c r="AB344" s="23"/>
    </row>
    <row r="345" spans="1:28" ht="15.75" customHeight="1" x14ac:dyDescent="0.25">
      <c r="A345" s="45"/>
      <c r="B345" s="45"/>
      <c r="C345" s="46"/>
      <c r="D345" s="46"/>
      <c r="E345" s="45"/>
      <c r="F345" s="45"/>
      <c r="G345" s="47"/>
      <c r="H345" s="45"/>
      <c r="I345" s="45"/>
      <c r="J345" s="45"/>
      <c r="K345" s="45"/>
      <c r="L345" s="20"/>
      <c r="M345" s="20"/>
      <c r="N345" s="20"/>
      <c r="O345" s="20"/>
      <c r="P345" s="20"/>
      <c r="Q345" s="20"/>
      <c r="R345" s="20"/>
      <c r="S345" s="20"/>
      <c r="T345" s="20"/>
      <c r="U345" s="20"/>
      <c r="V345" s="20"/>
      <c r="W345" s="20"/>
      <c r="X345" s="20"/>
      <c r="Y345" s="20"/>
      <c r="Z345" s="21"/>
      <c r="AA345" s="22"/>
      <c r="AB345" s="23"/>
    </row>
    <row r="346" spans="1:28" ht="15.75" customHeight="1" x14ac:dyDescent="0.25">
      <c r="A346" s="45"/>
      <c r="B346" s="45"/>
      <c r="C346" s="46"/>
      <c r="D346" s="46"/>
      <c r="E346" s="45"/>
      <c r="F346" s="45"/>
      <c r="G346" s="47"/>
      <c r="H346" s="45"/>
      <c r="I346" s="45"/>
      <c r="J346" s="45"/>
      <c r="K346" s="45"/>
      <c r="L346" s="20"/>
      <c r="M346" s="20"/>
      <c r="N346" s="20"/>
      <c r="O346" s="20"/>
      <c r="P346" s="20"/>
      <c r="Q346" s="20"/>
      <c r="R346" s="20"/>
      <c r="S346" s="20"/>
      <c r="T346" s="20"/>
      <c r="U346" s="20"/>
      <c r="V346" s="20"/>
      <c r="W346" s="20"/>
      <c r="X346" s="20"/>
      <c r="Y346" s="20"/>
      <c r="Z346" s="21"/>
      <c r="AA346" s="22"/>
      <c r="AB346" s="23"/>
    </row>
    <row r="347" spans="1:28" ht="15.75" customHeight="1" x14ac:dyDescent="0.25">
      <c r="A347" s="45"/>
      <c r="B347" s="45"/>
      <c r="C347" s="46"/>
      <c r="D347" s="46"/>
      <c r="E347" s="45"/>
      <c r="F347" s="45"/>
      <c r="G347" s="47"/>
      <c r="H347" s="45"/>
      <c r="I347" s="45"/>
      <c r="J347" s="45"/>
      <c r="K347" s="45"/>
      <c r="L347" s="20"/>
      <c r="M347" s="20"/>
      <c r="N347" s="20"/>
      <c r="O347" s="20"/>
      <c r="P347" s="20"/>
      <c r="Q347" s="20"/>
      <c r="R347" s="20"/>
      <c r="S347" s="20"/>
      <c r="T347" s="20"/>
      <c r="U347" s="20"/>
      <c r="V347" s="20"/>
      <c r="W347" s="20"/>
      <c r="X347" s="20"/>
      <c r="Y347" s="20"/>
      <c r="Z347" s="21"/>
      <c r="AA347" s="22"/>
      <c r="AB347" s="23"/>
    </row>
    <row r="348" spans="1:28" ht="15.75" customHeight="1" x14ac:dyDescent="0.25">
      <c r="A348" s="45"/>
      <c r="B348" s="45"/>
      <c r="C348" s="46"/>
      <c r="D348" s="46"/>
      <c r="E348" s="45"/>
      <c r="F348" s="45"/>
      <c r="G348" s="47"/>
      <c r="H348" s="45"/>
      <c r="I348" s="45"/>
      <c r="J348" s="45"/>
      <c r="K348" s="45"/>
      <c r="L348" s="20"/>
      <c r="M348" s="20"/>
      <c r="N348" s="20"/>
      <c r="O348" s="20"/>
      <c r="P348" s="20"/>
      <c r="Q348" s="20"/>
      <c r="R348" s="20"/>
      <c r="S348" s="20"/>
      <c r="T348" s="20"/>
      <c r="U348" s="20"/>
      <c r="V348" s="20"/>
      <c r="W348" s="20"/>
      <c r="X348" s="20"/>
      <c r="Y348" s="20"/>
      <c r="Z348" s="21"/>
      <c r="AA348" s="22"/>
      <c r="AB348" s="23"/>
    </row>
    <row r="349" spans="1:28" ht="15.75" customHeight="1" x14ac:dyDescent="0.25">
      <c r="A349" s="45"/>
      <c r="B349" s="45"/>
      <c r="C349" s="46"/>
      <c r="D349" s="46"/>
      <c r="E349" s="45"/>
      <c r="F349" s="45"/>
      <c r="G349" s="47"/>
      <c r="H349" s="45"/>
      <c r="I349" s="45"/>
      <c r="J349" s="45"/>
      <c r="K349" s="45"/>
      <c r="L349" s="20"/>
      <c r="M349" s="20"/>
      <c r="N349" s="20"/>
      <c r="O349" s="20"/>
      <c r="P349" s="20"/>
      <c r="Q349" s="20"/>
      <c r="R349" s="20"/>
      <c r="S349" s="20"/>
      <c r="T349" s="20"/>
      <c r="U349" s="20"/>
      <c r="V349" s="20"/>
      <c r="W349" s="20"/>
      <c r="X349" s="20"/>
      <c r="Y349" s="20"/>
      <c r="Z349" s="21"/>
      <c r="AA349" s="22"/>
      <c r="AB349" s="23"/>
    </row>
    <row r="350" spans="1:28" ht="15.75" customHeight="1" x14ac:dyDescent="0.25">
      <c r="A350" s="45"/>
      <c r="B350" s="45"/>
      <c r="C350" s="46"/>
      <c r="D350" s="46"/>
      <c r="E350" s="45"/>
      <c r="F350" s="45"/>
      <c r="G350" s="47"/>
      <c r="H350" s="45"/>
      <c r="I350" s="45"/>
      <c r="J350" s="45"/>
      <c r="K350" s="45"/>
      <c r="L350" s="20"/>
      <c r="M350" s="20"/>
      <c r="N350" s="20"/>
      <c r="O350" s="20"/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1"/>
      <c r="AA350" s="22"/>
      <c r="AB350" s="23"/>
    </row>
    <row r="351" spans="1:28" ht="15.75" customHeight="1" x14ac:dyDescent="0.25">
      <c r="A351" s="45"/>
      <c r="B351" s="45"/>
      <c r="C351" s="46"/>
      <c r="D351" s="46"/>
      <c r="E351" s="45"/>
      <c r="F351" s="45"/>
      <c r="G351" s="47"/>
      <c r="H351" s="45"/>
      <c r="I351" s="45"/>
      <c r="J351" s="45"/>
      <c r="K351" s="45"/>
      <c r="L351" s="20"/>
      <c r="M351" s="20"/>
      <c r="N351" s="20"/>
      <c r="O351" s="20"/>
      <c r="P351" s="20"/>
      <c r="Q351" s="20"/>
      <c r="R351" s="20"/>
      <c r="S351" s="20"/>
      <c r="T351" s="20"/>
      <c r="U351" s="20"/>
      <c r="V351" s="20"/>
      <c r="W351" s="20"/>
      <c r="X351" s="20"/>
      <c r="Y351" s="20"/>
      <c r="Z351" s="21"/>
      <c r="AA351" s="22"/>
      <c r="AB351" s="23"/>
    </row>
    <row r="352" spans="1:28" ht="15.75" customHeight="1" x14ac:dyDescent="0.25">
      <c r="A352" s="45"/>
      <c r="B352" s="45"/>
      <c r="C352" s="46"/>
      <c r="D352" s="46"/>
      <c r="E352" s="45"/>
      <c r="F352" s="45"/>
      <c r="G352" s="47"/>
      <c r="H352" s="45"/>
      <c r="I352" s="45"/>
      <c r="J352" s="45"/>
      <c r="K352" s="45"/>
      <c r="L352" s="20"/>
      <c r="M352" s="20"/>
      <c r="N352" s="20"/>
      <c r="O352" s="20"/>
      <c r="P352" s="20"/>
      <c r="Q352" s="20"/>
      <c r="R352" s="20"/>
      <c r="S352" s="20"/>
      <c r="T352" s="20"/>
      <c r="U352" s="20"/>
      <c r="V352" s="20"/>
      <c r="W352" s="20"/>
      <c r="X352" s="20"/>
      <c r="Y352" s="20"/>
      <c r="Z352" s="21"/>
      <c r="AA352" s="22"/>
      <c r="AB352" s="23"/>
    </row>
    <row r="353" spans="1:28" ht="15.75" customHeight="1" x14ac:dyDescent="0.25">
      <c r="A353" s="45"/>
      <c r="B353" s="45"/>
      <c r="C353" s="46"/>
      <c r="D353" s="46"/>
      <c r="E353" s="45"/>
      <c r="F353" s="45"/>
      <c r="G353" s="47"/>
      <c r="H353" s="45"/>
      <c r="I353" s="45"/>
      <c r="J353" s="45"/>
      <c r="K353" s="45"/>
      <c r="L353" s="20"/>
      <c r="M353" s="20"/>
      <c r="N353" s="20"/>
      <c r="O353" s="20"/>
      <c r="P353" s="20"/>
      <c r="Q353" s="20"/>
      <c r="R353" s="20"/>
      <c r="S353" s="20"/>
      <c r="T353" s="20"/>
      <c r="U353" s="20"/>
      <c r="V353" s="20"/>
      <c r="W353" s="20"/>
      <c r="X353" s="20"/>
      <c r="Y353" s="20"/>
      <c r="Z353" s="21"/>
      <c r="AA353" s="22"/>
      <c r="AB353" s="23"/>
    </row>
    <row r="354" spans="1:28" ht="15.75" customHeight="1" x14ac:dyDescent="0.25">
      <c r="A354" s="45"/>
      <c r="B354" s="45"/>
      <c r="C354" s="46"/>
      <c r="D354" s="46"/>
      <c r="E354" s="45"/>
      <c r="F354" s="45"/>
      <c r="G354" s="47"/>
      <c r="H354" s="45"/>
      <c r="I354" s="45"/>
      <c r="J354" s="45"/>
      <c r="K354" s="45"/>
      <c r="L354" s="20"/>
      <c r="M354" s="20"/>
      <c r="N354" s="20"/>
      <c r="O354" s="20"/>
      <c r="P354" s="20"/>
      <c r="Q354" s="20"/>
      <c r="R354" s="20"/>
      <c r="S354" s="20"/>
      <c r="T354" s="20"/>
      <c r="U354" s="20"/>
      <c r="V354" s="20"/>
      <c r="W354" s="20"/>
      <c r="X354" s="20"/>
      <c r="Y354" s="20"/>
      <c r="Z354" s="21"/>
      <c r="AA354" s="22"/>
      <c r="AB354" s="23"/>
    </row>
    <row r="355" spans="1:28" ht="15.75" customHeight="1" x14ac:dyDescent="0.25">
      <c r="A355" s="45"/>
      <c r="B355" s="45"/>
      <c r="C355" s="46"/>
      <c r="D355" s="46"/>
      <c r="E355" s="45"/>
      <c r="F355" s="45"/>
      <c r="G355" s="47"/>
      <c r="H355" s="45"/>
      <c r="I355" s="45"/>
      <c r="J355" s="45"/>
      <c r="K355" s="45"/>
      <c r="L355" s="20"/>
      <c r="M355" s="20"/>
      <c r="N355" s="20"/>
      <c r="O355" s="20"/>
      <c r="P355" s="20"/>
      <c r="Q355" s="20"/>
      <c r="R355" s="20"/>
      <c r="S355" s="20"/>
      <c r="T355" s="20"/>
      <c r="U355" s="20"/>
      <c r="V355" s="20"/>
      <c r="W355" s="20"/>
      <c r="X355" s="20"/>
      <c r="Y355" s="20"/>
      <c r="Z355" s="21"/>
      <c r="AA355" s="22"/>
      <c r="AB355" s="23"/>
    </row>
    <row r="356" spans="1:28" ht="15.75" customHeight="1" x14ac:dyDescent="0.25">
      <c r="A356" s="45"/>
      <c r="B356" s="45"/>
      <c r="C356" s="46"/>
      <c r="D356" s="46"/>
      <c r="E356" s="45"/>
      <c r="F356" s="45"/>
      <c r="G356" s="47"/>
      <c r="H356" s="45"/>
      <c r="I356" s="45"/>
      <c r="J356" s="45"/>
      <c r="K356" s="45"/>
      <c r="L356" s="20"/>
      <c r="M356" s="20"/>
      <c r="N356" s="20"/>
      <c r="O356" s="20"/>
      <c r="P356" s="20"/>
      <c r="Q356" s="20"/>
      <c r="R356" s="20"/>
      <c r="S356" s="20"/>
      <c r="T356" s="20"/>
      <c r="U356" s="20"/>
      <c r="V356" s="20"/>
      <c r="W356" s="20"/>
      <c r="X356" s="20"/>
      <c r="Y356" s="20"/>
      <c r="Z356" s="21"/>
      <c r="AA356" s="22"/>
      <c r="AB356" s="23"/>
    </row>
    <row r="357" spans="1:28" ht="15.75" customHeight="1" x14ac:dyDescent="0.25">
      <c r="A357" s="45"/>
      <c r="B357" s="45"/>
      <c r="C357" s="46"/>
      <c r="D357" s="46"/>
      <c r="E357" s="45"/>
      <c r="F357" s="45"/>
      <c r="G357" s="47"/>
      <c r="H357" s="45"/>
      <c r="I357" s="45"/>
      <c r="J357" s="45"/>
      <c r="K357" s="45"/>
      <c r="L357" s="20"/>
      <c r="M357" s="20"/>
      <c r="N357" s="20"/>
      <c r="O357" s="20"/>
      <c r="P357" s="20"/>
      <c r="Q357" s="20"/>
      <c r="R357" s="20"/>
      <c r="S357" s="20"/>
      <c r="T357" s="20"/>
      <c r="U357" s="20"/>
      <c r="V357" s="20"/>
      <c r="W357" s="20"/>
      <c r="X357" s="20"/>
      <c r="Y357" s="20"/>
      <c r="Z357" s="21"/>
      <c r="AA357" s="22"/>
      <c r="AB357" s="23"/>
    </row>
    <row r="358" spans="1:28" ht="15.75" customHeight="1" x14ac:dyDescent="0.25">
      <c r="A358" s="45"/>
      <c r="B358" s="45"/>
      <c r="C358" s="46"/>
      <c r="D358" s="46"/>
      <c r="E358" s="45"/>
      <c r="F358" s="45"/>
      <c r="G358" s="47"/>
      <c r="H358" s="45"/>
      <c r="I358" s="45"/>
      <c r="J358" s="45"/>
      <c r="K358" s="45"/>
      <c r="L358" s="20"/>
      <c r="M358" s="20"/>
      <c r="N358" s="20"/>
      <c r="O358" s="20"/>
      <c r="P358" s="20"/>
      <c r="Q358" s="20"/>
      <c r="R358" s="20"/>
      <c r="S358" s="20"/>
      <c r="T358" s="20"/>
      <c r="U358" s="20"/>
      <c r="V358" s="20"/>
      <c r="W358" s="20"/>
      <c r="X358" s="20"/>
      <c r="Y358" s="20"/>
      <c r="Z358" s="21"/>
      <c r="AA358" s="22"/>
      <c r="AB358" s="23"/>
    </row>
    <row r="359" spans="1:28" ht="15.75" customHeight="1" x14ac:dyDescent="0.25">
      <c r="A359" s="45"/>
      <c r="B359" s="45"/>
      <c r="C359" s="46"/>
      <c r="D359" s="46"/>
      <c r="E359" s="45"/>
      <c r="F359" s="45"/>
      <c r="G359" s="47"/>
      <c r="H359" s="45"/>
      <c r="I359" s="45"/>
      <c r="J359" s="45"/>
      <c r="K359" s="45"/>
      <c r="L359" s="20"/>
      <c r="M359" s="20"/>
      <c r="N359" s="20"/>
      <c r="O359" s="20"/>
      <c r="P359" s="20"/>
      <c r="Q359" s="20"/>
      <c r="R359" s="20"/>
      <c r="S359" s="20"/>
      <c r="T359" s="20"/>
      <c r="U359" s="20"/>
      <c r="V359" s="20"/>
      <c r="W359" s="20"/>
      <c r="X359" s="20"/>
      <c r="Y359" s="20"/>
      <c r="Z359" s="21"/>
      <c r="AA359" s="22"/>
      <c r="AB359" s="23"/>
    </row>
    <row r="360" spans="1:28" ht="15.75" customHeight="1" x14ac:dyDescent="0.25">
      <c r="A360" s="45"/>
      <c r="B360" s="45"/>
      <c r="C360" s="46"/>
      <c r="D360" s="46"/>
      <c r="E360" s="45"/>
      <c r="F360" s="45"/>
      <c r="G360" s="47"/>
      <c r="H360" s="45"/>
      <c r="I360" s="45"/>
      <c r="J360" s="45"/>
      <c r="K360" s="45"/>
      <c r="L360" s="20"/>
      <c r="M360" s="20"/>
      <c r="N360" s="20"/>
      <c r="O360" s="20"/>
      <c r="P360" s="20"/>
      <c r="Q360" s="20"/>
      <c r="R360" s="20"/>
      <c r="S360" s="20"/>
      <c r="T360" s="20"/>
      <c r="U360" s="20"/>
      <c r="V360" s="20"/>
      <c r="W360" s="20"/>
      <c r="X360" s="20"/>
      <c r="Y360" s="20"/>
      <c r="Z360" s="21"/>
      <c r="AA360" s="22"/>
      <c r="AB360" s="23"/>
    </row>
    <row r="361" spans="1:28" ht="15.75" customHeight="1" x14ac:dyDescent="0.25">
      <c r="A361" s="45"/>
      <c r="B361" s="45"/>
      <c r="C361" s="46"/>
      <c r="D361" s="46"/>
      <c r="E361" s="45"/>
      <c r="F361" s="45"/>
      <c r="G361" s="47"/>
      <c r="H361" s="45"/>
      <c r="I361" s="45"/>
      <c r="J361" s="45"/>
      <c r="K361" s="45"/>
      <c r="L361" s="20"/>
      <c r="M361" s="20"/>
      <c r="N361" s="20"/>
      <c r="O361" s="20"/>
      <c r="P361" s="20"/>
      <c r="Q361" s="20"/>
      <c r="R361" s="20"/>
      <c r="S361" s="20"/>
      <c r="T361" s="20"/>
      <c r="U361" s="20"/>
      <c r="V361" s="20"/>
      <c r="W361" s="20"/>
      <c r="X361" s="20"/>
      <c r="Y361" s="20"/>
      <c r="Z361" s="21"/>
      <c r="AA361" s="22"/>
      <c r="AB361" s="23"/>
    </row>
    <row r="362" spans="1:28" ht="15.75" customHeight="1" x14ac:dyDescent="0.25">
      <c r="A362" s="45"/>
      <c r="B362" s="45"/>
      <c r="C362" s="46"/>
      <c r="D362" s="46"/>
      <c r="E362" s="45"/>
      <c r="F362" s="45"/>
      <c r="G362" s="47"/>
      <c r="H362" s="45"/>
      <c r="I362" s="45"/>
      <c r="J362" s="45"/>
      <c r="K362" s="45"/>
      <c r="L362" s="20"/>
      <c r="M362" s="20"/>
      <c r="N362" s="20"/>
      <c r="O362" s="20"/>
      <c r="P362" s="20"/>
      <c r="Q362" s="20"/>
      <c r="R362" s="20"/>
      <c r="S362" s="20"/>
      <c r="T362" s="20"/>
      <c r="U362" s="20"/>
      <c r="V362" s="20"/>
      <c r="W362" s="20"/>
      <c r="X362" s="20"/>
      <c r="Y362" s="20"/>
      <c r="Z362" s="21"/>
      <c r="AA362" s="22"/>
      <c r="AB362" s="23"/>
    </row>
    <row r="363" spans="1:28" ht="15.75" customHeight="1" x14ac:dyDescent="0.25">
      <c r="A363" s="45"/>
      <c r="B363" s="45"/>
      <c r="C363" s="46"/>
      <c r="D363" s="46"/>
      <c r="E363" s="45"/>
      <c r="F363" s="45"/>
      <c r="G363" s="47"/>
      <c r="H363" s="45"/>
      <c r="I363" s="45"/>
      <c r="J363" s="45"/>
      <c r="K363" s="45"/>
      <c r="L363" s="20"/>
      <c r="M363" s="20"/>
      <c r="N363" s="20"/>
      <c r="O363" s="20"/>
      <c r="P363" s="20"/>
      <c r="Q363" s="20"/>
      <c r="R363" s="20"/>
      <c r="S363" s="20"/>
      <c r="T363" s="20"/>
      <c r="U363" s="20"/>
      <c r="V363" s="20"/>
      <c r="W363" s="20"/>
      <c r="X363" s="20"/>
      <c r="Y363" s="20"/>
      <c r="Z363" s="21"/>
      <c r="AA363" s="22"/>
      <c r="AB363" s="23"/>
    </row>
    <row r="364" spans="1:28" ht="15.75" customHeight="1" x14ac:dyDescent="0.25">
      <c r="A364" s="45"/>
      <c r="B364" s="45"/>
      <c r="C364" s="46"/>
      <c r="D364" s="46"/>
      <c r="E364" s="45"/>
      <c r="F364" s="45"/>
      <c r="G364" s="47"/>
      <c r="H364" s="45"/>
      <c r="I364" s="45"/>
      <c r="J364" s="45"/>
      <c r="K364" s="45"/>
      <c r="L364" s="20"/>
      <c r="M364" s="20"/>
      <c r="N364" s="20"/>
      <c r="O364" s="20"/>
      <c r="P364" s="20"/>
      <c r="Q364" s="20"/>
      <c r="R364" s="20"/>
      <c r="S364" s="20"/>
      <c r="T364" s="20"/>
      <c r="U364" s="20"/>
      <c r="V364" s="20"/>
      <c r="W364" s="20"/>
      <c r="X364" s="20"/>
      <c r="Y364" s="20"/>
      <c r="Z364" s="21"/>
      <c r="AA364" s="22"/>
      <c r="AB364" s="23"/>
    </row>
    <row r="365" spans="1:28" ht="15.75" customHeight="1" x14ac:dyDescent="0.25">
      <c r="A365" s="45"/>
      <c r="B365" s="45"/>
      <c r="C365" s="46"/>
      <c r="D365" s="46"/>
      <c r="E365" s="45"/>
      <c r="F365" s="45"/>
      <c r="G365" s="47"/>
      <c r="H365" s="45"/>
      <c r="I365" s="45"/>
      <c r="J365" s="45"/>
      <c r="K365" s="45"/>
      <c r="L365" s="20"/>
      <c r="M365" s="20"/>
      <c r="N365" s="20"/>
      <c r="O365" s="20"/>
      <c r="P365" s="20"/>
      <c r="Q365" s="20"/>
      <c r="R365" s="20"/>
      <c r="S365" s="20"/>
      <c r="T365" s="20"/>
      <c r="U365" s="20"/>
      <c r="V365" s="20"/>
      <c r="W365" s="20"/>
      <c r="X365" s="20"/>
      <c r="Y365" s="20"/>
      <c r="Z365" s="21"/>
      <c r="AA365" s="22"/>
      <c r="AB365" s="23"/>
    </row>
    <row r="366" spans="1:28" ht="15.75" customHeight="1" x14ac:dyDescent="0.25">
      <c r="A366" s="45"/>
      <c r="B366" s="45"/>
      <c r="C366" s="46"/>
      <c r="D366" s="46"/>
      <c r="E366" s="45"/>
      <c r="F366" s="45"/>
      <c r="G366" s="47"/>
      <c r="H366" s="45"/>
      <c r="I366" s="45"/>
      <c r="J366" s="45"/>
      <c r="K366" s="45"/>
      <c r="L366" s="20"/>
      <c r="M366" s="20"/>
      <c r="N366" s="20"/>
      <c r="O366" s="20"/>
      <c r="P366" s="20"/>
      <c r="Q366" s="20"/>
      <c r="R366" s="20"/>
      <c r="S366" s="20"/>
      <c r="T366" s="20"/>
      <c r="U366" s="20"/>
      <c r="V366" s="20"/>
      <c r="W366" s="20"/>
      <c r="X366" s="20"/>
      <c r="Y366" s="20"/>
      <c r="Z366" s="21"/>
      <c r="AA366" s="22"/>
      <c r="AB366" s="23"/>
    </row>
    <row r="367" spans="1:28" ht="15.75" customHeight="1" x14ac:dyDescent="0.25">
      <c r="A367" s="45"/>
      <c r="B367" s="45"/>
      <c r="C367" s="46"/>
      <c r="D367" s="46"/>
      <c r="E367" s="45"/>
      <c r="F367" s="45"/>
      <c r="G367" s="47"/>
      <c r="H367" s="45"/>
      <c r="I367" s="45"/>
      <c r="J367" s="45"/>
      <c r="K367" s="45"/>
      <c r="L367" s="20"/>
      <c r="M367" s="20"/>
      <c r="N367" s="20"/>
      <c r="O367" s="20"/>
      <c r="P367" s="20"/>
      <c r="Q367" s="20"/>
      <c r="R367" s="20"/>
      <c r="S367" s="20"/>
      <c r="T367" s="20"/>
      <c r="U367" s="20"/>
      <c r="V367" s="20"/>
      <c r="W367" s="20"/>
      <c r="X367" s="20"/>
      <c r="Y367" s="20"/>
      <c r="Z367" s="21"/>
      <c r="AA367" s="22"/>
      <c r="AB367" s="23"/>
    </row>
    <row r="368" spans="1:28" ht="15.75" customHeight="1" x14ac:dyDescent="0.25">
      <c r="A368" s="45"/>
      <c r="B368" s="45"/>
      <c r="C368" s="46"/>
      <c r="D368" s="46"/>
      <c r="E368" s="45"/>
      <c r="F368" s="45"/>
      <c r="G368" s="47"/>
      <c r="H368" s="45"/>
      <c r="I368" s="45"/>
      <c r="J368" s="45"/>
      <c r="K368" s="45"/>
      <c r="L368" s="20"/>
      <c r="M368" s="20"/>
      <c r="N368" s="20"/>
      <c r="O368" s="20"/>
      <c r="P368" s="20"/>
      <c r="Q368" s="20"/>
      <c r="R368" s="20"/>
      <c r="S368" s="20"/>
      <c r="T368" s="20"/>
      <c r="U368" s="20"/>
      <c r="V368" s="20"/>
      <c r="W368" s="20"/>
      <c r="X368" s="20"/>
      <c r="Y368" s="20"/>
      <c r="Z368" s="21"/>
      <c r="AA368" s="22"/>
      <c r="AB368" s="23"/>
    </row>
    <row r="369" spans="1:28" ht="15.75" customHeight="1" x14ac:dyDescent="0.25">
      <c r="A369" s="45"/>
      <c r="B369" s="45"/>
      <c r="C369" s="46"/>
      <c r="D369" s="46"/>
      <c r="E369" s="45"/>
      <c r="F369" s="45"/>
      <c r="G369" s="47"/>
      <c r="H369" s="45"/>
      <c r="I369" s="45"/>
      <c r="J369" s="45"/>
      <c r="K369" s="45"/>
      <c r="L369" s="20"/>
      <c r="M369" s="20"/>
      <c r="N369" s="20"/>
      <c r="O369" s="20"/>
      <c r="P369" s="20"/>
      <c r="Q369" s="20"/>
      <c r="R369" s="20"/>
      <c r="S369" s="20"/>
      <c r="T369" s="20"/>
      <c r="U369" s="20"/>
      <c r="V369" s="20"/>
      <c r="W369" s="20"/>
      <c r="X369" s="20"/>
      <c r="Y369" s="20"/>
      <c r="Z369" s="21"/>
      <c r="AA369" s="22"/>
      <c r="AB369" s="23"/>
    </row>
    <row r="370" spans="1:28" ht="15.75" customHeight="1" x14ac:dyDescent="0.25">
      <c r="A370" s="45"/>
      <c r="B370" s="45"/>
      <c r="C370" s="46"/>
      <c r="D370" s="46"/>
      <c r="E370" s="45"/>
      <c r="F370" s="45"/>
      <c r="G370" s="47"/>
      <c r="H370" s="45"/>
      <c r="I370" s="45"/>
      <c r="J370" s="45"/>
      <c r="K370" s="45"/>
      <c r="L370" s="20"/>
      <c r="M370" s="20"/>
      <c r="N370" s="20"/>
      <c r="O370" s="20"/>
      <c r="P370" s="20"/>
      <c r="Q370" s="20"/>
      <c r="R370" s="20"/>
      <c r="S370" s="20"/>
      <c r="T370" s="20"/>
      <c r="U370" s="20"/>
      <c r="V370" s="20"/>
      <c r="W370" s="20"/>
      <c r="X370" s="20"/>
      <c r="Y370" s="20"/>
      <c r="Z370" s="21"/>
      <c r="AA370" s="22"/>
      <c r="AB370" s="23"/>
    </row>
    <row r="371" spans="1:28" ht="15.75" customHeight="1" x14ac:dyDescent="0.25">
      <c r="A371" s="45"/>
      <c r="B371" s="45"/>
      <c r="C371" s="46"/>
      <c r="D371" s="46"/>
      <c r="E371" s="45"/>
      <c r="F371" s="45"/>
      <c r="G371" s="47"/>
      <c r="H371" s="45"/>
      <c r="I371" s="45"/>
      <c r="J371" s="45"/>
      <c r="K371" s="45"/>
      <c r="L371" s="20"/>
      <c r="M371" s="20"/>
      <c r="N371" s="20"/>
      <c r="O371" s="20"/>
      <c r="P371" s="20"/>
      <c r="Q371" s="20"/>
      <c r="R371" s="20"/>
      <c r="S371" s="20"/>
      <c r="T371" s="20"/>
      <c r="U371" s="20"/>
      <c r="V371" s="20"/>
      <c r="W371" s="20"/>
      <c r="X371" s="20"/>
      <c r="Y371" s="20"/>
      <c r="Z371" s="21"/>
      <c r="AA371" s="22"/>
      <c r="AB371" s="23"/>
    </row>
    <row r="372" spans="1:28" ht="15.75" customHeight="1" x14ac:dyDescent="0.25">
      <c r="A372" s="45"/>
      <c r="B372" s="45"/>
      <c r="C372" s="46"/>
      <c r="D372" s="46"/>
      <c r="E372" s="45"/>
      <c r="F372" s="45"/>
      <c r="G372" s="47"/>
      <c r="H372" s="45"/>
      <c r="I372" s="45"/>
      <c r="J372" s="45"/>
      <c r="K372" s="45"/>
      <c r="L372" s="20"/>
      <c r="M372" s="20"/>
      <c r="N372" s="20"/>
      <c r="O372" s="20"/>
      <c r="P372" s="20"/>
      <c r="Q372" s="20"/>
      <c r="R372" s="20"/>
      <c r="S372" s="20"/>
      <c r="T372" s="20"/>
      <c r="U372" s="20"/>
      <c r="V372" s="20"/>
      <c r="W372" s="20"/>
      <c r="X372" s="20"/>
      <c r="Y372" s="20"/>
      <c r="Z372" s="21"/>
      <c r="AA372" s="22"/>
      <c r="AB372" s="23"/>
    </row>
    <row r="373" spans="1:28" ht="15.75" customHeight="1" x14ac:dyDescent="0.25">
      <c r="A373" s="45"/>
      <c r="B373" s="45"/>
      <c r="C373" s="46"/>
      <c r="D373" s="46"/>
      <c r="E373" s="45"/>
      <c r="F373" s="45"/>
      <c r="G373" s="47"/>
      <c r="H373" s="45"/>
      <c r="I373" s="45"/>
      <c r="J373" s="45"/>
      <c r="K373" s="45"/>
      <c r="L373" s="20"/>
      <c r="M373" s="20"/>
      <c r="N373" s="20"/>
      <c r="O373" s="20"/>
      <c r="P373" s="20"/>
      <c r="Q373" s="20"/>
      <c r="R373" s="20"/>
      <c r="S373" s="20"/>
      <c r="T373" s="20"/>
      <c r="U373" s="20"/>
      <c r="V373" s="20"/>
      <c r="W373" s="20"/>
      <c r="X373" s="20"/>
      <c r="Y373" s="20"/>
      <c r="Z373" s="21"/>
      <c r="AA373" s="22"/>
      <c r="AB373" s="23"/>
    </row>
    <row r="374" spans="1:28" ht="15.75" customHeight="1" x14ac:dyDescent="0.25">
      <c r="A374" s="45"/>
      <c r="B374" s="45"/>
      <c r="C374" s="46"/>
      <c r="D374" s="46"/>
      <c r="E374" s="45"/>
      <c r="F374" s="45"/>
      <c r="G374" s="47"/>
      <c r="H374" s="45"/>
      <c r="I374" s="45"/>
      <c r="J374" s="45"/>
      <c r="K374" s="45"/>
      <c r="L374" s="20"/>
      <c r="M374" s="20"/>
      <c r="N374" s="20"/>
      <c r="O374" s="20"/>
      <c r="P374" s="20"/>
      <c r="Q374" s="20"/>
      <c r="R374" s="20"/>
      <c r="S374" s="20"/>
      <c r="T374" s="20"/>
      <c r="U374" s="20"/>
      <c r="V374" s="20"/>
      <c r="W374" s="20"/>
      <c r="X374" s="20"/>
      <c r="Y374" s="20"/>
      <c r="Z374" s="21"/>
      <c r="AA374" s="22"/>
      <c r="AB374" s="23"/>
    </row>
    <row r="375" spans="1:28" ht="15.75" customHeight="1" x14ac:dyDescent="0.25">
      <c r="A375" s="45"/>
      <c r="B375" s="45"/>
      <c r="C375" s="46"/>
      <c r="D375" s="46"/>
      <c r="E375" s="45"/>
      <c r="F375" s="45"/>
      <c r="G375" s="47"/>
      <c r="H375" s="45"/>
      <c r="I375" s="45"/>
      <c r="J375" s="45"/>
      <c r="K375" s="45"/>
      <c r="L375" s="20"/>
      <c r="M375" s="20"/>
      <c r="N375" s="20"/>
      <c r="O375" s="20"/>
      <c r="P375" s="20"/>
      <c r="Q375" s="20"/>
      <c r="R375" s="20"/>
      <c r="S375" s="20"/>
      <c r="T375" s="20"/>
      <c r="U375" s="20"/>
      <c r="V375" s="20"/>
      <c r="W375" s="20"/>
      <c r="X375" s="20"/>
      <c r="Y375" s="20"/>
      <c r="Z375" s="21"/>
      <c r="AA375" s="22"/>
      <c r="AB375" s="23"/>
    </row>
    <row r="376" spans="1:28" ht="15.75" customHeight="1" x14ac:dyDescent="0.25">
      <c r="A376" s="45"/>
      <c r="B376" s="45"/>
      <c r="C376" s="46"/>
      <c r="D376" s="46"/>
      <c r="E376" s="45"/>
      <c r="F376" s="45"/>
      <c r="G376" s="47"/>
      <c r="H376" s="45"/>
      <c r="I376" s="45"/>
      <c r="J376" s="45"/>
      <c r="K376" s="45"/>
      <c r="L376" s="20"/>
      <c r="M376" s="20"/>
      <c r="N376" s="20"/>
      <c r="O376" s="20"/>
      <c r="P376" s="20"/>
      <c r="Q376" s="20"/>
      <c r="R376" s="20"/>
      <c r="S376" s="20"/>
      <c r="T376" s="20"/>
      <c r="U376" s="20"/>
      <c r="V376" s="20"/>
      <c r="W376" s="20"/>
      <c r="X376" s="20"/>
      <c r="Y376" s="20"/>
      <c r="Z376" s="21"/>
      <c r="AA376" s="22"/>
      <c r="AB376" s="23"/>
    </row>
    <row r="377" spans="1:28" ht="15.75" customHeight="1" x14ac:dyDescent="0.25">
      <c r="A377" s="45"/>
      <c r="B377" s="45"/>
      <c r="C377" s="46"/>
      <c r="D377" s="46"/>
      <c r="E377" s="45"/>
      <c r="F377" s="45"/>
      <c r="G377" s="47"/>
      <c r="H377" s="45"/>
      <c r="I377" s="45"/>
      <c r="J377" s="45"/>
      <c r="K377" s="45"/>
      <c r="L377" s="20"/>
      <c r="M377" s="20"/>
      <c r="N377" s="20"/>
      <c r="O377" s="20"/>
      <c r="P377" s="20"/>
      <c r="Q377" s="20"/>
      <c r="R377" s="20"/>
      <c r="S377" s="20"/>
      <c r="T377" s="20"/>
      <c r="U377" s="20"/>
      <c r="V377" s="20"/>
      <c r="W377" s="20"/>
      <c r="X377" s="20"/>
      <c r="Y377" s="20"/>
      <c r="Z377" s="21"/>
      <c r="AA377" s="22"/>
      <c r="AB377" s="23"/>
    </row>
    <row r="378" spans="1:28" ht="15.75" customHeight="1" x14ac:dyDescent="0.25">
      <c r="A378" s="45"/>
      <c r="B378" s="45"/>
      <c r="C378" s="46"/>
      <c r="D378" s="46"/>
      <c r="E378" s="45"/>
      <c r="F378" s="45"/>
      <c r="G378" s="47"/>
      <c r="H378" s="45"/>
      <c r="I378" s="45"/>
      <c r="J378" s="45"/>
      <c r="K378" s="45"/>
      <c r="L378" s="20"/>
      <c r="M378" s="20"/>
      <c r="N378" s="20"/>
      <c r="O378" s="20"/>
      <c r="P378" s="20"/>
      <c r="Q378" s="20"/>
      <c r="R378" s="20"/>
      <c r="S378" s="20"/>
      <c r="T378" s="20"/>
      <c r="U378" s="20"/>
      <c r="V378" s="20"/>
      <c r="W378" s="20"/>
      <c r="X378" s="20"/>
      <c r="Y378" s="20"/>
      <c r="Z378" s="21"/>
      <c r="AA378" s="22"/>
      <c r="AB378" s="23"/>
    </row>
    <row r="379" spans="1:28" ht="15.75" customHeight="1" x14ac:dyDescent="0.25">
      <c r="A379" s="45"/>
      <c r="B379" s="45"/>
      <c r="C379" s="46"/>
      <c r="D379" s="46"/>
      <c r="E379" s="45"/>
      <c r="F379" s="45"/>
      <c r="G379" s="47"/>
      <c r="H379" s="45"/>
      <c r="I379" s="45"/>
      <c r="J379" s="45"/>
      <c r="K379" s="45"/>
      <c r="L379" s="20"/>
      <c r="M379" s="20"/>
      <c r="N379" s="20"/>
      <c r="O379" s="20"/>
      <c r="P379" s="20"/>
      <c r="Q379" s="20"/>
      <c r="R379" s="20"/>
      <c r="S379" s="20"/>
      <c r="T379" s="20"/>
      <c r="U379" s="20"/>
      <c r="V379" s="20"/>
      <c r="W379" s="20"/>
      <c r="X379" s="20"/>
      <c r="Y379" s="20"/>
      <c r="Z379" s="21"/>
      <c r="AA379" s="22"/>
      <c r="AB379" s="23"/>
    </row>
    <row r="380" spans="1:28" ht="15.75" customHeight="1" x14ac:dyDescent="0.25">
      <c r="A380" s="45"/>
      <c r="B380" s="45"/>
      <c r="C380" s="46"/>
      <c r="D380" s="46"/>
      <c r="E380" s="45"/>
      <c r="F380" s="45"/>
      <c r="G380" s="47"/>
      <c r="H380" s="45"/>
      <c r="I380" s="45"/>
      <c r="J380" s="45"/>
      <c r="K380" s="45"/>
      <c r="L380" s="20"/>
      <c r="M380" s="20"/>
      <c r="N380" s="20"/>
      <c r="O380" s="20"/>
      <c r="P380" s="20"/>
      <c r="Q380" s="20"/>
      <c r="R380" s="20"/>
      <c r="S380" s="20"/>
      <c r="T380" s="20"/>
      <c r="U380" s="20"/>
      <c r="V380" s="20"/>
      <c r="W380" s="20"/>
      <c r="X380" s="20"/>
      <c r="Y380" s="20"/>
      <c r="Z380" s="21"/>
      <c r="AA380" s="22"/>
      <c r="AB380" s="23"/>
    </row>
    <row r="381" spans="1:28" ht="15.75" customHeight="1" x14ac:dyDescent="0.25">
      <c r="G381" s="1"/>
    </row>
    <row r="382" spans="1:28" ht="15.75" customHeight="1" x14ac:dyDescent="0.25">
      <c r="G382" s="1"/>
    </row>
    <row r="383" spans="1:28" ht="15.75" customHeight="1" x14ac:dyDescent="0.25">
      <c r="G383" s="1"/>
    </row>
    <row r="384" spans="1:28" ht="15.75" customHeight="1" x14ac:dyDescent="0.25">
      <c r="G384" s="1"/>
    </row>
    <row r="385" spans="7:7" ht="15.75" customHeight="1" x14ac:dyDescent="0.25">
      <c r="G385" s="1"/>
    </row>
    <row r="386" spans="7:7" ht="15.75" customHeight="1" x14ac:dyDescent="0.25">
      <c r="G386" s="1"/>
    </row>
    <row r="387" spans="7:7" ht="15.75" customHeight="1" x14ac:dyDescent="0.25">
      <c r="G387" s="1"/>
    </row>
    <row r="388" spans="7:7" ht="15.75" customHeight="1" x14ac:dyDescent="0.25">
      <c r="G388" s="1"/>
    </row>
    <row r="389" spans="7:7" ht="15.75" customHeight="1" x14ac:dyDescent="0.25">
      <c r="G389" s="1"/>
    </row>
    <row r="390" spans="7:7" ht="15.75" customHeight="1" x14ac:dyDescent="0.25">
      <c r="G390" s="1"/>
    </row>
    <row r="391" spans="7:7" ht="15.75" customHeight="1" x14ac:dyDescent="0.25">
      <c r="G391" s="1"/>
    </row>
    <row r="392" spans="7:7" ht="15.75" customHeight="1" x14ac:dyDescent="0.25">
      <c r="G392" s="1"/>
    </row>
    <row r="393" spans="7:7" ht="15.75" customHeight="1" x14ac:dyDescent="0.25">
      <c r="G393" s="1"/>
    </row>
    <row r="394" spans="7:7" ht="15.75" customHeight="1" x14ac:dyDescent="0.25">
      <c r="G394" s="1"/>
    </row>
    <row r="395" spans="7:7" ht="15.75" customHeight="1" x14ac:dyDescent="0.25">
      <c r="G395" s="1"/>
    </row>
    <row r="396" spans="7:7" ht="15.75" customHeight="1" x14ac:dyDescent="0.25">
      <c r="G396" s="1"/>
    </row>
    <row r="397" spans="7:7" ht="15.75" customHeight="1" x14ac:dyDescent="0.25">
      <c r="G397" s="1"/>
    </row>
    <row r="398" spans="7:7" ht="15.75" customHeight="1" x14ac:dyDescent="0.25">
      <c r="G398" s="1"/>
    </row>
    <row r="399" spans="7:7" ht="15.75" customHeight="1" x14ac:dyDescent="0.25">
      <c r="G399" s="1"/>
    </row>
    <row r="400" spans="7:7" ht="15.75" customHeight="1" x14ac:dyDescent="0.25">
      <c r="G400" s="1"/>
    </row>
    <row r="401" spans="7:7" ht="15.75" customHeight="1" x14ac:dyDescent="0.25">
      <c r="G401" s="1"/>
    </row>
    <row r="402" spans="7:7" ht="15.75" customHeight="1" x14ac:dyDescent="0.25">
      <c r="G402" s="1"/>
    </row>
    <row r="403" spans="7:7" ht="15.75" customHeight="1" x14ac:dyDescent="0.25">
      <c r="G403" s="1"/>
    </row>
    <row r="404" spans="7:7" ht="15.75" customHeight="1" x14ac:dyDescent="0.25">
      <c r="G404" s="1"/>
    </row>
    <row r="405" spans="7:7" ht="15.75" customHeight="1" x14ac:dyDescent="0.25">
      <c r="G405" s="1"/>
    </row>
    <row r="406" spans="7:7" ht="15.75" customHeight="1" x14ac:dyDescent="0.25">
      <c r="G406" s="1"/>
    </row>
    <row r="407" spans="7:7" ht="15.75" customHeight="1" x14ac:dyDescent="0.25">
      <c r="G407" s="1"/>
    </row>
    <row r="408" spans="7:7" ht="15.75" customHeight="1" x14ac:dyDescent="0.25">
      <c r="G408" s="1"/>
    </row>
    <row r="409" spans="7:7" ht="15.75" customHeight="1" x14ac:dyDescent="0.25">
      <c r="G409" s="1"/>
    </row>
    <row r="410" spans="7:7" ht="15.75" customHeight="1" x14ac:dyDescent="0.25">
      <c r="G410" s="1"/>
    </row>
    <row r="411" spans="7:7" ht="15.75" customHeight="1" x14ac:dyDescent="0.25">
      <c r="G411" s="1"/>
    </row>
    <row r="412" spans="7:7" ht="15.75" customHeight="1" x14ac:dyDescent="0.25">
      <c r="G412" s="1"/>
    </row>
    <row r="413" spans="7:7" ht="15.75" customHeight="1" x14ac:dyDescent="0.25">
      <c r="G413" s="1"/>
    </row>
    <row r="414" spans="7:7" ht="15.75" customHeight="1" x14ac:dyDescent="0.25">
      <c r="G414" s="1"/>
    </row>
    <row r="415" spans="7:7" ht="15.75" customHeight="1" x14ac:dyDescent="0.25">
      <c r="G415" s="1"/>
    </row>
    <row r="416" spans="7:7" ht="15.75" customHeight="1" x14ac:dyDescent="0.25">
      <c r="G416" s="1"/>
    </row>
    <row r="417" spans="7:7" ht="15.75" customHeight="1" x14ac:dyDescent="0.25">
      <c r="G417" s="1"/>
    </row>
    <row r="418" spans="7:7" ht="15.75" customHeight="1" x14ac:dyDescent="0.25">
      <c r="G418" s="1"/>
    </row>
    <row r="419" spans="7:7" ht="15.75" customHeight="1" x14ac:dyDescent="0.25">
      <c r="G419" s="1"/>
    </row>
    <row r="420" spans="7:7" ht="15.75" customHeight="1" x14ac:dyDescent="0.25">
      <c r="G420" s="1"/>
    </row>
    <row r="421" spans="7:7" ht="15.75" customHeight="1" x14ac:dyDescent="0.25">
      <c r="G421" s="1"/>
    </row>
    <row r="422" spans="7:7" ht="15.75" customHeight="1" x14ac:dyDescent="0.25">
      <c r="G422" s="1"/>
    </row>
    <row r="423" spans="7:7" ht="15.75" customHeight="1" x14ac:dyDescent="0.25">
      <c r="G423" s="1"/>
    </row>
    <row r="424" spans="7:7" ht="15.75" customHeight="1" x14ac:dyDescent="0.25">
      <c r="G424" s="1"/>
    </row>
    <row r="425" spans="7:7" ht="15.75" customHeight="1" x14ac:dyDescent="0.25">
      <c r="G425" s="1"/>
    </row>
    <row r="426" spans="7:7" ht="15.75" customHeight="1" x14ac:dyDescent="0.25">
      <c r="G426" s="1"/>
    </row>
    <row r="427" spans="7:7" ht="15.75" customHeight="1" x14ac:dyDescent="0.25">
      <c r="G427" s="1"/>
    </row>
    <row r="428" spans="7:7" ht="15.75" customHeight="1" x14ac:dyDescent="0.25">
      <c r="G428" s="1"/>
    </row>
    <row r="429" spans="7:7" ht="15.75" customHeight="1" x14ac:dyDescent="0.25">
      <c r="G429" s="1"/>
    </row>
    <row r="430" spans="7:7" ht="15.75" customHeight="1" x14ac:dyDescent="0.25">
      <c r="G430" s="1"/>
    </row>
    <row r="431" spans="7:7" ht="15.75" customHeight="1" x14ac:dyDescent="0.25">
      <c r="G431" s="1"/>
    </row>
    <row r="432" spans="7:7" ht="15.75" customHeight="1" x14ac:dyDescent="0.25">
      <c r="G432" s="1"/>
    </row>
    <row r="433" spans="7:7" ht="15.75" customHeight="1" x14ac:dyDescent="0.25">
      <c r="G433" s="1"/>
    </row>
    <row r="434" spans="7:7" ht="15.75" customHeight="1" x14ac:dyDescent="0.25">
      <c r="G434" s="1"/>
    </row>
    <row r="435" spans="7:7" ht="15.75" customHeight="1" x14ac:dyDescent="0.25">
      <c r="G435" s="1"/>
    </row>
    <row r="436" spans="7:7" ht="15.75" customHeight="1" x14ac:dyDescent="0.25">
      <c r="G436" s="1"/>
    </row>
    <row r="437" spans="7:7" ht="15.75" customHeight="1" x14ac:dyDescent="0.25">
      <c r="G437" s="1"/>
    </row>
    <row r="438" spans="7:7" ht="15.75" customHeight="1" x14ac:dyDescent="0.25">
      <c r="G438" s="1"/>
    </row>
    <row r="439" spans="7:7" ht="15.75" customHeight="1" x14ac:dyDescent="0.25">
      <c r="G439" s="1"/>
    </row>
    <row r="440" spans="7:7" ht="15.75" customHeight="1" x14ac:dyDescent="0.25">
      <c r="G440" s="1"/>
    </row>
    <row r="441" spans="7:7" ht="15.75" customHeight="1" x14ac:dyDescent="0.25">
      <c r="G441" s="1"/>
    </row>
    <row r="442" spans="7:7" ht="15.75" customHeight="1" x14ac:dyDescent="0.25">
      <c r="G442" s="1"/>
    </row>
    <row r="443" spans="7:7" ht="15.75" customHeight="1" x14ac:dyDescent="0.25">
      <c r="G443" s="1"/>
    </row>
    <row r="444" spans="7:7" ht="15.75" customHeight="1" x14ac:dyDescent="0.25">
      <c r="G444" s="1"/>
    </row>
    <row r="445" spans="7:7" ht="15.75" customHeight="1" x14ac:dyDescent="0.25">
      <c r="G445" s="1"/>
    </row>
    <row r="446" spans="7:7" ht="15.75" customHeight="1" x14ac:dyDescent="0.25">
      <c r="G446" s="1"/>
    </row>
    <row r="447" spans="7:7" ht="15.75" customHeight="1" x14ac:dyDescent="0.25">
      <c r="G447" s="1"/>
    </row>
    <row r="448" spans="7:7" ht="15.75" customHeight="1" x14ac:dyDescent="0.25">
      <c r="G448" s="1"/>
    </row>
    <row r="449" spans="7:7" ht="15.75" customHeight="1" x14ac:dyDescent="0.25">
      <c r="G449" s="1"/>
    </row>
    <row r="450" spans="7:7" ht="15.75" customHeight="1" x14ac:dyDescent="0.25">
      <c r="G450" s="1"/>
    </row>
    <row r="451" spans="7:7" ht="15.75" customHeight="1" x14ac:dyDescent="0.25">
      <c r="G451" s="1"/>
    </row>
    <row r="452" spans="7:7" ht="15.75" customHeight="1" x14ac:dyDescent="0.25">
      <c r="G452" s="1"/>
    </row>
    <row r="453" spans="7:7" ht="15.75" customHeight="1" x14ac:dyDescent="0.25">
      <c r="G453" s="1"/>
    </row>
    <row r="454" spans="7:7" ht="15.75" customHeight="1" x14ac:dyDescent="0.25">
      <c r="G454" s="1"/>
    </row>
    <row r="455" spans="7:7" ht="15.75" customHeight="1" x14ac:dyDescent="0.25">
      <c r="G455" s="1"/>
    </row>
    <row r="456" spans="7:7" ht="15.75" customHeight="1" x14ac:dyDescent="0.25">
      <c r="G456" s="1"/>
    </row>
    <row r="457" spans="7:7" ht="15.75" customHeight="1" x14ac:dyDescent="0.25">
      <c r="G457" s="1"/>
    </row>
    <row r="458" spans="7:7" ht="15.75" customHeight="1" x14ac:dyDescent="0.25">
      <c r="G458" s="1"/>
    </row>
    <row r="459" spans="7:7" ht="15.75" customHeight="1" x14ac:dyDescent="0.25">
      <c r="G459" s="1"/>
    </row>
    <row r="460" spans="7:7" ht="15.75" customHeight="1" x14ac:dyDescent="0.25">
      <c r="G460" s="1"/>
    </row>
    <row r="461" spans="7:7" ht="15.75" customHeight="1" x14ac:dyDescent="0.25">
      <c r="G461" s="1"/>
    </row>
    <row r="462" spans="7:7" ht="15.75" customHeight="1" x14ac:dyDescent="0.25">
      <c r="G462" s="1"/>
    </row>
    <row r="463" spans="7:7" ht="15.75" customHeight="1" x14ac:dyDescent="0.25">
      <c r="G463" s="1"/>
    </row>
    <row r="464" spans="7:7" ht="15.75" customHeight="1" x14ac:dyDescent="0.25">
      <c r="G464" s="1"/>
    </row>
    <row r="465" spans="7:7" ht="15.75" customHeight="1" x14ac:dyDescent="0.25">
      <c r="G465" s="1"/>
    </row>
    <row r="466" spans="7:7" ht="15.75" customHeight="1" x14ac:dyDescent="0.25">
      <c r="G466" s="1"/>
    </row>
    <row r="467" spans="7:7" ht="15.75" customHeight="1" x14ac:dyDescent="0.25">
      <c r="G467" s="1"/>
    </row>
    <row r="468" spans="7:7" ht="15.75" customHeight="1" x14ac:dyDescent="0.25">
      <c r="G468" s="1"/>
    </row>
    <row r="469" spans="7:7" ht="15.75" customHeight="1" x14ac:dyDescent="0.25">
      <c r="G469" s="1"/>
    </row>
    <row r="470" spans="7:7" ht="15.75" customHeight="1" x14ac:dyDescent="0.25">
      <c r="G470" s="1"/>
    </row>
    <row r="471" spans="7:7" ht="15.75" customHeight="1" x14ac:dyDescent="0.25">
      <c r="G471" s="1"/>
    </row>
    <row r="472" spans="7:7" ht="15.75" customHeight="1" x14ac:dyDescent="0.25">
      <c r="G472" s="1"/>
    </row>
    <row r="473" spans="7:7" ht="15.75" customHeight="1" x14ac:dyDescent="0.25">
      <c r="G473" s="1"/>
    </row>
    <row r="474" spans="7:7" ht="15.75" customHeight="1" x14ac:dyDescent="0.25">
      <c r="G474" s="1"/>
    </row>
    <row r="475" spans="7:7" ht="15.75" customHeight="1" x14ac:dyDescent="0.25">
      <c r="G475" s="1"/>
    </row>
    <row r="476" spans="7:7" ht="15.75" customHeight="1" x14ac:dyDescent="0.25">
      <c r="G476" s="1"/>
    </row>
    <row r="477" spans="7:7" ht="15.75" customHeight="1" x14ac:dyDescent="0.25">
      <c r="G477" s="1"/>
    </row>
    <row r="478" spans="7:7" ht="15.75" customHeight="1" x14ac:dyDescent="0.25">
      <c r="G478" s="1"/>
    </row>
    <row r="479" spans="7:7" ht="15.75" customHeight="1" x14ac:dyDescent="0.25">
      <c r="G479" s="1"/>
    </row>
    <row r="480" spans="7:7" ht="15.75" customHeight="1" x14ac:dyDescent="0.25">
      <c r="G480" s="1"/>
    </row>
    <row r="481" spans="7:7" ht="15.75" customHeight="1" x14ac:dyDescent="0.25">
      <c r="G481" s="1"/>
    </row>
    <row r="482" spans="7:7" ht="15.75" customHeight="1" x14ac:dyDescent="0.25">
      <c r="G482" s="1"/>
    </row>
    <row r="483" spans="7:7" ht="15.75" customHeight="1" x14ac:dyDescent="0.25">
      <c r="G483" s="1"/>
    </row>
    <row r="484" spans="7:7" ht="15.75" customHeight="1" x14ac:dyDescent="0.25">
      <c r="G484" s="1"/>
    </row>
    <row r="485" spans="7:7" ht="15.75" customHeight="1" x14ac:dyDescent="0.25">
      <c r="G485" s="1"/>
    </row>
    <row r="486" spans="7:7" ht="15.75" customHeight="1" x14ac:dyDescent="0.25">
      <c r="G486" s="1"/>
    </row>
    <row r="487" spans="7:7" ht="15.75" customHeight="1" x14ac:dyDescent="0.25">
      <c r="G487" s="1"/>
    </row>
    <row r="488" spans="7:7" ht="15.75" customHeight="1" x14ac:dyDescent="0.25">
      <c r="G488" s="1"/>
    </row>
    <row r="489" spans="7:7" ht="15.75" customHeight="1" x14ac:dyDescent="0.25">
      <c r="G489" s="1"/>
    </row>
    <row r="490" spans="7:7" ht="15.75" customHeight="1" x14ac:dyDescent="0.25">
      <c r="G490" s="1"/>
    </row>
    <row r="491" spans="7:7" ht="15.75" customHeight="1" x14ac:dyDescent="0.25">
      <c r="G491" s="1"/>
    </row>
    <row r="492" spans="7:7" ht="15.75" customHeight="1" x14ac:dyDescent="0.25">
      <c r="G492" s="1"/>
    </row>
    <row r="493" spans="7:7" ht="15.75" customHeight="1" x14ac:dyDescent="0.25">
      <c r="G493" s="1"/>
    </row>
    <row r="494" spans="7:7" ht="15.75" customHeight="1" x14ac:dyDescent="0.25">
      <c r="G494" s="1"/>
    </row>
    <row r="495" spans="7:7" ht="15.75" customHeight="1" x14ac:dyDescent="0.25">
      <c r="G495" s="1"/>
    </row>
    <row r="496" spans="7:7" ht="15.75" customHeight="1" x14ac:dyDescent="0.25">
      <c r="G496" s="1"/>
    </row>
    <row r="497" spans="7:7" ht="15.75" customHeight="1" x14ac:dyDescent="0.25">
      <c r="G497" s="1"/>
    </row>
    <row r="498" spans="7:7" ht="15.75" customHeight="1" x14ac:dyDescent="0.25">
      <c r="G498" s="1"/>
    </row>
    <row r="499" spans="7:7" ht="15.75" customHeight="1" x14ac:dyDescent="0.25">
      <c r="G499" s="1"/>
    </row>
    <row r="500" spans="7:7" ht="15.75" customHeight="1" x14ac:dyDescent="0.25">
      <c r="G500" s="1"/>
    </row>
    <row r="501" spans="7:7" ht="15.75" customHeight="1" x14ac:dyDescent="0.25">
      <c r="G501" s="1"/>
    </row>
    <row r="502" spans="7:7" ht="15.75" customHeight="1" x14ac:dyDescent="0.25">
      <c r="G502" s="1"/>
    </row>
    <row r="503" spans="7:7" ht="15.75" customHeight="1" x14ac:dyDescent="0.25">
      <c r="G503" s="1"/>
    </row>
    <row r="504" spans="7:7" ht="15.75" customHeight="1" x14ac:dyDescent="0.25">
      <c r="G504" s="1"/>
    </row>
    <row r="505" spans="7:7" ht="15.75" customHeight="1" x14ac:dyDescent="0.25">
      <c r="G505" s="1"/>
    </row>
    <row r="506" spans="7:7" ht="15.75" customHeight="1" x14ac:dyDescent="0.25">
      <c r="G506" s="1"/>
    </row>
    <row r="507" spans="7:7" ht="15.75" customHeight="1" x14ac:dyDescent="0.25">
      <c r="G507" s="1"/>
    </row>
    <row r="508" spans="7:7" ht="15.75" customHeight="1" x14ac:dyDescent="0.25">
      <c r="G508" s="1"/>
    </row>
    <row r="509" spans="7:7" ht="15.75" customHeight="1" x14ac:dyDescent="0.25">
      <c r="G509" s="1"/>
    </row>
    <row r="510" spans="7:7" ht="15.75" customHeight="1" x14ac:dyDescent="0.25">
      <c r="G510" s="1"/>
    </row>
    <row r="511" spans="7:7" ht="15.75" customHeight="1" x14ac:dyDescent="0.25">
      <c r="G511" s="1"/>
    </row>
    <row r="512" spans="7:7" ht="15.75" customHeight="1" x14ac:dyDescent="0.25">
      <c r="G512" s="1"/>
    </row>
    <row r="513" spans="7:7" ht="15.75" customHeight="1" x14ac:dyDescent="0.25">
      <c r="G513" s="1"/>
    </row>
    <row r="514" spans="7:7" ht="15.75" customHeight="1" x14ac:dyDescent="0.25">
      <c r="G514" s="1"/>
    </row>
    <row r="515" spans="7:7" ht="15.75" customHeight="1" x14ac:dyDescent="0.25">
      <c r="G515" s="1"/>
    </row>
    <row r="516" spans="7:7" ht="15.75" customHeight="1" x14ac:dyDescent="0.25">
      <c r="G516" s="1"/>
    </row>
    <row r="517" spans="7:7" ht="15.75" customHeight="1" x14ac:dyDescent="0.25">
      <c r="G517" s="1"/>
    </row>
    <row r="518" spans="7:7" ht="15.75" customHeight="1" x14ac:dyDescent="0.25">
      <c r="G518" s="1"/>
    </row>
    <row r="519" spans="7:7" ht="15.75" customHeight="1" x14ac:dyDescent="0.25">
      <c r="G519" s="1"/>
    </row>
    <row r="520" spans="7:7" ht="15.75" customHeight="1" x14ac:dyDescent="0.25">
      <c r="G520" s="1"/>
    </row>
    <row r="521" spans="7:7" ht="15.75" customHeight="1" x14ac:dyDescent="0.25">
      <c r="G521" s="1"/>
    </row>
    <row r="522" spans="7:7" ht="15.75" customHeight="1" x14ac:dyDescent="0.25">
      <c r="G522" s="1"/>
    </row>
    <row r="523" spans="7:7" ht="15.75" customHeight="1" x14ac:dyDescent="0.25">
      <c r="G523" s="1"/>
    </row>
    <row r="524" spans="7:7" ht="15.75" customHeight="1" x14ac:dyDescent="0.25">
      <c r="G524" s="1"/>
    </row>
    <row r="525" spans="7:7" ht="15.75" customHeight="1" x14ac:dyDescent="0.25">
      <c r="G525" s="1"/>
    </row>
    <row r="526" spans="7:7" ht="15.75" customHeight="1" x14ac:dyDescent="0.25">
      <c r="G526" s="1"/>
    </row>
    <row r="527" spans="7:7" ht="15.75" customHeight="1" x14ac:dyDescent="0.25">
      <c r="G527" s="1"/>
    </row>
    <row r="528" spans="7:7" ht="15.75" customHeight="1" x14ac:dyDescent="0.25">
      <c r="G528" s="1"/>
    </row>
    <row r="529" spans="7:7" ht="15.75" customHeight="1" x14ac:dyDescent="0.25">
      <c r="G529" s="1"/>
    </row>
    <row r="530" spans="7:7" ht="15.75" customHeight="1" x14ac:dyDescent="0.25">
      <c r="G530" s="1"/>
    </row>
    <row r="531" spans="7:7" ht="15.75" customHeight="1" x14ac:dyDescent="0.25">
      <c r="G531" s="1"/>
    </row>
    <row r="532" spans="7:7" ht="15.75" customHeight="1" x14ac:dyDescent="0.25">
      <c r="G532" s="1"/>
    </row>
    <row r="533" spans="7:7" ht="15.75" customHeight="1" x14ac:dyDescent="0.25">
      <c r="G533" s="1"/>
    </row>
    <row r="534" spans="7:7" ht="15.75" customHeight="1" x14ac:dyDescent="0.25">
      <c r="G534" s="1"/>
    </row>
    <row r="535" spans="7:7" ht="15.75" customHeight="1" x14ac:dyDescent="0.25">
      <c r="G535" s="1"/>
    </row>
    <row r="536" spans="7:7" ht="15.75" customHeight="1" x14ac:dyDescent="0.25">
      <c r="G536" s="1"/>
    </row>
    <row r="537" spans="7:7" ht="15.75" customHeight="1" x14ac:dyDescent="0.25">
      <c r="G537" s="1"/>
    </row>
    <row r="538" spans="7:7" ht="15.75" customHeight="1" x14ac:dyDescent="0.25">
      <c r="G538" s="1"/>
    </row>
    <row r="539" spans="7:7" ht="15.75" customHeight="1" x14ac:dyDescent="0.25">
      <c r="G539" s="1"/>
    </row>
    <row r="540" spans="7:7" ht="15.75" customHeight="1" x14ac:dyDescent="0.25">
      <c r="G540" s="1"/>
    </row>
    <row r="541" spans="7:7" ht="15.75" customHeight="1" x14ac:dyDescent="0.25">
      <c r="G541" s="1"/>
    </row>
    <row r="542" spans="7:7" ht="15.75" customHeight="1" x14ac:dyDescent="0.25">
      <c r="G542" s="1"/>
    </row>
    <row r="543" spans="7:7" ht="15.75" customHeight="1" x14ac:dyDescent="0.25">
      <c r="G543" s="1"/>
    </row>
    <row r="544" spans="7:7" ht="15.75" customHeight="1" x14ac:dyDescent="0.25">
      <c r="G544" s="1"/>
    </row>
    <row r="545" spans="7:7" ht="15.75" customHeight="1" x14ac:dyDescent="0.25">
      <c r="G545" s="1"/>
    </row>
    <row r="546" spans="7:7" ht="15.75" customHeight="1" x14ac:dyDescent="0.25">
      <c r="G546" s="1"/>
    </row>
    <row r="547" spans="7:7" ht="15.75" customHeight="1" x14ac:dyDescent="0.25">
      <c r="G547" s="1"/>
    </row>
    <row r="548" spans="7:7" ht="15.75" customHeight="1" x14ac:dyDescent="0.25">
      <c r="G548" s="1"/>
    </row>
    <row r="549" spans="7:7" ht="15.75" customHeight="1" x14ac:dyDescent="0.25">
      <c r="G549" s="1"/>
    </row>
    <row r="550" spans="7:7" ht="15.75" customHeight="1" x14ac:dyDescent="0.25">
      <c r="G550" s="1"/>
    </row>
    <row r="551" spans="7:7" ht="15.75" customHeight="1" x14ac:dyDescent="0.25">
      <c r="G551" s="1"/>
    </row>
    <row r="552" spans="7:7" ht="15.75" customHeight="1" x14ac:dyDescent="0.25">
      <c r="G552" s="1"/>
    </row>
    <row r="553" spans="7:7" ht="15.75" customHeight="1" x14ac:dyDescent="0.25">
      <c r="G553" s="1"/>
    </row>
    <row r="554" spans="7:7" ht="15.75" customHeight="1" x14ac:dyDescent="0.25">
      <c r="G554" s="1"/>
    </row>
    <row r="555" spans="7:7" ht="15.75" customHeight="1" x14ac:dyDescent="0.25">
      <c r="G555" s="1"/>
    </row>
    <row r="556" spans="7:7" ht="15.75" customHeight="1" x14ac:dyDescent="0.25">
      <c r="G556" s="1"/>
    </row>
    <row r="557" spans="7:7" ht="15.75" customHeight="1" x14ac:dyDescent="0.25">
      <c r="G557" s="1"/>
    </row>
    <row r="558" spans="7:7" ht="15.75" customHeight="1" x14ac:dyDescent="0.25">
      <c r="G558" s="1"/>
    </row>
    <row r="559" spans="7:7" ht="15.75" customHeight="1" x14ac:dyDescent="0.25">
      <c r="G559" s="1"/>
    </row>
    <row r="560" spans="7:7" ht="15.75" customHeight="1" x14ac:dyDescent="0.25">
      <c r="G560" s="1"/>
    </row>
    <row r="561" spans="7:7" ht="15.75" customHeight="1" x14ac:dyDescent="0.25">
      <c r="G561" s="1"/>
    </row>
    <row r="562" spans="7:7" ht="15.75" customHeight="1" x14ac:dyDescent="0.25">
      <c r="G562" s="1"/>
    </row>
    <row r="563" spans="7:7" ht="15.75" customHeight="1" x14ac:dyDescent="0.25">
      <c r="G563" s="1"/>
    </row>
    <row r="564" spans="7:7" ht="15.75" customHeight="1" x14ac:dyDescent="0.25">
      <c r="G564" s="1"/>
    </row>
    <row r="565" spans="7:7" ht="15.75" customHeight="1" x14ac:dyDescent="0.25">
      <c r="G565" s="1"/>
    </row>
    <row r="566" spans="7:7" ht="15.75" customHeight="1" x14ac:dyDescent="0.25">
      <c r="G566" s="1"/>
    </row>
    <row r="567" spans="7:7" ht="15.75" customHeight="1" x14ac:dyDescent="0.25">
      <c r="G567" s="1"/>
    </row>
    <row r="568" spans="7:7" ht="15.75" customHeight="1" x14ac:dyDescent="0.25">
      <c r="G568" s="1"/>
    </row>
    <row r="569" spans="7:7" ht="15.75" customHeight="1" x14ac:dyDescent="0.25">
      <c r="G569" s="1"/>
    </row>
    <row r="570" spans="7:7" ht="15.75" customHeight="1" x14ac:dyDescent="0.25">
      <c r="G570" s="1"/>
    </row>
    <row r="571" spans="7:7" ht="15.75" customHeight="1" x14ac:dyDescent="0.25">
      <c r="G571" s="1"/>
    </row>
    <row r="572" spans="7:7" ht="15.75" customHeight="1" x14ac:dyDescent="0.25">
      <c r="G572" s="1"/>
    </row>
    <row r="573" spans="7:7" ht="15.75" customHeight="1" x14ac:dyDescent="0.25">
      <c r="G573" s="1"/>
    </row>
    <row r="574" spans="7:7" ht="15.75" customHeight="1" x14ac:dyDescent="0.25">
      <c r="G574" s="1"/>
    </row>
    <row r="575" spans="7:7" ht="15.75" customHeight="1" x14ac:dyDescent="0.25">
      <c r="G575" s="1"/>
    </row>
    <row r="576" spans="7:7" ht="15.75" customHeight="1" x14ac:dyDescent="0.25">
      <c r="G576" s="1"/>
    </row>
    <row r="577" spans="7:7" ht="15.75" customHeight="1" x14ac:dyDescent="0.25">
      <c r="G577" s="1"/>
    </row>
    <row r="578" spans="7:7" ht="15.75" customHeight="1" x14ac:dyDescent="0.25">
      <c r="G578" s="1"/>
    </row>
    <row r="579" spans="7:7" ht="15.75" customHeight="1" x14ac:dyDescent="0.25">
      <c r="G579" s="1"/>
    </row>
    <row r="580" spans="7:7" ht="15.75" customHeight="1" x14ac:dyDescent="0.25">
      <c r="G580" s="1"/>
    </row>
    <row r="581" spans="7:7" ht="15.75" customHeight="1" x14ac:dyDescent="0.25">
      <c r="G581" s="1"/>
    </row>
    <row r="582" spans="7:7" ht="15.75" customHeight="1" x14ac:dyDescent="0.25">
      <c r="G582" s="1"/>
    </row>
    <row r="583" spans="7:7" ht="15.75" customHeight="1" x14ac:dyDescent="0.25">
      <c r="G583" s="1"/>
    </row>
    <row r="584" spans="7:7" ht="15.75" customHeight="1" x14ac:dyDescent="0.25">
      <c r="G584" s="1"/>
    </row>
    <row r="585" spans="7:7" ht="15.75" customHeight="1" x14ac:dyDescent="0.25">
      <c r="G585" s="1"/>
    </row>
    <row r="586" spans="7:7" ht="15.75" customHeight="1" x14ac:dyDescent="0.25">
      <c r="G586" s="1"/>
    </row>
    <row r="587" spans="7:7" ht="15.75" customHeight="1" x14ac:dyDescent="0.25">
      <c r="G587" s="1"/>
    </row>
    <row r="588" spans="7:7" ht="15.75" customHeight="1" x14ac:dyDescent="0.25">
      <c r="G588" s="1"/>
    </row>
    <row r="589" spans="7:7" ht="15.75" customHeight="1" x14ac:dyDescent="0.25">
      <c r="G589" s="1"/>
    </row>
    <row r="590" spans="7:7" ht="15.75" customHeight="1" x14ac:dyDescent="0.25">
      <c r="G590" s="1"/>
    </row>
    <row r="591" spans="7:7" ht="15.75" customHeight="1" x14ac:dyDescent="0.25">
      <c r="G591" s="1"/>
    </row>
    <row r="592" spans="7:7" ht="15.75" customHeight="1" x14ac:dyDescent="0.25">
      <c r="G592" s="1"/>
    </row>
    <row r="593" spans="7:7" ht="15.75" customHeight="1" x14ac:dyDescent="0.25">
      <c r="G593" s="1"/>
    </row>
    <row r="594" spans="7:7" ht="15.75" customHeight="1" x14ac:dyDescent="0.25">
      <c r="G594" s="1"/>
    </row>
    <row r="595" spans="7:7" ht="15.75" customHeight="1" x14ac:dyDescent="0.25">
      <c r="G595" s="1"/>
    </row>
    <row r="596" spans="7:7" ht="15.75" customHeight="1" x14ac:dyDescent="0.25">
      <c r="G596" s="1"/>
    </row>
    <row r="597" spans="7:7" ht="15.75" customHeight="1" x14ac:dyDescent="0.25">
      <c r="G597" s="1"/>
    </row>
    <row r="598" spans="7:7" ht="15.75" customHeight="1" x14ac:dyDescent="0.25">
      <c r="G598" s="1"/>
    </row>
    <row r="599" spans="7:7" ht="15.75" customHeight="1" x14ac:dyDescent="0.25">
      <c r="G599" s="1"/>
    </row>
    <row r="600" spans="7:7" ht="15.75" customHeight="1" x14ac:dyDescent="0.25">
      <c r="G600" s="1"/>
    </row>
    <row r="601" spans="7:7" ht="15.75" customHeight="1" x14ac:dyDescent="0.25">
      <c r="G601" s="1"/>
    </row>
    <row r="602" spans="7:7" ht="15.75" customHeight="1" x14ac:dyDescent="0.25">
      <c r="G602" s="1"/>
    </row>
    <row r="603" spans="7:7" ht="15.75" customHeight="1" x14ac:dyDescent="0.25">
      <c r="G603" s="1"/>
    </row>
    <row r="604" spans="7:7" ht="15.75" customHeight="1" x14ac:dyDescent="0.25">
      <c r="G604" s="1"/>
    </row>
    <row r="605" spans="7:7" ht="15.75" customHeight="1" x14ac:dyDescent="0.25">
      <c r="G605" s="1"/>
    </row>
    <row r="606" spans="7:7" ht="15.75" customHeight="1" x14ac:dyDescent="0.25">
      <c r="G606" s="1"/>
    </row>
    <row r="607" spans="7:7" ht="15.75" customHeight="1" x14ac:dyDescent="0.25">
      <c r="G607" s="1"/>
    </row>
    <row r="608" spans="7:7" ht="15.75" customHeight="1" x14ac:dyDescent="0.25">
      <c r="G608" s="1"/>
    </row>
    <row r="609" spans="7:7" ht="15.75" customHeight="1" x14ac:dyDescent="0.25">
      <c r="G609" s="1"/>
    </row>
    <row r="610" spans="7:7" ht="15.75" customHeight="1" x14ac:dyDescent="0.25">
      <c r="G610" s="1"/>
    </row>
    <row r="611" spans="7:7" ht="15.75" customHeight="1" x14ac:dyDescent="0.25">
      <c r="G611" s="1"/>
    </row>
    <row r="612" spans="7:7" ht="15.75" customHeight="1" x14ac:dyDescent="0.25">
      <c r="G612" s="1"/>
    </row>
    <row r="613" spans="7:7" ht="15.75" customHeight="1" x14ac:dyDescent="0.25">
      <c r="G613" s="1"/>
    </row>
    <row r="614" spans="7:7" ht="15.75" customHeight="1" x14ac:dyDescent="0.25">
      <c r="G614" s="1"/>
    </row>
    <row r="615" spans="7:7" ht="15.75" customHeight="1" x14ac:dyDescent="0.25">
      <c r="G615" s="1"/>
    </row>
    <row r="616" spans="7:7" ht="15.75" customHeight="1" x14ac:dyDescent="0.25">
      <c r="G616" s="1"/>
    </row>
    <row r="617" spans="7:7" ht="15.75" customHeight="1" x14ac:dyDescent="0.25">
      <c r="G617" s="1"/>
    </row>
    <row r="618" spans="7:7" ht="15.75" customHeight="1" x14ac:dyDescent="0.25">
      <c r="G618" s="1"/>
    </row>
    <row r="619" spans="7:7" ht="15.75" customHeight="1" x14ac:dyDescent="0.25">
      <c r="G619" s="1"/>
    </row>
    <row r="620" spans="7:7" ht="15.75" customHeight="1" x14ac:dyDescent="0.25">
      <c r="G620" s="1"/>
    </row>
    <row r="621" spans="7:7" ht="15.75" customHeight="1" x14ac:dyDescent="0.25">
      <c r="G621" s="1"/>
    </row>
    <row r="622" spans="7:7" ht="15.75" customHeight="1" x14ac:dyDescent="0.25">
      <c r="G622" s="1"/>
    </row>
    <row r="623" spans="7:7" ht="15.75" customHeight="1" x14ac:dyDescent="0.25">
      <c r="G623" s="1"/>
    </row>
    <row r="624" spans="7:7" ht="15.75" customHeight="1" x14ac:dyDescent="0.25">
      <c r="G624" s="1"/>
    </row>
    <row r="625" spans="7:7" ht="15.75" customHeight="1" x14ac:dyDescent="0.25">
      <c r="G625" s="1"/>
    </row>
    <row r="626" spans="7:7" ht="15.75" customHeight="1" x14ac:dyDescent="0.25">
      <c r="G626" s="1"/>
    </row>
    <row r="627" spans="7:7" ht="15.75" customHeight="1" x14ac:dyDescent="0.25">
      <c r="G627" s="1"/>
    </row>
    <row r="628" spans="7:7" ht="15.75" customHeight="1" x14ac:dyDescent="0.25">
      <c r="G628" s="1"/>
    </row>
    <row r="629" spans="7:7" ht="15.75" customHeight="1" x14ac:dyDescent="0.25">
      <c r="G629" s="1"/>
    </row>
    <row r="630" spans="7:7" ht="15.75" customHeight="1" x14ac:dyDescent="0.25">
      <c r="G630" s="1"/>
    </row>
    <row r="631" spans="7:7" ht="15.75" customHeight="1" x14ac:dyDescent="0.25">
      <c r="G631" s="1"/>
    </row>
    <row r="632" spans="7:7" ht="15.75" customHeight="1" x14ac:dyDescent="0.25">
      <c r="G632" s="1"/>
    </row>
    <row r="633" spans="7:7" ht="15.75" customHeight="1" x14ac:dyDescent="0.25">
      <c r="G633" s="1"/>
    </row>
    <row r="634" spans="7:7" ht="15.75" customHeight="1" x14ac:dyDescent="0.25">
      <c r="G634" s="1"/>
    </row>
    <row r="635" spans="7:7" ht="15.75" customHeight="1" x14ac:dyDescent="0.25">
      <c r="G635" s="1"/>
    </row>
    <row r="636" spans="7:7" ht="15.75" customHeight="1" x14ac:dyDescent="0.25">
      <c r="G636" s="1"/>
    </row>
    <row r="637" spans="7:7" ht="15.75" customHeight="1" x14ac:dyDescent="0.25">
      <c r="G637" s="1"/>
    </row>
    <row r="638" spans="7:7" ht="15.75" customHeight="1" x14ac:dyDescent="0.25">
      <c r="G638" s="1"/>
    </row>
    <row r="639" spans="7:7" ht="15.75" customHeight="1" x14ac:dyDescent="0.25">
      <c r="G639" s="1"/>
    </row>
    <row r="640" spans="7:7" ht="15.75" customHeight="1" x14ac:dyDescent="0.25">
      <c r="G640" s="1"/>
    </row>
    <row r="641" spans="7:7" ht="15.75" customHeight="1" x14ac:dyDescent="0.25">
      <c r="G641" s="1"/>
    </row>
    <row r="642" spans="7:7" ht="15.75" customHeight="1" x14ac:dyDescent="0.25">
      <c r="G642" s="1"/>
    </row>
    <row r="643" spans="7:7" ht="15.75" customHeight="1" x14ac:dyDescent="0.25">
      <c r="G643" s="1"/>
    </row>
    <row r="644" spans="7:7" ht="15.75" customHeight="1" x14ac:dyDescent="0.25">
      <c r="G644" s="1"/>
    </row>
    <row r="645" spans="7:7" ht="15.75" customHeight="1" x14ac:dyDescent="0.25">
      <c r="G645" s="1"/>
    </row>
    <row r="646" spans="7:7" ht="15.75" customHeight="1" x14ac:dyDescent="0.25">
      <c r="G646" s="1"/>
    </row>
    <row r="647" spans="7:7" ht="15.75" customHeight="1" x14ac:dyDescent="0.25">
      <c r="G647" s="1"/>
    </row>
    <row r="648" spans="7:7" ht="15.75" customHeight="1" x14ac:dyDescent="0.25">
      <c r="G648" s="1"/>
    </row>
    <row r="649" spans="7:7" ht="15.75" customHeight="1" x14ac:dyDescent="0.25">
      <c r="G649" s="1"/>
    </row>
    <row r="650" spans="7:7" ht="15.75" customHeight="1" x14ac:dyDescent="0.25">
      <c r="G650" s="1"/>
    </row>
    <row r="651" spans="7:7" ht="15.75" customHeight="1" x14ac:dyDescent="0.25">
      <c r="G651" s="1"/>
    </row>
    <row r="652" spans="7:7" ht="15.75" customHeight="1" x14ac:dyDescent="0.25">
      <c r="G652" s="1"/>
    </row>
    <row r="653" spans="7:7" ht="15.75" customHeight="1" x14ac:dyDescent="0.25">
      <c r="G653" s="1"/>
    </row>
    <row r="654" spans="7:7" ht="15.75" customHeight="1" x14ac:dyDescent="0.25">
      <c r="G654" s="1"/>
    </row>
    <row r="655" spans="7:7" ht="15.75" customHeight="1" x14ac:dyDescent="0.25">
      <c r="G655" s="1"/>
    </row>
    <row r="656" spans="7:7" ht="15.75" customHeight="1" x14ac:dyDescent="0.25">
      <c r="G656" s="1"/>
    </row>
    <row r="657" spans="7:7" ht="15.75" customHeight="1" x14ac:dyDescent="0.25">
      <c r="G657" s="1"/>
    </row>
    <row r="658" spans="7:7" ht="15.75" customHeight="1" x14ac:dyDescent="0.25">
      <c r="G658" s="1"/>
    </row>
    <row r="659" spans="7:7" ht="15.75" customHeight="1" x14ac:dyDescent="0.25">
      <c r="G659" s="1"/>
    </row>
    <row r="660" spans="7:7" ht="15.75" customHeight="1" x14ac:dyDescent="0.25">
      <c r="G660" s="1"/>
    </row>
    <row r="661" spans="7:7" ht="15.75" customHeight="1" x14ac:dyDescent="0.25">
      <c r="G661" s="1"/>
    </row>
    <row r="662" spans="7:7" ht="15.75" customHeight="1" x14ac:dyDescent="0.25">
      <c r="G662" s="1"/>
    </row>
    <row r="663" spans="7:7" ht="15.75" customHeight="1" x14ac:dyDescent="0.25">
      <c r="G663" s="1"/>
    </row>
    <row r="664" spans="7:7" ht="15.75" customHeight="1" x14ac:dyDescent="0.25">
      <c r="G664" s="1"/>
    </row>
    <row r="665" spans="7:7" ht="15.75" customHeight="1" x14ac:dyDescent="0.25">
      <c r="G665" s="1"/>
    </row>
    <row r="666" spans="7:7" ht="15.75" customHeight="1" x14ac:dyDescent="0.25">
      <c r="G666" s="1"/>
    </row>
    <row r="667" spans="7:7" ht="15.75" customHeight="1" x14ac:dyDescent="0.25">
      <c r="G667" s="1"/>
    </row>
    <row r="668" spans="7:7" ht="15.75" customHeight="1" x14ac:dyDescent="0.25">
      <c r="G668" s="1"/>
    </row>
    <row r="669" spans="7:7" ht="15.75" customHeight="1" x14ac:dyDescent="0.25">
      <c r="G669" s="1"/>
    </row>
    <row r="670" spans="7:7" ht="15.75" customHeight="1" x14ac:dyDescent="0.25">
      <c r="G670" s="1"/>
    </row>
    <row r="671" spans="7:7" ht="15.75" customHeight="1" x14ac:dyDescent="0.25">
      <c r="G671" s="1"/>
    </row>
    <row r="672" spans="7:7" ht="15.75" customHeight="1" x14ac:dyDescent="0.25">
      <c r="G672" s="1"/>
    </row>
    <row r="673" spans="7:7" ht="15.75" customHeight="1" x14ac:dyDescent="0.25">
      <c r="G673" s="1"/>
    </row>
    <row r="674" spans="7:7" ht="15.75" customHeight="1" x14ac:dyDescent="0.25">
      <c r="G674" s="1"/>
    </row>
    <row r="675" spans="7:7" ht="15.75" customHeight="1" x14ac:dyDescent="0.25">
      <c r="G675" s="1"/>
    </row>
    <row r="676" spans="7:7" ht="15.75" customHeight="1" x14ac:dyDescent="0.25">
      <c r="G676" s="1"/>
    </row>
    <row r="677" spans="7:7" ht="15.75" customHeight="1" x14ac:dyDescent="0.25">
      <c r="G677" s="1"/>
    </row>
    <row r="678" spans="7:7" ht="15.75" customHeight="1" x14ac:dyDescent="0.25">
      <c r="G678" s="1"/>
    </row>
    <row r="679" spans="7:7" ht="15.75" customHeight="1" x14ac:dyDescent="0.25">
      <c r="G679" s="1"/>
    </row>
    <row r="680" spans="7:7" ht="15.75" customHeight="1" x14ac:dyDescent="0.25">
      <c r="G680" s="1"/>
    </row>
    <row r="681" spans="7:7" ht="15.75" customHeight="1" x14ac:dyDescent="0.25">
      <c r="G681" s="1"/>
    </row>
    <row r="682" spans="7:7" ht="15.75" customHeight="1" x14ac:dyDescent="0.25">
      <c r="G682" s="1"/>
    </row>
    <row r="683" spans="7:7" ht="15.75" customHeight="1" x14ac:dyDescent="0.25">
      <c r="G683" s="1"/>
    </row>
    <row r="684" spans="7:7" ht="15.75" customHeight="1" x14ac:dyDescent="0.25">
      <c r="G684" s="1"/>
    </row>
    <row r="685" spans="7:7" ht="15.75" customHeight="1" x14ac:dyDescent="0.25">
      <c r="G685" s="1"/>
    </row>
    <row r="686" spans="7:7" ht="15.75" customHeight="1" x14ac:dyDescent="0.25">
      <c r="G686" s="1"/>
    </row>
    <row r="687" spans="7:7" ht="15.75" customHeight="1" x14ac:dyDescent="0.25">
      <c r="G687" s="1"/>
    </row>
    <row r="688" spans="7:7" ht="15.75" customHeight="1" x14ac:dyDescent="0.25">
      <c r="G688" s="1"/>
    </row>
    <row r="689" spans="7:7" ht="15.75" customHeight="1" x14ac:dyDescent="0.25">
      <c r="G689" s="1"/>
    </row>
    <row r="690" spans="7:7" ht="15.75" customHeight="1" x14ac:dyDescent="0.25">
      <c r="G690" s="1"/>
    </row>
    <row r="691" spans="7:7" ht="15.75" customHeight="1" x14ac:dyDescent="0.25">
      <c r="G691" s="1"/>
    </row>
    <row r="692" spans="7:7" ht="15.75" customHeight="1" x14ac:dyDescent="0.25">
      <c r="G692" s="1"/>
    </row>
    <row r="693" spans="7:7" ht="15.75" customHeight="1" x14ac:dyDescent="0.25">
      <c r="G693" s="1"/>
    </row>
    <row r="694" spans="7:7" ht="15.75" customHeight="1" x14ac:dyDescent="0.25">
      <c r="G694" s="1"/>
    </row>
    <row r="695" spans="7:7" ht="15.75" customHeight="1" x14ac:dyDescent="0.25">
      <c r="G695" s="1"/>
    </row>
    <row r="696" spans="7:7" ht="15.75" customHeight="1" x14ac:dyDescent="0.25">
      <c r="G696" s="1"/>
    </row>
    <row r="697" spans="7:7" ht="15.75" customHeight="1" x14ac:dyDescent="0.25">
      <c r="G697" s="1"/>
    </row>
    <row r="698" spans="7:7" ht="15.75" customHeight="1" x14ac:dyDescent="0.25">
      <c r="G698" s="1"/>
    </row>
    <row r="699" spans="7:7" ht="15.75" customHeight="1" x14ac:dyDescent="0.25">
      <c r="G699" s="1"/>
    </row>
    <row r="700" spans="7:7" ht="15.75" customHeight="1" x14ac:dyDescent="0.25">
      <c r="G700" s="1"/>
    </row>
    <row r="701" spans="7:7" ht="15.75" customHeight="1" x14ac:dyDescent="0.25">
      <c r="G701" s="1"/>
    </row>
    <row r="702" spans="7:7" ht="15.75" customHeight="1" x14ac:dyDescent="0.25">
      <c r="G702" s="1"/>
    </row>
    <row r="703" spans="7:7" ht="15.75" customHeight="1" x14ac:dyDescent="0.25">
      <c r="G703" s="1"/>
    </row>
    <row r="704" spans="7:7" ht="15.75" customHeight="1" x14ac:dyDescent="0.25">
      <c r="G704" s="1"/>
    </row>
    <row r="705" spans="7:7" ht="15.75" customHeight="1" x14ac:dyDescent="0.25">
      <c r="G705" s="1"/>
    </row>
    <row r="706" spans="7:7" ht="15.75" customHeight="1" x14ac:dyDescent="0.25">
      <c r="G706" s="1"/>
    </row>
    <row r="707" spans="7:7" ht="15.75" customHeight="1" x14ac:dyDescent="0.25">
      <c r="G707" s="1"/>
    </row>
    <row r="708" spans="7:7" ht="15.75" customHeight="1" x14ac:dyDescent="0.25">
      <c r="G708" s="1"/>
    </row>
    <row r="709" spans="7:7" ht="15.75" customHeight="1" x14ac:dyDescent="0.25">
      <c r="G709" s="1"/>
    </row>
    <row r="710" spans="7:7" ht="15.75" customHeight="1" x14ac:dyDescent="0.25">
      <c r="G710" s="1"/>
    </row>
    <row r="711" spans="7:7" ht="15.75" customHeight="1" x14ac:dyDescent="0.25">
      <c r="G711" s="1"/>
    </row>
    <row r="712" spans="7:7" ht="15.75" customHeight="1" x14ac:dyDescent="0.25">
      <c r="G712" s="1"/>
    </row>
    <row r="713" spans="7:7" ht="15.75" customHeight="1" x14ac:dyDescent="0.25">
      <c r="G713" s="1"/>
    </row>
    <row r="714" spans="7:7" ht="15.75" customHeight="1" x14ac:dyDescent="0.25">
      <c r="G714" s="1"/>
    </row>
    <row r="715" spans="7:7" ht="15.75" customHeight="1" x14ac:dyDescent="0.25">
      <c r="G715" s="1"/>
    </row>
    <row r="716" spans="7:7" ht="15.75" customHeight="1" x14ac:dyDescent="0.25">
      <c r="G716" s="1"/>
    </row>
    <row r="717" spans="7:7" ht="15.75" customHeight="1" x14ac:dyDescent="0.25">
      <c r="G717" s="1"/>
    </row>
    <row r="718" spans="7:7" ht="15.75" customHeight="1" x14ac:dyDescent="0.25">
      <c r="G718" s="1"/>
    </row>
    <row r="719" spans="7:7" ht="15.75" customHeight="1" x14ac:dyDescent="0.25">
      <c r="G719" s="1"/>
    </row>
    <row r="720" spans="7:7" ht="15.75" customHeight="1" x14ac:dyDescent="0.25">
      <c r="G720" s="1"/>
    </row>
    <row r="721" spans="7:7" ht="15.75" customHeight="1" x14ac:dyDescent="0.25">
      <c r="G721" s="1"/>
    </row>
    <row r="722" spans="7:7" ht="15.75" customHeight="1" x14ac:dyDescent="0.25">
      <c r="G722" s="1"/>
    </row>
    <row r="723" spans="7:7" ht="15.75" customHeight="1" x14ac:dyDescent="0.25">
      <c r="G723" s="1"/>
    </row>
    <row r="724" spans="7:7" ht="15.75" customHeight="1" x14ac:dyDescent="0.25">
      <c r="G724" s="1"/>
    </row>
    <row r="725" spans="7:7" ht="15.75" customHeight="1" x14ac:dyDescent="0.25">
      <c r="G725" s="1"/>
    </row>
    <row r="726" spans="7:7" ht="15.75" customHeight="1" x14ac:dyDescent="0.25">
      <c r="G726" s="1"/>
    </row>
    <row r="727" spans="7:7" ht="15.75" customHeight="1" x14ac:dyDescent="0.25">
      <c r="G727" s="1"/>
    </row>
    <row r="728" spans="7:7" ht="15.75" customHeight="1" x14ac:dyDescent="0.25">
      <c r="G728" s="1"/>
    </row>
    <row r="729" spans="7:7" ht="15.75" customHeight="1" x14ac:dyDescent="0.25">
      <c r="G729" s="1"/>
    </row>
    <row r="730" spans="7:7" ht="15.75" customHeight="1" x14ac:dyDescent="0.25">
      <c r="G730" s="1"/>
    </row>
    <row r="731" spans="7:7" ht="15.75" customHeight="1" x14ac:dyDescent="0.25">
      <c r="G731" s="1"/>
    </row>
    <row r="732" spans="7:7" ht="15.75" customHeight="1" x14ac:dyDescent="0.25">
      <c r="G732" s="1"/>
    </row>
    <row r="733" spans="7:7" ht="15.75" customHeight="1" x14ac:dyDescent="0.25">
      <c r="G733" s="1"/>
    </row>
    <row r="734" spans="7:7" ht="15.75" customHeight="1" x14ac:dyDescent="0.25">
      <c r="G734" s="1"/>
    </row>
    <row r="735" spans="7:7" ht="15.75" customHeight="1" x14ac:dyDescent="0.25">
      <c r="G735" s="1"/>
    </row>
    <row r="736" spans="7:7" ht="15.75" customHeight="1" x14ac:dyDescent="0.25">
      <c r="G736" s="1"/>
    </row>
    <row r="737" spans="7:7" ht="15.75" customHeight="1" x14ac:dyDescent="0.25">
      <c r="G737" s="1"/>
    </row>
    <row r="738" spans="7:7" ht="15.75" customHeight="1" x14ac:dyDescent="0.25">
      <c r="G738" s="1"/>
    </row>
    <row r="739" spans="7:7" ht="15.75" customHeight="1" x14ac:dyDescent="0.25">
      <c r="G739" s="1"/>
    </row>
    <row r="740" spans="7:7" ht="15.75" customHeight="1" x14ac:dyDescent="0.25">
      <c r="G740" s="1"/>
    </row>
    <row r="741" spans="7:7" ht="15.75" customHeight="1" x14ac:dyDescent="0.25">
      <c r="G741" s="1"/>
    </row>
    <row r="742" spans="7:7" ht="15.75" customHeight="1" x14ac:dyDescent="0.25">
      <c r="G742" s="1"/>
    </row>
    <row r="743" spans="7:7" ht="15.75" customHeight="1" x14ac:dyDescent="0.25">
      <c r="G743" s="1"/>
    </row>
    <row r="744" spans="7:7" ht="15.75" customHeight="1" x14ac:dyDescent="0.25">
      <c r="G744" s="1"/>
    </row>
    <row r="745" spans="7:7" ht="15.75" customHeight="1" x14ac:dyDescent="0.25">
      <c r="G745" s="1"/>
    </row>
    <row r="746" spans="7:7" ht="15.75" customHeight="1" x14ac:dyDescent="0.25">
      <c r="G746" s="1"/>
    </row>
    <row r="747" spans="7:7" ht="15.75" customHeight="1" x14ac:dyDescent="0.25">
      <c r="G747" s="1"/>
    </row>
    <row r="748" spans="7:7" ht="15.75" customHeight="1" x14ac:dyDescent="0.25">
      <c r="G748" s="1"/>
    </row>
    <row r="749" spans="7:7" ht="15.75" customHeight="1" x14ac:dyDescent="0.25">
      <c r="G749" s="1"/>
    </row>
    <row r="750" spans="7:7" ht="15.75" customHeight="1" x14ac:dyDescent="0.25">
      <c r="G750" s="1"/>
    </row>
    <row r="751" spans="7:7" ht="15.75" customHeight="1" x14ac:dyDescent="0.25">
      <c r="G751" s="1"/>
    </row>
    <row r="752" spans="7:7" ht="15.75" customHeight="1" x14ac:dyDescent="0.25">
      <c r="G752" s="1"/>
    </row>
    <row r="753" spans="7:7" ht="15.75" customHeight="1" x14ac:dyDescent="0.25">
      <c r="G753" s="1"/>
    </row>
    <row r="754" spans="7:7" ht="15.75" customHeight="1" x14ac:dyDescent="0.25">
      <c r="G754" s="1"/>
    </row>
    <row r="755" spans="7:7" ht="15.75" customHeight="1" x14ac:dyDescent="0.25">
      <c r="G755" s="1"/>
    </row>
    <row r="756" spans="7:7" ht="15.75" customHeight="1" x14ac:dyDescent="0.25">
      <c r="G756" s="1"/>
    </row>
    <row r="757" spans="7:7" ht="15.75" customHeight="1" x14ac:dyDescent="0.25">
      <c r="G757" s="1"/>
    </row>
    <row r="758" spans="7:7" ht="15.75" customHeight="1" x14ac:dyDescent="0.25">
      <c r="G758" s="1"/>
    </row>
    <row r="759" spans="7:7" ht="15.75" customHeight="1" x14ac:dyDescent="0.25">
      <c r="G759" s="1"/>
    </row>
    <row r="760" spans="7:7" ht="15.75" customHeight="1" x14ac:dyDescent="0.25">
      <c r="G760" s="1"/>
    </row>
    <row r="761" spans="7:7" ht="15.75" customHeight="1" x14ac:dyDescent="0.25">
      <c r="G761" s="1"/>
    </row>
    <row r="762" spans="7:7" ht="15.75" customHeight="1" x14ac:dyDescent="0.25">
      <c r="G762" s="1"/>
    </row>
    <row r="763" spans="7:7" ht="15.75" customHeight="1" x14ac:dyDescent="0.25">
      <c r="G763" s="1"/>
    </row>
    <row r="764" spans="7:7" ht="15.75" customHeight="1" x14ac:dyDescent="0.25">
      <c r="G764" s="1"/>
    </row>
    <row r="765" spans="7:7" ht="15.75" customHeight="1" x14ac:dyDescent="0.25">
      <c r="G765" s="1"/>
    </row>
    <row r="766" spans="7:7" ht="15.75" customHeight="1" x14ac:dyDescent="0.25">
      <c r="G766" s="1"/>
    </row>
    <row r="767" spans="7:7" ht="15.75" customHeight="1" x14ac:dyDescent="0.25">
      <c r="G767" s="1"/>
    </row>
    <row r="768" spans="7:7" ht="15.75" customHeight="1" x14ac:dyDescent="0.25">
      <c r="G768" s="1"/>
    </row>
    <row r="769" spans="7:7" ht="15.75" customHeight="1" x14ac:dyDescent="0.25">
      <c r="G769" s="1"/>
    </row>
    <row r="770" spans="7:7" ht="15.75" customHeight="1" x14ac:dyDescent="0.25">
      <c r="G770" s="1"/>
    </row>
    <row r="771" spans="7:7" ht="15.75" customHeight="1" x14ac:dyDescent="0.25">
      <c r="G771" s="1"/>
    </row>
    <row r="772" spans="7:7" ht="15.75" customHeight="1" x14ac:dyDescent="0.25">
      <c r="G772" s="1"/>
    </row>
    <row r="773" spans="7:7" ht="15.75" customHeight="1" x14ac:dyDescent="0.25">
      <c r="G773" s="1"/>
    </row>
    <row r="774" spans="7:7" ht="15.75" customHeight="1" x14ac:dyDescent="0.25">
      <c r="G774" s="1"/>
    </row>
    <row r="775" spans="7:7" ht="15.75" customHeight="1" x14ac:dyDescent="0.25">
      <c r="G775" s="1"/>
    </row>
    <row r="776" spans="7:7" ht="15.75" customHeight="1" x14ac:dyDescent="0.25">
      <c r="G776" s="1"/>
    </row>
    <row r="777" spans="7:7" ht="15.75" customHeight="1" x14ac:dyDescent="0.25">
      <c r="G777" s="1"/>
    </row>
    <row r="778" spans="7:7" ht="15.75" customHeight="1" x14ac:dyDescent="0.25">
      <c r="G778" s="1"/>
    </row>
    <row r="779" spans="7:7" ht="15.75" customHeight="1" x14ac:dyDescent="0.25">
      <c r="G779" s="1"/>
    </row>
    <row r="780" spans="7:7" ht="15.75" customHeight="1" x14ac:dyDescent="0.25">
      <c r="G780" s="1"/>
    </row>
    <row r="781" spans="7:7" ht="15.75" customHeight="1" x14ac:dyDescent="0.25">
      <c r="G781" s="1"/>
    </row>
    <row r="782" spans="7:7" ht="15.75" customHeight="1" x14ac:dyDescent="0.25">
      <c r="G782" s="1"/>
    </row>
    <row r="783" spans="7:7" ht="15.75" customHeight="1" x14ac:dyDescent="0.25">
      <c r="G783" s="1"/>
    </row>
    <row r="784" spans="7:7" ht="15.75" customHeight="1" x14ac:dyDescent="0.25">
      <c r="G784" s="1"/>
    </row>
    <row r="785" spans="7:7" ht="15.75" customHeight="1" x14ac:dyDescent="0.25">
      <c r="G785" s="1"/>
    </row>
    <row r="786" spans="7:7" ht="15.75" customHeight="1" x14ac:dyDescent="0.25">
      <c r="G786" s="1"/>
    </row>
    <row r="787" spans="7:7" ht="15.75" customHeight="1" x14ac:dyDescent="0.25">
      <c r="G787" s="1"/>
    </row>
    <row r="788" spans="7:7" ht="15.75" customHeight="1" x14ac:dyDescent="0.25">
      <c r="G788" s="1"/>
    </row>
    <row r="789" spans="7:7" ht="15.75" customHeight="1" x14ac:dyDescent="0.25">
      <c r="G789" s="1"/>
    </row>
    <row r="790" spans="7:7" ht="15.75" customHeight="1" x14ac:dyDescent="0.25">
      <c r="G790" s="1"/>
    </row>
    <row r="791" spans="7:7" ht="15.75" customHeight="1" x14ac:dyDescent="0.25">
      <c r="G791" s="1"/>
    </row>
    <row r="792" spans="7:7" ht="15.75" customHeight="1" x14ac:dyDescent="0.25">
      <c r="G792" s="1"/>
    </row>
    <row r="793" spans="7:7" ht="15.75" customHeight="1" x14ac:dyDescent="0.25">
      <c r="G793" s="1"/>
    </row>
    <row r="794" spans="7:7" ht="15.75" customHeight="1" x14ac:dyDescent="0.25">
      <c r="G794" s="1"/>
    </row>
    <row r="795" spans="7:7" ht="15.75" customHeight="1" x14ac:dyDescent="0.25">
      <c r="G795" s="1"/>
    </row>
    <row r="796" spans="7:7" ht="15.75" customHeight="1" x14ac:dyDescent="0.25">
      <c r="G796" s="1"/>
    </row>
    <row r="797" spans="7:7" ht="15.75" customHeight="1" x14ac:dyDescent="0.25">
      <c r="G797" s="1"/>
    </row>
    <row r="798" spans="7:7" ht="15.75" customHeight="1" x14ac:dyDescent="0.25">
      <c r="G798" s="1"/>
    </row>
    <row r="799" spans="7:7" ht="15.75" customHeight="1" x14ac:dyDescent="0.25">
      <c r="G799" s="1"/>
    </row>
    <row r="800" spans="7:7" ht="15.75" customHeight="1" x14ac:dyDescent="0.25">
      <c r="G800" s="1"/>
    </row>
    <row r="801" spans="7:7" ht="15.75" customHeight="1" x14ac:dyDescent="0.25">
      <c r="G801" s="1"/>
    </row>
    <row r="802" spans="7:7" ht="15.75" customHeight="1" x14ac:dyDescent="0.25">
      <c r="G802" s="1"/>
    </row>
    <row r="803" spans="7:7" ht="15.75" customHeight="1" x14ac:dyDescent="0.25">
      <c r="G803" s="1"/>
    </row>
    <row r="804" spans="7:7" ht="15.75" customHeight="1" x14ac:dyDescent="0.25">
      <c r="G804" s="1"/>
    </row>
    <row r="805" spans="7:7" ht="15.75" customHeight="1" x14ac:dyDescent="0.25">
      <c r="G805" s="1"/>
    </row>
    <row r="806" spans="7:7" ht="15.75" customHeight="1" x14ac:dyDescent="0.25">
      <c r="G806" s="1"/>
    </row>
    <row r="807" spans="7:7" ht="15.75" customHeight="1" x14ac:dyDescent="0.25">
      <c r="G807" s="1"/>
    </row>
    <row r="808" spans="7:7" ht="15.75" customHeight="1" x14ac:dyDescent="0.25">
      <c r="G808" s="1"/>
    </row>
    <row r="809" spans="7:7" ht="15.75" customHeight="1" x14ac:dyDescent="0.25">
      <c r="G809" s="1"/>
    </row>
    <row r="810" spans="7:7" ht="15.75" customHeight="1" x14ac:dyDescent="0.25">
      <c r="G810" s="1"/>
    </row>
    <row r="811" spans="7:7" ht="15.75" customHeight="1" x14ac:dyDescent="0.25">
      <c r="G811" s="1"/>
    </row>
    <row r="812" spans="7:7" ht="15.75" customHeight="1" x14ac:dyDescent="0.25">
      <c r="G812" s="1"/>
    </row>
    <row r="813" spans="7:7" ht="15.75" customHeight="1" x14ac:dyDescent="0.25">
      <c r="G813" s="1"/>
    </row>
    <row r="814" spans="7:7" ht="15.75" customHeight="1" x14ac:dyDescent="0.25">
      <c r="G814" s="1"/>
    </row>
    <row r="815" spans="7:7" ht="15.75" customHeight="1" x14ac:dyDescent="0.25">
      <c r="G815" s="1"/>
    </row>
    <row r="816" spans="7:7" ht="15.75" customHeight="1" x14ac:dyDescent="0.25">
      <c r="G816" s="1"/>
    </row>
    <row r="817" spans="7:7" ht="15.75" customHeight="1" x14ac:dyDescent="0.25">
      <c r="G817" s="1"/>
    </row>
    <row r="818" spans="7:7" ht="15.75" customHeight="1" x14ac:dyDescent="0.25">
      <c r="G818" s="1"/>
    </row>
    <row r="819" spans="7:7" ht="15.75" customHeight="1" x14ac:dyDescent="0.25">
      <c r="G819" s="1"/>
    </row>
    <row r="820" spans="7:7" ht="15.75" customHeight="1" x14ac:dyDescent="0.25">
      <c r="G820" s="1"/>
    </row>
    <row r="821" spans="7:7" ht="15.75" customHeight="1" x14ac:dyDescent="0.25">
      <c r="G821" s="1"/>
    </row>
    <row r="822" spans="7:7" ht="15.75" customHeight="1" x14ac:dyDescent="0.25">
      <c r="G822" s="1"/>
    </row>
    <row r="823" spans="7:7" ht="15.75" customHeight="1" x14ac:dyDescent="0.25">
      <c r="G823" s="1"/>
    </row>
    <row r="824" spans="7:7" ht="15.75" customHeight="1" x14ac:dyDescent="0.25">
      <c r="G824" s="1"/>
    </row>
    <row r="825" spans="7:7" ht="15.75" customHeight="1" x14ac:dyDescent="0.25">
      <c r="G825" s="1"/>
    </row>
    <row r="826" spans="7:7" ht="15.75" customHeight="1" x14ac:dyDescent="0.25">
      <c r="G826" s="1"/>
    </row>
    <row r="827" spans="7:7" ht="15.75" customHeight="1" x14ac:dyDescent="0.25">
      <c r="G827" s="1"/>
    </row>
    <row r="828" spans="7:7" ht="15.75" customHeight="1" x14ac:dyDescent="0.25">
      <c r="G828" s="1"/>
    </row>
    <row r="829" spans="7:7" ht="15.75" customHeight="1" x14ac:dyDescent="0.25">
      <c r="G829" s="1"/>
    </row>
    <row r="830" spans="7:7" ht="15.75" customHeight="1" x14ac:dyDescent="0.25">
      <c r="G830" s="1"/>
    </row>
    <row r="831" spans="7:7" ht="15.75" customHeight="1" x14ac:dyDescent="0.25">
      <c r="G831" s="1"/>
    </row>
    <row r="832" spans="7:7" ht="15.75" customHeight="1" x14ac:dyDescent="0.25">
      <c r="G832" s="1"/>
    </row>
    <row r="833" spans="7:7" ht="15.75" customHeight="1" x14ac:dyDescent="0.25">
      <c r="G833" s="1"/>
    </row>
    <row r="834" spans="7:7" ht="15.75" customHeight="1" x14ac:dyDescent="0.25">
      <c r="G834" s="1"/>
    </row>
    <row r="835" spans="7:7" ht="15.75" customHeight="1" x14ac:dyDescent="0.25">
      <c r="G835" s="1"/>
    </row>
    <row r="836" spans="7:7" ht="15.75" customHeight="1" x14ac:dyDescent="0.25">
      <c r="G836" s="1"/>
    </row>
    <row r="837" spans="7:7" ht="15.75" customHeight="1" x14ac:dyDescent="0.25">
      <c r="G837" s="1"/>
    </row>
    <row r="838" spans="7:7" ht="15.75" customHeight="1" x14ac:dyDescent="0.25">
      <c r="G838" s="1"/>
    </row>
    <row r="839" spans="7:7" ht="15.75" customHeight="1" x14ac:dyDescent="0.25">
      <c r="G839" s="1"/>
    </row>
    <row r="840" spans="7:7" ht="15.75" customHeight="1" x14ac:dyDescent="0.25">
      <c r="G840" s="1"/>
    </row>
    <row r="841" spans="7:7" ht="15.75" customHeight="1" x14ac:dyDescent="0.25">
      <c r="G841" s="1"/>
    </row>
    <row r="842" spans="7:7" ht="15.75" customHeight="1" x14ac:dyDescent="0.25">
      <c r="G842" s="1"/>
    </row>
    <row r="843" spans="7:7" ht="15.75" customHeight="1" x14ac:dyDescent="0.25">
      <c r="G843" s="1"/>
    </row>
    <row r="844" spans="7:7" ht="15.75" customHeight="1" x14ac:dyDescent="0.25">
      <c r="G844" s="1"/>
    </row>
    <row r="845" spans="7:7" ht="15.75" customHeight="1" x14ac:dyDescent="0.25">
      <c r="G845" s="1"/>
    </row>
    <row r="846" spans="7:7" ht="15.75" customHeight="1" x14ac:dyDescent="0.25">
      <c r="G846" s="1"/>
    </row>
    <row r="847" spans="7:7" ht="15.75" customHeight="1" x14ac:dyDescent="0.25">
      <c r="G847" s="1"/>
    </row>
    <row r="848" spans="7:7" ht="15.75" customHeight="1" x14ac:dyDescent="0.25">
      <c r="G848" s="1"/>
    </row>
    <row r="849" spans="7:7" ht="15.75" customHeight="1" x14ac:dyDescent="0.25">
      <c r="G849" s="1"/>
    </row>
    <row r="850" spans="7:7" ht="15.75" customHeight="1" x14ac:dyDescent="0.25">
      <c r="G850" s="1"/>
    </row>
    <row r="851" spans="7:7" ht="15.75" customHeight="1" x14ac:dyDescent="0.25">
      <c r="G851" s="1"/>
    </row>
    <row r="852" spans="7:7" ht="15.75" customHeight="1" x14ac:dyDescent="0.25">
      <c r="G852" s="1"/>
    </row>
    <row r="853" spans="7:7" ht="15.75" customHeight="1" x14ac:dyDescent="0.25">
      <c r="G853" s="1"/>
    </row>
    <row r="854" spans="7:7" ht="15.75" customHeight="1" x14ac:dyDescent="0.25">
      <c r="G854" s="1"/>
    </row>
    <row r="855" spans="7:7" ht="15.75" customHeight="1" x14ac:dyDescent="0.25">
      <c r="G855" s="1"/>
    </row>
    <row r="856" spans="7:7" ht="15.75" customHeight="1" x14ac:dyDescent="0.25">
      <c r="G856" s="1"/>
    </row>
    <row r="857" spans="7:7" ht="15.75" customHeight="1" x14ac:dyDescent="0.25">
      <c r="G857" s="1"/>
    </row>
    <row r="858" spans="7:7" ht="15.75" customHeight="1" x14ac:dyDescent="0.25">
      <c r="G858" s="1"/>
    </row>
    <row r="859" spans="7:7" ht="15.75" customHeight="1" x14ac:dyDescent="0.25">
      <c r="G859" s="1"/>
    </row>
    <row r="860" spans="7:7" ht="15.75" customHeight="1" x14ac:dyDescent="0.25">
      <c r="G860" s="1"/>
    </row>
    <row r="861" spans="7:7" ht="15.75" customHeight="1" x14ac:dyDescent="0.25">
      <c r="G861" s="1"/>
    </row>
    <row r="862" spans="7:7" ht="15.75" customHeight="1" x14ac:dyDescent="0.25">
      <c r="G862" s="1"/>
    </row>
    <row r="863" spans="7:7" ht="15.75" customHeight="1" x14ac:dyDescent="0.25">
      <c r="G863" s="1"/>
    </row>
    <row r="864" spans="7:7" ht="15.75" customHeight="1" x14ac:dyDescent="0.25">
      <c r="G864" s="1"/>
    </row>
    <row r="865" spans="7:7" ht="15.75" customHeight="1" x14ac:dyDescent="0.25">
      <c r="G865" s="1"/>
    </row>
    <row r="866" spans="7:7" ht="15.75" customHeight="1" x14ac:dyDescent="0.25">
      <c r="G866" s="1"/>
    </row>
    <row r="867" spans="7:7" ht="15.75" customHeight="1" x14ac:dyDescent="0.25">
      <c r="G867" s="1"/>
    </row>
    <row r="868" spans="7:7" ht="15.75" customHeight="1" x14ac:dyDescent="0.25">
      <c r="G868" s="1"/>
    </row>
    <row r="869" spans="7:7" ht="15.75" customHeight="1" x14ac:dyDescent="0.25">
      <c r="G869" s="1"/>
    </row>
    <row r="870" spans="7:7" ht="15.75" customHeight="1" x14ac:dyDescent="0.25">
      <c r="G870" s="1"/>
    </row>
    <row r="871" spans="7:7" ht="15.75" customHeight="1" x14ac:dyDescent="0.25">
      <c r="G871" s="1"/>
    </row>
    <row r="872" spans="7:7" ht="15.75" customHeight="1" x14ac:dyDescent="0.25">
      <c r="G872" s="1"/>
    </row>
    <row r="873" spans="7:7" ht="15.75" customHeight="1" x14ac:dyDescent="0.25">
      <c r="G873" s="1"/>
    </row>
    <row r="874" spans="7:7" ht="15.75" customHeight="1" x14ac:dyDescent="0.25">
      <c r="G874" s="1"/>
    </row>
    <row r="875" spans="7:7" ht="15.75" customHeight="1" x14ac:dyDescent="0.25">
      <c r="G875" s="1"/>
    </row>
    <row r="876" spans="7:7" ht="15.75" customHeight="1" x14ac:dyDescent="0.25">
      <c r="G876" s="1"/>
    </row>
    <row r="877" spans="7:7" ht="15.75" customHeight="1" x14ac:dyDescent="0.25">
      <c r="G877" s="1"/>
    </row>
    <row r="878" spans="7:7" ht="15.75" customHeight="1" x14ac:dyDescent="0.25">
      <c r="G878" s="1"/>
    </row>
    <row r="879" spans="7:7" ht="15.75" customHeight="1" x14ac:dyDescent="0.25">
      <c r="G879" s="1"/>
    </row>
    <row r="880" spans="7:7" ht="15.75" customHeight="1" x14ac:dyDescent="0.25">
      <c r="G880" s="1"/>
    </row>
    <row r="881" spans="7:7" ht="15.75" customHeight="1" x14ac:dyDescent="0.25">
      <c r="G881" s="1"/>
    </row>
    <row r="882" spans="7:7" ht="15.75" customHeight="1" x14ac:dyDescent="0.25">
      <c r="G882" s="1"/>
    </row>
    <row r="883" spans="7:7" ht="15.75" customHeight="1" x14ac:dyDescent="0.25">
      <c r="G883" s="1"/>
    </row>
    <row r="884" spans="7:7" ht="15.75" customHeight="1" x14ac:dyDescent="0.25">
      <c r="G884" s="1"/>
    </row>
    <row r="885" spans="7:7" ht="15.75" customHeight="1" x14ac:dyDescent="0.25">
      <c r="G885" s="1"/>
    </row>
    <row r="886" spans="7:7" ht="15.75" customHeight="1" x14ac:dyDescent="0.25">
      <c r="G886" s="1"/>
    </row>
    <row r="887" spans="7:7" ht="15.75" customHeight="1" x14ac:dyDescent="0.25">
      <c r="G887" s="1"/>
    </row>
    <row r="888" spans="7:7" ht="15.75" customHeight="1" x14ac:dyDescent="0.25">
      <c r="G888" s="1"/>
    </row>
    <row r="889" spans="7:7" ht="15.75" customHeight="1" x14ac:dyDescent="0.25">
      <c r="G889" s="1"/>
    </row>
    <row r="890" spans="7:7" ht="15.75" customHeight="1" x14ac:dyDescent="0.25">
      <c r="G890" s="1"/>
    </row>
    <row r="891" spans="7:7" ht="15.75" customHeight="1" x14ac:dyDescent="0.25">
      <c r="G891" s="1"/>
    </row>
    <row r="892" spans="7:7" ht="15.75" customHeight="1" x14ac:dyDescent="0.25">
      <c r="G892" s="1"/>
    </row>
    <row r="893" spans="7:7" ht="15.75" customHeight="1" x14ac:dyDescent="0.25">
      <c r="G893" s="1"/>
    </row>
    <row r="894" spans="7:7" ht="15.75" customHeight="1" x14ac:dyDescent="0.25">
      <c r="G894" s="1"/>
    </row>
    <row r="895" spans="7:7" ht="15.75" customHeight="1" x14ac:dyDescent="0.25">
      <c r="G895" s="1"/>
    </row>
    <row r="896" spans="7:7" ht="15.75" customHeight="1" x14ac:dyDescent="0.25">
      <c r="G896" s="1"/>
    </row>
    <row r="897" spans="7:7" ht="15.75" customHeight="1" x14ac:dyDescent="0.25">
      <c r="G897" s="1"/>
    </row>
    <row r="898" spans="7:7" ht="15.75" customHeight="1" x14ac:dyDescent="0.25">
      <c r="G898" s="1"/>
    </row>
    <row r="899" spans="7:7" ht="15.75" customHeight="1" x14ac:dyDescent="0.25">
      <c r="G899" s="1"/>
    </row>
    <row r="900" spans="7:7" ht="15.75" customHeight="1" x14ac:dyDescent="0.25">
      <c r="G900" s="1"/>
    </row>
    <row r="901" spans="7:7" ht="15.75" customHeight="1" x14ac:dyDescent="0.25">
      <c r="G901" s="1"/>
    </row>
    <row r="902" spans="7:7" ht="15.75" customHeight="1" x14ac:dyDescent="0.25">
      <c r="G902" s="1"/>
    </row>
    <row r="903" spans="7:7" ht="15.75" customHeight="1" x14ac:dyDescent="0.25">
      <c r="G903" s="1"/>
    </row>
    <row r="904" spans="7:7" ht="15.75" customHeight="1" x14ac:dyDescent="0.25">
      <c r="G904" s="1"/>
    </row>
    <row r="905" spans="7:7" ht="15.75" customHeight="1" x14ac:dyDescent="0.25">
      <c r="G905" s="1"/>
    </row>
    <row r="906" spans="7:7" ht="15.75" customHeight="1" x14ac:dyDescent="0.25">
      <c r="G906" s="1"/>
    </row>
    <row r="907" spans="7:7" ht="15.75" customHeight="1" x14ac:dyDescent="0.25">
      <c r="G907" s="1"/>
    </row>
    <row r="908" spans="7:7" ht="15.75" customHeight="1" x14ac:dyDescent="0.25">
      <c r="G908" s="1"/>
    </row>
    <row r="909" spans="7:7" ht="15.75" customHeight="1" x14ac:dyDescent="0.25">
      <c r="G909" s="1"/>
    </row>
    <row r="910" spans="7:7" ht="15.75" customHeight="1" x14ac:dyDescent="0.25">
      <c r="G910" s="1"/>
    </row>
    <row r="911" spans="7:7" ht="15.75" customHeight="1" x14ac:dyDescent="0.25">
      <c r="G911" s="1"/>
    </row>
    <row r="912" spans="7:7" ht="15.75" customHeight="1" x14ac:dyDescent="0.25">
      <c r="G912" s="1"/>
    </row>
    <row r="913" spans="7:7" ht="15.75" customHeight="1" x14ac:dyDescent="0.25">
      <c r="G913" s="1"/>
    </row>
    <row r="914" spans="7:7" ht="15.75" customHeight="1" x14ac:dyDescent="0.25">
      <c r="G914" s="1"/>
    </row>
    <row r="915" spans="7:7" ht="15.75" customHeight="1" x14ac:dyDescent="0.25">
      <c r="G915" s="1"/>
    </row>
    <row r="916" spans="7:7" ht="15.75" customHeight="1" x14ac:dyDescent="0.25">
      <c r="G916" s="1"/>
    </row>
    <row r="917" spans="7:7" ht="15.75" customHeight="1" x14ac:dyDescent="0.25">
      <c r="G917" s="1"/>
    </row>
    <row r="918" spans="7:7" ht="15.75" customHeight="1" x14ac:dyDescent="0.25">
      <c r="G918" s="1"/>
    </row>
    <row r="919" spans="7:7" ht="15.75" customHeight="1" x14ac:dyDescent="0.25">
      <c r="G919" s="1"/>
    </row>
    <row r="920" spans="7:7" ht="15.75" customHeight="1" x14ac:dyDescent="0.25">
      <c r="G920" s="1"/>
    </row>
    <row r="921" spans="7:7" ht="15.75" customHeight="1" x14ac:dyDescent="0.25">
      <c r="G921" s="1"/>
    </row>
    <row r="922" spans="7:7" ht="15.75" customHeight="1" x14ac:dyDescent="0.25">
      <c r="G922" s="1"/>
    </row>
    <row r="923" spans="7:7" ht="15.75" customHeight="1" x14ac:dyDescent="0.25">
      <c r="G923" s="1"/>
    </row>
    <row r="924" spans="7:7" ht="15.75" customHeight="1" x14ac:dyDescent="0.25">
      <c r="G924" s="1"/>
    </row>
    <row r="925" spans="7:7" ht="15.75" customHeight="1" x14ac:dyDescent="0.25">
      <c r="G925" s="1"/>
    </row>
    <row r="926" spans="7:7" ht="15.75" customHeight="1" x14ac:dyDescent="0.25">
      <c r="G926" s="1"/>
    </row>
    <row r="927" spans="7:7" ht="15.75" customHeight="1" x14ac:dyDescent="0.25">
      <c r="G927" s="1"/>
    </row>
    <row r="928" spans="7:7" ht="15.75" customHeight="1" x14ac:dyDescent="0.25">
      <c r="G928" s="1"/>
    </row>
    <row r="929" spans="7:7" ht="15.75" customHeight="1" x14ac:dyDescent="0.25">
      <c r="G929" s="1"/>
    </row>
    <row r="930" spans="7:7" ht="15.75" customHeight="1" x14ac:dyDescent="0.25">
      <c r="G930" s="1"/>
    </row>
    <row r="931" spans="7:7" ht="15.75" customHeight="1" x14ac:dyDescent="0.25">
      <c r="G931" s="1"/>
    </row>
    <row r="932" spans="7:7" ht="15.75" customHeight="1" x14ac:dyDescent="0.25">
      <c r="G932" s="1"/>
    </row>
    <row r="933" spans="7:7" ht="15.75" customHeight="1" x14ac:dyDescent="0.25">
      <c r="G933" s="1"/>
    </row>
    <row r="934" spans="7:7" ht="15.75" customHeight="1" x14ac:dyDescent="0.25">
      <c r="G934" s="1"/>
    </row>
    <row r="935" spans="7:7" ht="15.75" customHeight="1" x14ac:dyDescent="0.25">
      <c r="G935" s="1"/>
    </row>
    <row r="936" spans="7:7" ht="15.75" customHeight="1" x14ac:dyDescent="0.25">
      <c r="G936" s="1"/>
    </row>
    <row r="937" spans="7:7" ht="15.75" customHeight="1" x14ac:dyDescent="0.25">
      <c r="G937" s="1"/>
    </row>
    <row r="938" spans="7:7" ht="15.75" customHeight="1" x14ac:dyDescent="0.25">
      <c r="G938" s="1"/>
    </row>
    <row r="939" spans="7:7" ht="15.75" customHeight="1" x14ac:dyDescent="0.25">
      <c r="G939" s="1"/>
    </row>
    <row r="940" spans="7:7" ht="15.75" customHeight="1" x14ac:dyDescent="0.25">
      <c r="G940" s="1"/>
    </row>
    <row r="941" spans="7:7" ht="15.75" customHeight="1" x14ac:dyDescent="0.25">
      <c r="G941" s="1"/>
    </row>
    <row r="942" spans="7:7" ht="15.75" customHeight="1" x14ac:dyDescent="0.25">
      <c r="G942" s="1"/>
    </row>
    <row r="943" spans="7:7" ht="15.75" customHeight="1" x14ac:dyDescent="0.25">
      <c r="G943" s="1"/>
    </row>
    <row r="944" spans="7:7" ht="15.75" customHeight="1" x14ac:dyDescent="0.25">
      <c r="G944" s="1"/>
    </row>
    <row r="945" spans="7:7" ht="15.75" customHeight="1" x14ac:dyDescent="0.25">
      <c r="G945" s="1"/>
    </row>
    <row r="946" spans="7:7" ht="15.75" customHeight="1" x14ac:dyDescent="0.25">
      <c r="G946" s="1"/>
    </row>
    <row r="947" spans="7:7" ht="15.75" customHeight="1" x14ac:dyDescent="0.25">
      <c r="G947" s="1"/>
    </row>
    <row r="948" spans="7:7" ht="15.75" customHeight="1" x14ac:dyDescent="0.25">
      <c r="G948" s="1"/>
    </row>
    <row r="949" spans="7:7" ht="15.75" customHeight="1" x14ac:dyDescent="0.25">
      <c r="G949" s="1"/>
    </row>
    <row r="950" spans="7:7" ht="15.75" customHeight="1" x14ac:dyDescent="0.25">
      <c r="G950" s="1"/>
    </row>
    <row r="951" spans="7:7" ht="15.75" customHeight="1" x14ac:dyDescent="0.25">
      <c r="G951" s="1"/>
    </row>
    <row r="952" spans="7:7" ht="15.75" customHeight="1" x14ac:dyDescent="0.25">
      <c r="G952" s="1"/>
    </row>
    <row r="953" spans="7:7" ht="15.75" customHeight="1" x14ac:dyDescent="0.25">
      <c r="G953" s="1"/>
    </row>
    <row r="954" spans="7:7" ht="15.75" customHeight="1" x14ac:dyDescent="0.25">
      <c r="G954" s="1"/>
    </row>
    <row r="955" spans="7:7" ht="15.75" customHeight="1" x14ac:dyDescent="0.25">
      <c r="G955" s="1"/>
    </row>
    <row r="956" spans="7:7" ht="15.75" customHeight="1" x14ac:dyDescent="0.25">
      <c r="G956" s="1"/>
    </row>
    <row r="957" spans="7:7" ht="15.75" customHeight="1" x14ac:dyDescent="0.25">
      <c r="G957" s="1"/>
    </row>
    <row r="958" spans="7:7" ht="15.75" customHeight="1" x14ac:dyDescent="0.25">
      <c r="G958" s="1"/>
    </row>
    <row r="959" spans="7:7" ht="15.75" customHeight="1" x14ac:dyDescent="0.25">
      <c r="G959" s="1"/>
    </row>
    <row r="960" spans="7:7" ht="15.75" customHeight="1" x14ac:dyDescent="0.25">
      <c r="G960" s="1"/>
    </row>
    <row r="961" spans="7:7" ht="15.75" customHeight="1" x14ac:dyDescent="0.25">
      <c r="G961" s="1"/>
    </row>
    <row r="962" spans="7:7" ht="15.75" customHeight="1" x14ac:dyDescent="0.25">
      <c r="G962" s="1"/>
    </row>
    <row r="963" spans="7:7" ht="15.75" customHeight="1" x14ac:dyDescent="0.25">
      <c r="G963" s="1"/>
    </row>
    <row r="964" spans="7:7" ht="15.75" customHeight="1" x14ac:dyDescent="0.25">
      <c r="G964" s="1"/>
    </row>
    <row r="965" spans="7:7" ht="15.75" customHeight="1" x14ac:dyDescent="0.25">
      <c r="G965" s="1"/>
    </row>
    <row r="966" spans="7:7" ht="15.75" customHeight="1" x14ac:dyDescent="0.25">
      <c r="G966" s="1"/>
    </row>
    <row r="967" spans="7:7" ht="15.75" customHeight="1" x14ac:dyDescent="0.25">
      <c r="G967" s="1"/>
    </row>
    <row r="968" spans="7:7" ht="15.75" customHeight="1" x14ac:dyDescent="0.25">
      <c r="G968" s="1"/>
    </row>
    <row r="969" spans="7:7" ht="15.75" customHeight="1" x14ac:dyDescent="0.25">
      <c r="G969" s="1"/>
    </row>
    <row r="970" spans="7:7" ht="15.75" customHeight="1" x14ac:dyDescent="0.25">
      <c r="G970" s="1"/>
    </row>
    <row r="971" spans="7:7" ht="15.75" customHeight="1" x14ac:dyDescent="0.25">
      <c r="G971" s="1"/>
    </row>
    <row r="972" spans="7:7" ht="15.75" customHeight="1" x14ac:dyDescent="0.25">
      <c r="G972" s="1"/>
    </row>
    <row r="973" spans="7:7" ht="15.75" customHeight="1" x14ac:dyDescent="0.25">
      <c r="G973" s="1"/>
    </row>
    <row r="974" spans="7:7" ht="15.75" customHeight="1" x14ac:dyDescent="0.25">
      <c r="G974" s="1"/>
    </row>
    <row r="975" spans="7:7" ht="15.75" customHeight="1" x14ac:dyDescent="0.25">
      <c r="G975" s="1"/>
    </row>
    <row r="976" spans="7:7" ht="15.75" customHeight="1" x14ac:dyDescent="0.25">
      <c r="G976" s="1"/>
    </row>
    <row r="977" spans="7:7" ht="15.75" customHeight="1" x14ac:dyDescent="0.25">
      <c r="G977" s="1"/>
    </row>
    <row r="978" spans="7:7" ht="15.75" customHeight="1" x14ac:dyDescent="0.25">
      <c r="G978" s="1"/>
    </row>
    <row r="979" spans="7:7" ht="15.75" customHeight="1" x14ac:dyDescent="0.25">
      <c r="G979" s="1"/>
    </row>
    <row r="980" spans="7:7" ht="15.75" customHeight="1" x14ac:dyDescent="0.25">
      <c r="G980" s="1"/>
    </row>
    <row r="981" spans="7:7" ht="15.75" customHeight="1" x14ac:dyDescent="0.25">
      <c r="G981" s="1"/>
    </row>
    <row r="982" spans="7:7" ht="15.75" customHeight="1" x14ac:dyDescent="0.25">
      <c r="G982" s="1"/>
    </row>
    <row r="983" spans="7:7" ht="15.75" customHeight="1" x14ac:dyDescent="0.25">
      <c r="G983" s="1"/>
    </row>
    <row r="984" spans="7:7" ht="15.75" customHeight="1" x14ac:dyDescent="0.25">
      <c r="G984" s="1"/>
    </row>
    <row r="985" spans="7:7" ht="15.75" customHeight="1" x14ac:dyDescent="0.25">
      <c r="G985" s="1"/>
    </row>
    <row r="986" spans="7:7" ht="15.75" customHeight="1" x14ac:dyDescent="0.25">
      <c r="G986" s="1"/>
    </row>
    <row r="987" spans="7:7" ht="15.75" customHeight="1" x14ac:dyDescent="0.25">
      <c r="G987" s="1"/>
    </row>
    <row r="988" spans="7:7" ht="15.75" customHeight="1" x14ac:dyDescent="0.25">
      <c r="G988" s="1"/>
    </row>
    <row r="989" spans="7:7" ht="15.75" customHeight="1" x14ac:dyDescent="0.25">
      <c r="G989" s="1"/>
    </row>
    <row r="990" spans="7:7" ht="15.75" customHeight="1" x14ac:dyDescent="0.25">
      <c r="G990" s="1"/>
    </row>
    <row r="991" spans="7:7" ht="15.75" customHeight="1" x14ac:dyDescent="0.25">
      <c r="G991" s="1"/>
    </row>
    <row r="992" spans="7:7" ht="15.75" customHeight="1" x14ac:dyDescent="0.25">
      <c r="G992" s="1"/>
    </row>
    <row r="993" spans="7:7" ht="15.75" customHeight="1" x14ac:dyDescent="0.25">
      <c r="G993" s="1"/>
    </row>
    <row r="994" spans="7:7" ht="15.75" customHeight="1" x14ac:dyDescent="0.25">
      <c r="G994" s="1"/>
    </row>
    <row r="995" spans="7:7" ht="15.75" customHeight="1" x14ac:dyDescent="0.25">
      <c r="G995" s="1"/>
    </row>
    <row r="996" spans="7:7" ht="15.75" customHeight="1" x14ac:dyDescent="0.25">
      <c r="G996" s="1"/>
    </row>
    <row r="997" spans="7:7" ht="15.75" customHeight="1" x14ac:dyDescent="0.25">
      <c r="G997" s="1"/>
    </row>
    <row r="998" spans="7:7" ht="15.75" customHeight="1" x14ac:dyDescent="0.25">
      <c r="G998" s="1"/>
    </row>
    <row r="999" spans="7:7" ht="15.75" customHeight="1" x14ac:dyDescent="0.25">
      <c r="G999" s="1"/>
    </row>
    <row r="1000" spans="7:7" ht="15.75" customHeight="1" x14ac:dyDescent="0.25">
      <c r="G1000" s="1"/>
    </row>
  </sheetData>
  <conditionalFormatting sqref="A2:K180">
    <cfRule type="containsBlanks" dxfId="2" priority="1">
      <formula>LEN(TRIM(A2))=0</formula>
    </cfRule>
  </conditionalFormatting>
  <printOptions horizontalCentered="1"/>
  <pageMargins left="0.7" right="0.7" top="0.75" bottom="0.75" header="0" footer="0"/>
  <pageSetup paperSize="9" orientation="landscape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9DC3E6"/>
  </sheetPr>
  <dimension ref="A1:AB1000"/>
  <sheetViews>
    <sheetView workbookViewId="0">
      <pane ySplit="1" topLeftCell="A2" activePane="bottomLeft" state="frozen"/>
      <selection pane="bottomLeft" activeCell="B3" sqref="B3"/>
    </sheetView>
  </sheetViews>
  <sheetFormatPr baseColWidth="10" defaultColWidth="12.6328125" defaultRowHeight="15" customHeight="1" x14ac:dyDescent="0.25"/>
  <cols>
    <col min="1" max="1" width="5.6328125" customWidth="1"/>
    <col min="2" max="2" width="8" customWidth="1"/>
    <col min="3" max="3" width="17.7265625" customWidth="1"/>
    <col min="4" max="4" width="13" customWidth="1"/>
    <col min="5" max="6" width="5.36328125" customWidth="1"/>
    <col min="7" max="21" width="8.26953125" customWidth="1"/>
    <col min="22" max="28" width="7" customWidth="1"/>
  </cols>
  <sheetData>
    <row r="1" spans="1:28" ht="13.5" customHeight="1" x14ac:dyDescent="0.25">
      <c r="A1" s="48" t="s">
        <v>0</v>
      </c>
      <c r="B1" s="48" t="s">
        <v>1</v>
      </c>
      <c r="C1" s="49" t="s">
        <v>2</v>
      </c>
      <c r="D1" s="49" t="s">
        <v>3</v>
      </c>
      <c r="E1" s="48" t="s">
        <v>4</v>
      </c>
      <c r="F1" s="48" t="s">
        <v>5</v>
      </c>
      <c r="G1" s="50" t="s">
        <v>6</v>
      </c>
      <c r="H1" s="48" t="s">
        <v>7</v>
      </c>
      <c r="I1" s="48" t="s">
        <v>8</v>
      </c>
      <c r="J1" s="48" t="s">
        <v>9</v>
      </c>
      <c r="K1" s="48" t="s">
        <v>10</v>
      </c>
      <c r="L1" s="5"/>
      <c r="M1" s="6"/>
      <c r="N1" s="6"/>
      <c r="O1" s="6"/>
      <c r="P1" s="6"/>
      <c r="Q1" s="6"/>
      <c r="R1" s="6"/>
      <c r="S1" s="6"/>
      <c r="T1" s="6"/>
      <c r="U1" s="6"/>
      <c r="V1" s="7"/>
      <c r="W1" s="7"/>
      <c r="X1" s="7"/>
      <c r="Y1" s="7"/>
      <c r="Z1" s="8"/>
      <c r="AA1" s="9"/>
      <c r="AB1" s="10"/>
    </row>
    <row r="2" spans="1:28" ht="13.5" customHeight="1" x14ac:dyDescent="0.35">
      <c r="A2" s="11">
        <f ca="1">IFERROR(__xludf.DUMMYFUNCTION("importrange(""https://docs.google.com/spreadsheets/d/1b5MDXOVAvyXtPAhaTJQ4VklV1IVuMDIMPSQ0egEui-k/edit?gid=1004591596#gid=1004591596"",""Resultats_MH!A2:O180"")"),1)</f>
        <v>1</v>
      </c>
      <c r="B2" s="12" t="str">
        <f ca="1">IFERROR(__xludf.DUMMYFUNCTION("""COMPUTED_VALUE"""),"183")</f>
        <v>183</v>
      </c>
      <c r="C2" s="13" t="str">
        <f ca="1">IFERROR(__xludf.DUMMYFUNCTION("""COMPUTED_VALUE"""),"VACHER")</f>
        <v>VACHER</v>
      </c>
      <c r="D2" s="14" t="str">
        <f ca="1">IFERROR(__xludf.DUMMYFUNCTION("""COMPUTED_VALUE"""),"NICOLAS")</f>
        <v>NICOLAS</v>
      </c>
      <c r="E2" s="15" t="str">
        <f ca="1">IFERROR(__xludf.DUMMYFUNCTION("""COMPUTED_VALUE"""),"MH1")</f>
        <v>MH1</v>
      </c>
      <c r="F2" s="51">
        <f ca="1">IFERROR(__xludf.DUMMYFUNCTION("""COMPUTED_VALUE"""),1)</f>
        <v>1</v>
      </c>
      <c r="G2" s="16">
        <f ca="1">IFERROR(__xludf.DUMMYFUNCTION("""COMPUTED_VALUE"""),0.0161689825807949)</f>
        <v>1.61689825807949E-2</v>
      </c>
      <c r="H2" s="17">
        <f ca="1">IFERROR(__xludf.DUMMYFUNCTION("""COMPUTED_VALUE"""),0.00254629639074761)</f>
        <v>2.54629639074761E-3</v>
      </c>
      <c r="I2" s="17">
        <f ca="1">IFERROR(__xludf.DUMMYFUNCTION("""COMPUTED_VALUE"""),0.00668981483863524)</f>
        <v>6.6898148386352399E-3</v>
      </c>
      <c r="J2" s="17">
        <f ca="1">IFERROR(__xludf.DUMMYFUNCTION("""COMPUTED_VALUE"""),0.00645833344629425)</f>
        <v>6.4583334462942499E-3</v>
      </c>
      <c r="K2" s="18">
        <f ca="1">IFERROR(__xludf.DUMMYFUNCTION("""COMPUTED_VALUE"""),0.00047453790511787)</f>
        <v>4.7453790511787E-4</v>
      </c>
      <c r="L2" s="19"/>
      <c r="M2" s="19"/>
      <c r="N2" s="19"/>
      <c r="O2" s="19"/>
      <c r="P2" s="19"/>
      <c r="Q2" s="19"/>
      <c r="R2" s="19"/>
      <c r="S2" s="19"/>
      <c r="T2" s="19"/>
      <c r="U2" s="19"/>
      <c r="V2" s="20"/>
      <c r="W2" s="20"/>
      <c r="X2" s="20"/>
      <c r="Y2" s="20"/>
      <c r="Z2" s="21"/>
      <c r="AA2" s="22"/>
      <c r="AB2" s="23"/>
    </row>
    <row r="3" spans="1:28" ht="13.5" customHeight="1" x14ac:dyDescent="0.35">
      <c r="A3" s="24">
        <f ca="1">IFERROR(__xludf.DUMMYFUNCTION("""COMPUTED_VALUE"""),2)</f>
        <v>2</v>
      </c>
      <c r="B3" s="25" t="str">
        <f ca="1">IFERROR(__xludf.DUMMYFUNCTION("""COMPUTED_VALUE"""),"114")</f>
        <v>114</v>
      </c>
      <c r="C3" s="26" t="str">
        <f ca="1">IFERROR(__xludf.DUMMYFUNCTION("""COMPUTED_VALUE"""),"VERSAEVEL")</f>
        <v>VERSAEVEL</v>
      </c>
      <c r="D3" s="27" t="str">
        <f ca="1">IFERROR(__xludf.DUMMYFUNCTION("""COMPUTED_VALUE"""),"WILLIAM")</f>
        <v>WILLIAM</v>
      </c>
      <c r="E3" s="15" t="str">
        <f ca="1">IFERROR(__xludf.DUMMYFUNCTION("""COMPUTED_VALUE"""),"MH2")</f>
        <v>MH2</v>
      </c>
      <c r="F3" s="51">
        <f ca="1">IFERROR(__xludf.DUMMYFUNCTION("""COMPUTED_VALUE"""),1)</f>
        <v>1</v>
      </c>
      <c r="G3" s="16">
        <f ca="1">IFERROR(__xludf.DUMMYFUNCTION("""COMPUTED_VALUE"""),0.0169907410305803)</f>
        <v>1.6990741030580299E-2</v>
      </c>
      <c r="H3" s="17">
        <f ca="1">IFERROR(__xludf.DUMMYFUNCTION("""COMPUTED_VALUE"""),0.00329861112838727)</f>
        <v>3.2986111283872699E-3</v>
      </c>
      <c r="I3" s="17">
        <f ca="1">IFERROR(__xludf.DUMMYFUNCTION("""COMPUTED_VALUE"""),0.00668981492923633)</f>
        <v>6.6898149292363299E-3</v>
      </c>
      <c r="J3" s="17">
        <f ca="1">IFERROR(__xludf.DUMMYFUNCTION("""COMPUTED_VALUE"""),0.00663194385158189)</f>
        <v>6.6319438515818896E-3</v>
      </c>
      <c r="K3" s="18">
        <f ca="1">IFERROR(__xludf.DUMMYFUNCTION("""COMPUTED_VALUE"""),0.000370371121374837)</f>
        <v>3.7037112137483697E-4</v>
      </c>
      <c r="L3" s="19"/>
      <c r="M3" s="19"/>
      <c r="N3" s="19"/>
      <c r="O3" s="19"/>
      <c r="P3" s="19"/>
      <c r="Q3" s="19"/>
      <c r="R3" s="19"/>
      <c r="S3" s="19"/>
      <c r="T3" s="19"/>
      <c r="U3" s="19"/>
      <c r="V3" s="20"/>
      <c r="W3" s="20"/>
      <c r="X3" s="20"/>
      <c r="Y3" s="20"/>
      <c r="Z3" s="21"/>
      <c r="AA3" s="22"/>
      <c r="AB3" s="23"/>
    </row>
    <row r="4" spans="1:28" ht="13.5" customHeight="1" x14ac:dyDescent="0.35">
      <c r="A4" s="24">
        <f ca="1">IFERROR(__xludf.DUMMYFUNCTION("""COMPUTED_VALUE"""),3)</f>
        <v>3</v>
      </c>
      <c r="B4" s="25" t="str">
        <f ca="1">IFERROR(__xludf.DUMMYFUNCTION("""COMPUTED_VALUE"""),"184")</f>
        <v>184</v>
      </c>
      <c r="C4" s="26" t="str">
        <f ca="1">IFERROR(__xludf.DUMMYFUNCTION("""COMPUTED_VALUE"""),"VOISIN")</f>
        <v>VOISIN</v>
      </c>
      <c r="D4" s="27" t="str">
        <f ca="1">IFERROR(__xludf.DUMMYFUNCTION("""COMPUTED_VALUE"""),"JEAN-SÉBASTIEN")</f>
        <v>JEAN-SÉBASTIEN</v>
      </c>
      <c r="E4" s="15" t="str">
        <f ca="1">IFERROR(__xludf.DUMMYFUNCTION("""COMPUTED_VALUE"""),"MH2")</f>
        <v>MH2</v>
      </c>
      <c r="F4" s="51">
        <f ca="1">IFERROR(__xludf.DUMMYFUNCTION("""COMPUTED_VALUE"""),2)</f>
        <v>2</v>
      </c>
      <c r="G4" s="16">
        <f ca="1">IFERROR(__xludf.DUMMYFUNCTION("""COMPUTED_VALUE"""),0.0178472233275879)</f>
        <v>1.78472233275879E-2</v>
      </c>
      <c r="H4" s="17">
        <f ca="1">IFERROR(__xludf.DUMMYFUNCTION("""COMPUTED_VALUE"""),0.00300925926907581)</f>
        <v>3.00925926907581E-3</v>
      </c>
      <c r="I4" s="17">
        <f ca="1">IFERROR(__xludf.DUMMYFUNCTION("""COMPUTED_VALUE"""),0.00695601854945075)</f>
        <v>6.9560185494507501E-3</v>
      </c>
      <c r="J4" s="17">
        <f ca="1">IFERROR(__xludf.DUMMYFUNCTION("""COMPUTED_VALUE"""),0.0073958341360374)</f>
        <v>7.3958341360373997E-3</v>
      </c>
      <c r="K4" s="18">
        <f ca="1">IFERROR(__xludf.DUMMYFUNCTION("""COMPUTED_VALUE"""),0.000486111373023977)</f>
        <v>4.86111373023977E-4</v>
      </c>
      <c r="L4" s="19"/>
      <c r="M4" s="19"/>
      <c r="N4" s="19"/>
      <c r="O4" s="19"/>
      <c r="P4" s="19"/>
      <c r="Q4" s="19"/>
      <c r="R4" s="19"/>
      <c r="S4" s="19"/>
      <c r="T4" s="19"/>
      <c r="U4" s="19"/>
      <c r="V4" s="20"/>
      <c r="W4" s="20"/>
      <c r="X4" s="20"/>
      <c r="Y4" s="20"/>
      <c r="Z4" s="21"/>
      <c r="AA4" s="22"/>
      <c r="AB4" s="23"/>
    </row>
    <row r="5" spans="1:28" ht="13.5" customHeight="1" x14ac:dyDescent="0.35">
      <c r="A5" s="24">
        <f ca="1">IFERROR(__xludf.DUMMYFUNCTION("""COMPUTED_VALUE"""),4)</f>
        <v>4</v>
      </c>
      <c r="B5" s="25" t="str">
        <f ca="1">IFERROR(__xludf.DUMMYFUNCTION("""COMPUTED_VALUE"""),"199")</f>
        <v>199</v>
      </c>
      <c r="C5" s="26" t="str">
        <f ca="1">IFERROR(__xludf.DUMMYFUNCTION("""COMPUTED_VALUE"""),"DECANTER")</f>
        <v>DECANTER</v>
      </c>
      <c r="D5" s="27" t="str">
        <f ca="1">IFERROR(__xludf.DUMMYFUNCTION("""COMPUTED_VALUE"""),"MATTHIAS")</f>
        <v>MATTHIAS</v>
      </c>
      <c r="E5" s="15" t="str">
        <f ca="1">IFERROR(__xludf.DUMMYFUNCTION("""COMPUTED_VALUE"""),"MH2")</f>
        <v>MH2</v>
      </c>
      <c r="F5" s="51">
        <f ca="1">IFERROR(__xludf.DUMMYFUNCTION("""COMPUTED_VALUE"""),3)</f>
        <v>3</v>
      </c>
      <c r="G5" s="16">
        <f ca="1">IFERROR(__xludf.DUMMYFUNCTION("""COMPUTED_VALUE"""),0.0183912043712926)</f>
        <v>1.8391204371292599E-2</v>
      </c>
      <c r="H5" s="17">
        <f ca="1">IFERROR(__xludf.DUMMYFUNCTION("""COMPUTED_VALUE"""),0.0028587963967393)</f>
        <v>2.8587963967393001E-3</v>
      </c>
      <c r="I5" s="17">
        <f ca="1">IFERROR(__xludf.DUMMYFUNCTION("""COMPUTED_VALUE"""),0.0070254629929974)</f>
        <v>7.0254629929974001E-3</v>
      </c>
      <c r="J5" s="17">
        <f ca="1">IFERROR(__xludf.DUMMYFUNCTION("""COMPUTED_VALUE"""),0.00782407454941043)</f>
        <v>7.8240745494104307E-3</v>
      </c>
      <c r="K5" s="18">
        <f ca="1">IFERROR(__xludf.DUMMYFUNCTION("""COMPUTED_VALUE"""),0.000682870432145489)</f>
        <v>6.8287043214548902E-4</v>
      </c>
      <c r="L5" s="19"/>
      <c r="M5" s="19"/>
      <c r="N5" s="19"/>
      <c r="O5" s="19"/>
      <c r="P5" s="19"/>
      <c r="Q5" s="19"/>
      <c r="R5" s="19"/>
      <c r="S5" s="19"/>
      <c r="T5" s="19"/>
      <c r="U5" s="19"/>
      <c r="V5" s="20"/>
      <c r="W5" s="20"/>
      <c r="X5" s="20"/>
      <c r="Y5" s="20"/>
      <c r="Z5" s="21"/>
      <c r="AA5" s="22"/>
      <c r="AB5" s="23"/>
    </row>
    <row r="6" spans="1:28" ht="13.5" customHeight="1" x14ac:dyDescent="0.35">
      <c r="A6" s="24">
        <f ca="1">IFERROR(__xludf.DUMMYFUNCTION("""COMPUTED_VALUE"""),5)</f>
        <v>5</v>
      </c>
      <c r="B6" s="25" t="str">
        <f ca="1">IFERROR(__xludf.DUMMYFUNCTION("""COMPUTED_VALUE"""),"127")</f>
        <v>127</v>
      </c>
      <c r="C6" s="26" t="str">
        <f ca="1">IFERROR(__xludf.DUMMYFUNCTION("""COMPUTED_VALUE"""),"ROSANVALLON")</f>
        <v>ROSANVALLON</v>
      </c>
      <c r="D6" s="27" t="str">
        <f ca="1">IFERROR(__xludf.DUMMYFUNCTION("""COMPUTED_VALUE"""),"JÉRÉMIE")</f>
        <v>JÉRÉMIE</v>
      </c>
      <c r="E6" s="15" t="str">
        <f ca="1">IFERROR(__xludf.DUMMYFUNCTION("""COMPUTED_VALUE"""),"MH2")</f>
        <v>MH2</v>
      </c>
      <c r="F6" s="51">
        <f ca="1">IFERROR(__xludf.DUMMYFUNCTION("""COMPUTED_VALUE"""),4)</f>
        <v>4</v>
      </c>
      <c r="G6" s="16">
        <f ca="1">IFERROR(__xludf.DUMMYFUNCTION("""COMPUTED_VALUE"""),0.0184259260884095)</f>
        <v>1.8425926088409501E-2</v>
      </c>
      <c r="H6" s="17">
        <f ca="1">IFERROR(__xludf.DUMMYFUNCTION("""COMPUTED_VALUE"""),0.00372685191650366)</f>
        <v>3.7268519165036601E-3</v>
      </c>
      <c r="I6" s="17">
        <f ca="1">IFERROR(__xludf.DUMMYFUNCTION("""COMPUTED_VALUE"""),0.00592592597558039)</f>
        <v>5.9259259755803902E-3</v>
      </c>
      <c r="J6" s="17">
        <f ca="1">IFERROR(__xludf.DUMMYFUNCTION("""COMPUTED_VALUE"""),0.00827546211055218)</f>
        <v>8.2754621105521793E-3</v>
      </c>
      <c r="K6" s="18">
        <f ca="1">IFERROR(__xludf.DUMMYFUNCTION("""COMPUTED_VALUE"""),0.000497686085773273)</f>
        <v>4.9768608577327304E-4</v>
      </c>
      <c r="L6" s="19"/>
      <c r="M6" s="19"/>
      <c r="N6" s="19"/>
      <c r="O6" s="19"/>
      <c r="P6" s="19"/>
      <c r="Q6" s="19"/>
      <c r="R6" s="19"/>
      <c r="S6" s="19"/>
      <c r="T6" s="19"/>
      <c r="U6" s="19"/>
      <c r="V6" s="20"/>
      <c r="W6" s="20"/>
      <c r="X6" s="20"/>
      <c r="Y6" s="20"/>
      <c r="Z6" s="21"/>
      <c r="AA6" s="22"/>
      <c r="AB6" s="23"/>
    </row>
    <row r="7" spans="1:28" ht="13.5" customHeight="1" x14ac:dyDescent="0.35">
      <c r="A7" s="24">
        <f ca="1">IFERROR(__xludf.DUMMYFUNCTION("""COMPUTED_VALUE"""),6)</f>
        <v>6</v>
      </c>
      <c r="B7" s="25" t="str">
        <f ca="1">IFERROR(__xludf.DUMMYFUNCTION("""COMPUTED_VALUE"""),"187")</f>
        <v>187</v>
      </c>
      <c r="C7" s="26" t="str">
        <f ca="1">IFERROR(__xludf.DUMMYFUNCTION("""COMPUTED_VALUE"""),"BULMAN")</f>
        <v>BULMAN</v>
      </c>
      <c r="D7" s="27" t="str">
        <f ca="1">IFERROR(__xludf.DUMMYFUNCTION("""COMPUTED_VALUE"""),"TIMOTHY")</f>
        <v>TIMOTHY</v>
      </c>
      <c r="E7" s="15" t="str">
        <f ca="1">IFERROR(__xludf.DUMMYFUNCTION("""COMPUTED_VALUE"""),"MH2")</f>
        <v>MH2</v>
      </c>
      <c r="F7" s="51">
        <f ca="1">IFERROR(__xludf.DUMMYFUNCTION("""COMPUTED_VALUE"""),5)</f>
        <v>5</v>
      </c>
      <c r="G7" s="16">
        <f ca="1">IFERROR(__xludf.DUMMYFUNCTION("""COMPUTED_VALUE"""),0.0185069448483518)</f>
        <v>1.8506944848351799E-2</v>
      </c>
      <c r="H7" s="17">
        <f ca="1">IFERROR(__xludf.DUMMYFUNCTION("""COMPUTED_VALUE"""),0.00343750000317204)</f>
        <v>3.4375000031720399E-3</v>
      </c>
      <c r="I7" s="17">
        <f ca="1">IFERROR(__xludf.DUMMYFUNCTION("""COMPUTED_VALUE"""),0.00721064820252469)</f>
        <v>7.2106482025246898E-3</v>
      </c>
      <c r="J7" s="17">
        <f ca="1">IFERROR(__xludf.DUMMYFUNCTION("""COMPUTED_VALUE"""),0.00712962938181818)</f>
        <v>7.1296293818181797E-3</v>
      </c>
      <c r="K7" s="18">
        <f ca="1">IFERROR(__xludf.DUMMYFUNCTION("""COMPUTED_VALUE"""),0.000729167260836921)</f>
        <v>7.2916726083692104E-4</v>
      </c>
      <c r="L7" s="19"/>
      <c r="M7" s="19"/>
      <c r="N7" s="19"/>
      <c r="O7" s="19"/>
      <c r="P7" s="19"/>
      <c r="Q7" s="19"/>
      <c r="R7" s="19"/>
      <c r="S7" s="19"/>
      <c r="T7" s="19"/>
      <c r="U7" s="19"/>
      <c r="V7" s="20"/>
      <c r="W7" s="20"/>
      <c r="X7" s="20"/>
      <c r="Y7" s="20"/>
      <c r="Z7" s="21"/>
      <c r="AA7" s="22"/>
      <c r="AB7" s="23"/>
    </row>
    <row r="8" spans="1:28" ht="13.5" customHeight="1" x14ac:dyDescent="0.35">
      <c r="A8" s="24">
        <f ca="1">IFERROR(__xludf.DUMMYFUNCTION("""COMPUTED_VALUE"""),7)</f>
        <v>7</v>
      </c>
      <c r="B8" s="25" t="str">
        <f ca="1">IFERROR(__xludf.DUMMYFUNCTION("""COMPUTED_VALUE"""),"194")</f>
        <v>194</v>
      </c>
      <c r="C8" s="26" t="str">
        <f ca="1">IFERROR(__xludf.DUMMYFUNCTION("""COMPUTED_VALUE"""),"GOUBET")</f>
        <v>GOUBET</v>
      </c>
      <c r="D8" s="27" t="str">
        <f ca="1">IFERROR(__xludf.DUMMYFUNCTION("""COMPUTED_VALUE"""),"ARNAUD")</f>
        <v>ARNAUD</v>
      </c>
      <c r="E8" s="15" t="str">
        <f ca="1">IFERROR(__xludf.DUMMYFUNCTION("""COMPUTED_VALUE"""),"MH2")</f>
        <v>MH2</v>
      </c>
      <c r="F8" s="51">
        <f ca="1">IFERROR(__xludf.DUMMYFUNCTION("""COMPUTED_VALUE"""),6)</f>
        <v>6</v>
      </c>
      <c r="G8" s="16">
        <f ca="1">IFERROR(__xludf.DUMMYFUNCTION("""COMPUTED_VALUE"""),0.0185185196245747)</f>
        <v>1.8518519624574702E-2</v>
      </c>
      <c r="H8" s="17">
        <f ca="1">IFERROR(__xludf.DUMMYFUNCTION("""COMPUTED_VALUE"""),0.00342592601098447)</f>
        <v>3.42592601098447E-3</v>
      </c>
      <c r="I8" s="17">
        <f ca="1">IFERROR(__xludf.DUMMYFUNCTION("""COMPUTED_VALUE"""),0.00734953713620363)</f>
        <v>7.3495371362036297E-3</v>
      </c>
      <c r="J8" s="17">
        <f ca="1">IFERROR(__xludf.DUMMYFUNCTION("""COMPUTED_VALUE"""),0.0070138895165952)</f>
        <v>7.0138895165952004E-3</v>
      </c>
      <c r="K8" s="18">
        <f ca="1">IFERROR(__xludf.DUMMYFUNCTION("""COMPUTED_VALUE"""),0.00072916696079144)</f>
        <v>7.2916696079143996E-4</v>
      </c>
      <c r="L8" s="19"/>
      <c r="M8" s="19"/>
      <c r="N8" s="19"/>
      <c r="O8" s="19"/>
      <c r="P8" s="19"/>
      <c r="Q8" s="19"/>
      <c r="R8" s="19"/>
      <c r="S8" s="19"/>
      <c r="T8" s="19"/>
      <c r="U8" s="19"/>
      <c r="V8" s="20"/>
      <c r="W8" s="20"/>
      <c r="X8" s="20"/>
      <c r="Y8" s="20"/>
      <c r="Z8" s="21"/>
      <c r="AA8" s="22"/>
      <c r="AB8" s="23"/>
    </row>
    <row r="9" spans="1:28" ht="13.5" customHeight="1" x14ac:dyDescent="0.35">
      <c r="A9" s="24">
        <f ca="1">IFERROR(__xludf.DUMMYFUNCTION("""COMPUTED_VALUE"""),8)</f>
        <v>8</v>
      </c>
      <c r="B9" s="25" t="str">
        <f ca="1">IFERROR(__xludf.DUMMYFUNCTION("""COMPUTED_VALUE"""),"226")</f>
        <v>226</v>
      </c>
      <c r="C9" s="26" t="str">
        <f ca="1">IFERROR(__xludf.DUMMYFUNCTION("""COMPUTED_VALUE"""),"TELLIER")</f>
        <v>TELLIER</v>
      </c>
      <c r="D9" s="27" t="str">
        <f ca="1">IFERROR(__xludf.DUMMYFUNCTION("""COMPUTED_VALUE"""),"MAXIME")</f>
        <v>MAXIME</v>
      </c>
      <c r="E9" s="15" t="str">
        <f ca="1">IFERROR(__xludf.DUMMYFUNCTION("""COMPUTED_VALUE"""),"MH1")</f>
        <v>MH1</v>
      </c>
      <c r="F9" s="51">
        <f ca="1">IFERROR(__xludf.DUMMYFUNCTION("""COMPUTED_VALUE"""),2)</f>
        <v>2</v>
      </c>
      <c r="G9" s="16">
        <f ca="1">IFERROR(__xludf.DUMMYFUNCTION("""COMPUTED_VALUE"""),0.0186111111235541)</f>
        <v>1.8611111123554101E-2</v>
      </c>
      <c r="H9" s="17">
        <f ca="1">IFERROR(__xludf.DUMMYFUNCTION("""COMPUTED_VALUE"""),0.00278935186981825)</f>
        <v>2.7893518698182498E-3</v>
      </c>
      <c r="I9" s="17">
        <f ca="1">IFERROR(__xludf.DUMMYFUNCTION("""COMPUTED_VALUE"""),0.00732638896760782)</f>
        <v>7.3263889676078199E-3</v>
      </c>
      <c r="J9" s="17">
        <f ca="1">IFERROR(__xludf.DUMMYFUNCTION("""COMPUTED_VALUE"""),0.00756944375653717)</f>
        <v>7.5694437565371701E-3</v>
      </c>
      <c r="K9" s="18">
        <f ca="1">IFERROR(__xludf.DUMMYFUNCTION("""COMPUTED_VALUE"""),0.000925926529590847)</f>
        <v>9.2592652959084696E-4</v>
      </c>
      <c r="L9" s="19"/>
      <c r="M9" s="19"/>
      <c r="N9" s="19"/>
      <c r="O9" s="19"/>
      <c r="P9" s="19"/>
      <c r="Q9" s="19"/>
      <c r="R9" s="19"/>
      <c r="S9" s="19"/>
      <c r="T9" s="19"/>
      <c r="U9" s="19"/>
      <c r="V9" s="20"/>
      <c r="W9" s="20"/>
      <c r="X9" s="20"/>
      <c r="Y9" s="20"/>
      <c r="Z9" s="21"/>
      <c r="AA9" s="22"/>
      <c r="AB9" s="23"/>
    </row>
    <row r="10" spans="1:28" ht="13.5" customHeight="1" x14ac:dyDescent="0.35">
      <c r="A10" s="24">
        <f ca="1">IFERROR(__xludf.DUMMYFUNCTION("""COMPUTED_VALUE"""),9)</f>
        <v>9</v>
      </c>
      <c r="B10" s="25" t="str">
        <f ca="1">IFERROR(__xludf.DUMMYFUNCTION("""COMPUTED_VALUE"""),"129")</f>
        <v>129</v>
      </c>
      <c r="C10" s="26" t="str">
        <f ca="1">IFERROR(__xludf.DUMMYFUNCTION("""COMPUTED_VALUE"""),"PUISAIS HEE")</f>
        <v>PUISAIS HEE</v>
      </c>
      <c r="D10" s="27" t="str">
        <f ca="1">IFERROR(__xludf.DUMMYFUNCTION("""COMPUTED_VALUE"""),"LUC")</f>
        <v>LUC</v>
      </c>
      <c r="E10" s="15" t="str">
        <f ca="1">IFERROR(__xludf.DUMMYFUNCTION("""COMPUTED_VALUE"""),"MH1")</f>
        <v>MH1</v>
      </c>
      <c r="F10" s="51">
        <f ca="1">IFERROR(__xludf.DUMMYFUNCTION("""COMPUTED_VALUE"""),3)</f>
        <v>3</v>
      </c>
      <c r="G10" s="16">
        <f ca="1">IFERROR(__xludf.DUMMYFUNCTION("""COMPUTED_VALUE"""),0.0187384266513463)</f>
        <v>1.8738426651346299E-2</v>
      </c>
      <c r="H10" s="17">
        <f ca="1">IFERROR(__xludf.DUMMYFUNCTION("""COMPUTED_VALUE"""),0.00378472228730047)</f>
        <v>3.7847222873004698E-3</v>
      </c>
      <c r="I10" s="17">
        <f ca="1">IFERROR(__xludf.DUMMYFUNCTION("""COMPUTED_VALUE"""),0.00716435192778833)</f>
        <v>7.1643519277883299E-3</v>
      </c>
      <c r="J10" s="17">
        <f ca="1">IFERROR(__xludf.DUMMYFUNCTION("""COMPUTED_VALUE"""),0.00701388887001966)</f>
        <v>7.0138888700196599E-3</v>
      </c>
      <c r="K10" s="18">
        <f ca="1">IFERROR(__xludf.DUMMYFUNCTION("""COMPUTED_VALUE"""),0.000775463566237834)</f>
        <v>7.7546356623783396E-4</v>
      </c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20"/>
      <c r="W10" s="20"/>
      <c r="X10" s="20"/>
      <c r="Y10" s="20"/>
      <c r="Z10" s="21"/>
      <c r="AA10" s="22"/>
      <c r="AB10" s="23"/>
    </row>
    <row r="11" spans="1:28" ht="13.5" customHeight="1" x14ac:dyDescent="0.35">
      <c r="A11" s="24">
        <f ca="1">IFERROR(__xludf.DUMMYFUNCTION("""COMPUTED_VALUE"""),10)</f>
        <v>10</v>
      </c>
      <c r="B11" s="25" t="str">
        <f ca="1">IFERROR(__xludf.DUMMYFUNCTION("""COMPUTED_VALUE"""),"200")</f>
        <v>200</v>
      </c>
      <c r="C11" s="26" t="str">
        <f ca="1">IFERROR(__xludf.DUMMYFUNCTION("""COMPUTED_VALUE"""),"BOYER")</f>
        <v>BOYER</v>
      </c>
      <c r="D11" s="27" t="str">
        <f ca="1">IFERROR(__xludf.DUMMYFUNCTION("""COMPUTED_VALUE"""),"MATTHIEU")</f>
        <v>MATTHIEU</v>
      </c>
      <c r="E11" s="15" t="str">
        <f ca="1">IFERROR(__xludf.DUMMYFUNCTION("""COMPUTED_VALUE"""),"MH1")</f>
        <v>MH1</v>
      </c>
      <c r="F11" s="51">
        <f ca="1">IFERROR(__xludf.DUMMYFUNCTION("""COMPUTED_VALUE"""),4)</f>
        <v>4</v>
      </c>
      <c r="G11" s="16">
        <f ca="1">IFERROR(__xludf.DUMMYFUNCTION("""COMPUTED_VALUE"""),0.0188541667790483)</f>
        <v>1.88541667790483E-2</v>
      </c>
      <c r="H11" s="17">
        <f ca="1">IFERROR(__xludf.DUMMYFUNCTION("""COMPUTED_VALUE"""),0.00303240751537718)</f>
        <v>3.0324075153771802E-3</v>
      </c>
      <c r="I11" s="17">
        <f ca="1">IFERROR(__xludf.DUMMYFUNCTION("""COMPUTED_VALUE"""),0.00773148148340892)</f>
        <v>7.7314814834089198E-3</v>
      </c>
      <c r="J11" s="17">
        <f ca="1">IFERROR(__xludf.DUMMYFUNCTION("""COMPUTED_VALUE"""),0.00729166618480717)</f>
        <v>7.29166618480717E-3</v>
      </c>
      <c r="K11" s="18">
        <f ca="1">IFERROR(__xludf.DUMMYFUNCTION("""COMPUTED_VALUE"""),0.000798611595455048)</f>
        <v>7.9861159545504797E-4</v>
      </c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20"/>
      <c r="W11" s="20"/>
      <c r="X11" s="20"/>
      <c r="Y11" s="20"/>
      <c r="Z11" s="21"/>
      <c r="AA11" s="22"/>
      <c r="AB11" s="23"/>
    </row>
    <row r="12" spans="1:28" ht="13.5" customHeight="1" x14ac:dyDescent="0.35">
      <c r="A12" s="24">
        <f ca="1">IFERROR(__xludf.DUMMYFUNCTION("""COMPUTED_VALUE"""),11)</f>
        <v>11</v>
      </c>
      <c r="B12" s="25" t="str">
        <f ca="1">IFERROR(__xludf.DUMMYFUNCTION("""COMPUTED_VALUE"""),"169")</f>
        <v>169</v>
      </c>
      <c r="C12" s="26" t="str">
        <f ca="1">IFERROR(__xludf.DUMMYFUNCTION("""COMPUTED_VALUE"""),"CAYROU")</f>
        <v>CAYROU</v>
      </c>
      <c r="D12" s="27" t="str">
        <f ca="1">IFERROR(__xludf.DUMMYFUNCTION("""COMPUTED_VALUE"""),"BENJAMIN")</f>
        <v>BENJAMIN</v>
      </c>
      <c r="E12" s="15" t="str">
        <f ca="1">IFERROR(__xludf.DUMMYFUNCTION("""COMPUTED_VALUE"""),"MH2")</f>
        <v>MH2</v>
      </c>
      <c r="F12" s="51">
        <f ca="1">IFERROR(__xludf.DUMMYFUNCTION("""COMPUTED_VALUE"""),7)</f>
        <v>7</v>
      </c>
      <c r="G12" s="16">
        <f ca="1">IFERROR(__xludf.DUMMYFUNCTION("""COMPUTED_VALUE"""),0.0189004636356315)</f>
        <v>1.8900463635631502E-2</v>
      </c>
      <c r="H12" s="17">
        <f ca="1">IFERROR(__xludf.DUMMYFUNCTION("""COMPUTED_VALUE"""),0.00334490742938376)</f>
        <v>3.3449074293837601E-3</v>
      </c>
      <c r="I12" s="17">
        <f ca="1">IFERROR(__xludf.DUMMYFUNCTION("""COMPUTED_VALUE"""),0.00685185190545703)</f>
        <v>6.8518519054570296E-3</v>
      </c>
      <c r="J12" s="17">
        <f ca="1">IFERROR(__xludf.DUMMYFUNCTION("""COMPUTED_VALUE"""),0.00819444468382488)</f>
        <v>8.1944446838248808E-3</v>
      </c>
      <c r="K12" s="18">
        <f ca="1">IFERROR(__xludf.DUMMYFUNCTION("""COMPUTED_VALUE"""),0.000509259616965816)</f>
        <v>5.0925961696581597E-4</v>
      </c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20"/>
      <c r="W12" s="20"/>
      <c r="X12" s="20"/>
      <c r="Y12" s="20"/>
      <c r="Z12" s="21"/>
      <c r="AA12" s="22"/>
      <c r="AB12" s="23"/>
    </row>
    <row r="13" spans="1:28" ht="13.5" customHeight="1" x14ac:dyDescent="0.35">
      <c r="A13" s="24">
        <f ca="1">IFERROR(__xludf.DUMMYFUNCTION("""COMPUTED_VALUE"""),12)</f>
        <v>12</v>
      </c>
      <c r="B13" s="25" t="str">
        <f ca="1">IFERROR(__xludf.DUMMYFUNCTION("""COMPUTED_VALUE"""),"185")</f>
        <v>185</v>
      </c>
      <c r="C13" s="26" t="str">
        <f ca="1">IFERROR(__xludf.DUMMYFUNCTION("""COMPUTED_VALUE"""),"LEMARECHAL")</f>
        <v>LEMARECHAL</v>
      </c>
      <c r="D13" s="27" t="str">
        <f ca="1">IFERROR(__xludf.DUMMYFUNCTION("""COMPUTED_VALUE"""),"ERIC")</f>
        <v>ERIC</v>
      </c>
      <c r="E13" s="15" t="str">
        <f ca="1">IFERROR(__xludf.DUMMYFUNCTION("""COMPUTED_VALUE"""),"MH1")</f>
        <v>MH1</v>
      </c>
      <c r="F13" s="51">
        <f ca="1">IFERROR(__xludf.DUMMYFUNCTION("""COMPUTED_VALUE"""),5)</f>
        <v>5</v>
      </c>
      <c r="G13" s="16">
        <f ca="1">IFERROR(__xludf.DUMMYFUNCTION("""COMPUTED_VALUE"""),0.0190856488837059)</f>
        <v>1.90856488837059E-2</v>
      </c>
      <c r="H13" s="17">
        <f ca="1">IFERROR(__xludf.DUMMYFUNCTION("""COMPUTED_VALUE"""),0.00398148149904275)</f>
        <v>3.9814814990427501E-3</v>
      </c>
      <c r="I13" s="17">
        <f ca="1">IFERROR(__xludf.DUMMYFUNCTION("""COMPUTED_VALUE"""),0.00717592592725058)</f>
        <v>7.1759259272505798E-3</v>
      </c>
      <c r="J13" s="17">
        <f ca="1">IFERROR(__xludf.DUMMYFUNCTION("""COMPUTED_VALUE"""),0.00715277790423035)</f>
        <v>7.1527779042303502E-3</v>
      </c>
      <c r="K13" s="18">
        <f ca="1">IFERROR(__xludf.DUMMYFUNCTION("""COMPUTED_VALUE"""),0.000775463553182269)</f>
        <v>7.7546355318226898E-4</v>
      </c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20"/>
      <c r="W13" s="20"/>
      <c r="X13" s="20"/>
      <c r="Y13" s="20"/>
      <c r="Z13" s="21"/>
      <c r="AA13" s="22"/>
      <c r="AB13" s="23"/>
    </row>
    <row r="14" spans="1:28" ht="13.5" customHeight="1" x14ac:dyDescent="0.35">
      <c r="A14" s="24">
        <f ca="1">IFERROR(__xludf.DUMMYFUNCTION("""COMPUTED_VALUE"""),13)</f>
        <v>13</v>
      </c>
      <c r="B14" s="25" t="str">
        <f ca="1">IFERROR(__xludf.DUMMYFUNCTION("""COMPUTED_VALUE"""),"186")</f>
        <v>186</v>
      </c>
      <c r="C14" s="26" t="str">
        <f ca="1">IFERROR(__xludf.DUMMYFUNCTION("""COMPUTED_VALUE"""),"MARTIN")</f>
        <v>MARTIN</v>
      </c>
      <c r="D14" s="27" t="str">
        <f ca="1">IFERROR(__xludf.DUMMYFUNCTION("""COMPUTED_VALUE"""),"NICOLAS")</f>
        <v>NICOLAS</v>
      </c>
      <c r="E14" s="15" t="str">
        <f ca="1">IFERROR(__xludf.DUMMYFUNCTION("""COMPUTED_VALUE"""),"MH1")</f>
        <v>MH1</v>
      </c>
      <c r="F14" s="51">
        <f ca="1">IFERROR(__xludf.DUMMYFUNCTION("""COMPUTED_VALUE"""),6)</f>
        <v>6</v>
      </c>
      <c r="G14" s="16">
        <f ca="1">IFERROR(__xludf.DUMMYFUNCTION("""COMPUTED_VALUE"""),0.0191319445951531)</f>
        <v>1.9131944595153098E-2</v>
      </c>
      <c r="H14" s="17">
        <f ca="1">IFERROR(__xludf.DUMMYFUNCTION("""COMPUTED_VALUE"""),0.00325231491586524)</f>
        <v>3.2523149158652401E-3</v>
      </c>
      <c r="I14" s="17">
        <f ca="1">IFERROR(__xludf.DUMMYFUNCTION("""COMPUTED_VALUE"""),0.00722222223462357)</f>
        <v>7.2222222346235701E-3</v>
      </c>
      <c r="J14" s="17">
        <f ca="1">IFERROR(__xludf.DUMMYFUNCTION("""COMPUTED_VALUE"""),0.00780092549149791)</f>
        <v>7.8009254914979103E-3</v>
      </c>
      <c r="K14" s="18">
        <f ca="1">IFERROR(__xludf.DUMMYFUNCTION("""COMPUTED_VALUE"""),0.000856481953166418)</f>
        <v>8.5648195316641795E-4</v>
      </c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20"/>
      <c r="W14" s="20"/>
      <c r="X14" s="20"/>
      <c r="Y14" s="20"/>
      <c r="Z14" s="21"/>
      <c r="AA14" s="22"/>
      <c r="AB14" s="23"/>
    </row>
    <row r="15" spans="1:28" ht="13.5" customHeight="1" x14ac:dyDescent="0.35">
      <c r="A15" s="24">
        <f ca="1">IFERROR(__xludf.DUMMYFUNCTION("""COMPUTED_VALUE"""),14)</f>
        <v>14</v>
      </c>
      <c r="B15" s="25" t="str">
        <f ca="1">IFERROR(__xludf.DUMMYFUNCTION("""COMPUTED_VALUE"""),"171")</f>
        <v>171</v>
      </c>
      <c r="C15" s="26" t="str">
        <f ca="1">IFERROR(__xludf.DUMMYFUNCTION("""COMPUTED_VALUE"""),"ONALI")</f>
        <v>ONALI</v>
      </c>
      <c r="D15" s="27" t="str">
        <f ca="1">IFERROR(__xludf.DUMMYFUNCTION("""COMPUTED_VALUE"""),"GEORGES LUCIEN")</f>
        <v>GEORGES LUCIEN</v>
      </c>
      <c r="E15" s="15" t="str">
        <f ca="1">IFERROR(__xludf.DUMMYFUNCTION("""COMPUTED_VALUE"""),"MH4")</f>
        <v>MH4</v>
      </c>
      <c r="F15" s="51">
        <f ca="1">IFERROR(__xludf.DUMMYFUNCTION("""COMPUTED_VALUE"""),1)</f>
        <v>1</v>
      </c>
      <c r="G15" s="16">
        <f ca="1">IFERROR(__xludf.DUMMYFUNCTION("""COMPUTED_VALUE"""),0.0192708338305782)</f>
        <v>1.9270833830578201E-2</v>
      </c>
      <c r="H15" s="17">
        <f ca="1">IFERROR(__xludf.DUMMYFUNCTION("""COMPUTED_VALUE"""),0.00335648153911464)</f>
        <v>3.3564815391146398E-3</v>
      </c>
      <c r="I15" s="17">
        <f ca="1">IFERROR(__xludf.DUMMYFUNCTION("""COMPUTED_VALUE"""),0.0071296296797394)</f>
        <v>7.1296296797394004E-3</v>
      </c>
      <c r="J15" s="17">
        <f ca="1">IFERROR(__xludf.DUMMYFUNCTION("""COMPUTED_VALUE"""),0.00799768505576278)</f>
        <v>7.9976850557627807E-3</v>
      </c>
      <c r="K15" s="18">
        <f ca="1">IFERROR(__xludf.DUMMYFUNCTION("""COMPUTED_VALUE"""),0.000787037555961418)</f>
        <v>7.8703755596141805E-4</v>
      </c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20"/>
      <c r="W15" s="20"/>
      <c r="X15" s="20"/>
      <c r="Y15" s="20"/>
      <c r="Z15" s="21"/>
      <c r="AA15" s="22"/>
      <c r="AB15" s="23"/>
    </row>
    <row r="16" spans="1:28" ht="13.5" customHeight="1" x14ac:dyDescent="0.35">
      <c r="A16" s="24">
        <f ca="1">IFERROR(__xludf.DUMMYFUNCTION("""COMPUTED_VALUE"""),15)</f>
        <v>15</v>
      </c>
      <c r="B16" s="25" t="str">
        <f ca="1">IFERROR(__xludf.DUMMYFUNCTION("""COMPUTED_VALUE"""),"74")</f>
        <v>74</v>
      </c>
      <c r="C16" s="26" t="str">
        <f ca="1">IFERROR(__xludf.DUMMYFUNCTION("""COMPUTED_VALUE"""),"REVOLLON SCHEIDLER")</f>
        <v>REVOLLON SCHEIDLER</v>
      </c>
      <c r="D16" s="27" t="str">
        <f ca="1">IFERROR(__xludf.DUMMYFUNCTION("""COMPUTED_VALUE"""),"ROMAIN")</f>
        <v>ROMAIN</v>
      </c>
      <c r="E16" s="15" t="str">
        <f ca="1">IFERROR(__xludf.DUMMYFUNCTION("""COMPUTED_VALUE"""),"MH1")</f>
        <v>MH1</v>
      </c>
      <c r="F16" s="51">
        <f ca="1">IFERROR(__xludf.DUMMYFUNCTION("""COMPUTED_VALUE"""),7)</f>
        <v>7</v>
      </c>
      <c r="G16" s="16">
        <f ca="1">IFERROR(__xludf.DUMMYFUNCTION("""COMPUTED_VALUE"""),0.0193750002241195)</f>
        <v>1.9375000224119501E-2</v>
      </c>
      <c r="H16" s="17">
        <f ca="1">IFERROR(__xludf.DUMMYFUNCTION("""COMPUTED_VALUE"""),0.00391203714040701)</f>
        <v>3.91203714040701E-3</v>
      </c>
      <c r="I16" s="17">
        <f ca="1">IFERROR(__xludf.DUMMYFUNCTION("""COMPUTED_VALUE"""),0.00718750009698228)</f>
        <v>7.1875000969822802E-3</v>
      </c>
      <c r="J16" s="17">
        <f ca="1">IFERROR(__xludf.DUMMYFUNCTION("""COMPUTED_VALUE"""),0.00719907409136673)</f>
        <v>7.1990740913667299E-3</v>
      </c>
      <c r="K16" s="18">
        <f ca="1">IFERROR(__xludf.DUMMYFUNCTION("""COMPUTED_VALUE"""),0.00107638889536355)</f>
        <v>1.07638889536355E-3</v>
      </c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20"/>
      <c r="W16" s="20"/>
      <c r="X16" s="20"/>
      <c r="Y16" s="20"/>
      <c r="Z16" s="21"/>
      <c r="AA16" s="22"/>
      <c r="AB16" s="23"/>
    </row>
    <row r="17" spans="1:28" ht="13.5" customHeight="1" x14ac:dyDescent="0.35">
      <c r="A17" s="24">
        <f ca="1">IFERROR(__xludf.DUMMYFUNCTION("""COMPUTED_VALUE"""),16)</f>
        <v>16</v>
      </c>
      <c r="B17" s="25" t="str">
        <f ca="1">IFERROR(__xludf.DUMMYFUNCTION("""COMPUTED_VALUE"""),"198")</f>
        <v>198</v>
      </c>
      <c r="C17" s="26" t="str">
        <f ca="1">IFERROR(__xludf.DUMMYFUNCTION("""COMPUTED_VALUE"""),"HUGUES")</f>
        <v>HUGUES</v>
      </c>
      <c r="D17" s="27" t="str">
        <f ca="1">IFERROR(__xludf.DUMMYFUNCTION("""COMPUTED_VALUE"""),"BRUNO")</f>
        <v>BRUNO</v>
      </c>
      <c r="E17" s="15" t="str">
        <f ca="1">IFERROR(__xludf.DUMMYFUNCTION("""COMPUTED_VALUE"""),"MH2")</f>
        <v>MH2</v>
      </c>
      <c r="F17" s="51">
        <f ca="1">IFERROR(__xludf.DUMMYFUNCTION("""COMPUTED_VALUE"""),8)</f>
        <v>8</v>
      </c>
      <c r="G17" s="16">
        <f ca="1">IFERROR(__xludf.DUMMYFUNCTION("""COMPUTED_VALUE"""),0.0195833340769734)</f>
        <v>1.9583334076973401E-2</v>
      </c>
      <c r="H17" s="17">
        <f ca="1">IFERROR(__xludf.DUMMYFUNCTION("""COMPUTED_VALUE"""),0.00356481485554879)</f>
        <v>3.5648148555487901E-3</v>
      </c>
      <c r="I17" s="17">
        <f ca="1">IFERROR(__xludf.DUMMYFUNCTION("""COMPUTED_VALUE"""),0.0073611111131131)</f>
        <v>7.3611111131130997E-3</v>
      </c>
      <c r="J17" s="17">
        <f ca="1">IFERROR(__xludf.DUMMYFUNCTION("""COMPUTED_VALUE"""),0.0077430557426798)</f>
        <v>7.7430557426798E-3</v>
      </c>
      <c r="K17" s="18">
        <f ca="1">IFERROR(__xludf.DUMMYFUNCTION("""COMPUTED_VALUE"""),0.000914352365631768)</f>
        <v>9.1435236563176803E-4</v>
      </c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20"/>
      <c r="W17" s="20"/>
      <c r="X17" s="20"/>
      <c r="Y17" s="20"/>
      <c r="Z17" s="21"/>
      <c r="AA17" s="22"/>
      <c r="AB17" s="23"/>
    </row>
    <row r="18" spans="1:28" ht="13.5" customHeight="1" x14ac:dyDescent="0.35">
      <c r="A18" s="24">
        <f ca="1">IFERROR(__xludf.DUMMYFUNCTION("""COMPUTED_VALUE"""),17)</f>
        <v>17</v>
      </c>
      <c r="B18" s="25" t="str">
        <f ca="1">IFERROR(__xludf.DUMMYFUNCTION("""COMPUTED_VALUE"""),"133")</f>
        <v>133</v>
      </c>
      <c r="C18" s="26" t="str">
        <f ca="1">IFERROR(__xludf.DUMMYFUNCTION("""COMPUTED_VALUE"""),"BRUNET")</f>
        <v>BRUNET</v>
      </c>
      <c r="D18" s="27" t="str">
        <f ca="1">IFERROR(__xludf.DUMMYFUNCTION("""COMPUTED_VALUE"""),"FRANCK")</f>
        <v>FRANCK</v>
      </c>
      <c r="E18" s="15" t="str">
        <f ca="1">IFERROR(__xludf.DUMMYFUNCTION("""COMPUTED_VALUE"""),"MH3")</f>
        <v>MH3</v>
      </c>
      <c r="F18" s="51">
        <f ca="1">IFERROR(__xludf.DUMMYFUNCTION("""COMPUTED_VALUE"""),1)</f>
        <v>1</v>
      </c>
      <c r="G18" s="16">
        <f ca="1">IFERROR(__xludf.DUMMYFUNCTION("""COMPUTED_VALUE"""),0.019780093326146)</f>
        <v>1.9780093326146001E-2</v>
      </c>
      <c r="H18" s="17">
        <f ca="1">IFERROR(__xludf.DUMMYFUNCTION("""COMPUTED_VALUE"""),0.00380787040522345)</f>
        <v>3.8078704052234499E-3</v>
      </c>
      <c r="I18" s="17">
        <f ca="1">IFERROR(__xludf.DUMMYFUNCTION("""COMPUTED_VALUE"""),0.00767361119345799)</f>
        <v>7.6736111934579904E-3</v>
      </c>
      <c r="J18" s="17">
        <f ca="1">IFERROR(__xludf.DUMMYFUNCTION("""COMPUTED_VALUE"""),0.00752314880139879)</f>
        <v>7.5231488013987897E-3</v>
      </c>
      <c r="K18" s="18">
        <f ca="1">IFERROR(__xludf.DUMMYFUNCTION("""COMPUTED_VALUE"""),0.000775462926065758)</f>
        <v>7.7546292606575802E-4</v>
      </c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20"/>
      <c r="W18" s="20"/>
      <c r="X18" s="20"/>
      <c r="Y18" s="20"/>
      <c r="Z18" s="21"/>
      <c r="AA18" s="22"/>
      <c r="AB18" s="23"/>
    </row>
    <row r="19" spans="1:28" ht="13.5" customHeight="1" x14ac:dyDescent="0.35">
      <c r="A19" s="24">
        <f ca="1">IFERROR(__xludf.DUMMYFUNCTION("""COMPUTED_VALUE"""),18)</f>
        <v>18</v>
      </c>
      <c r="B19" s="25" t="str">
        <f ca="1">IFERROR(__xludf.DUMMYFUNCTION("""COMPUTED_VALUE"""),"225")</f>
        <v>225</v>
      </c>
      <c r="C19" s="26" t="str">
        <f ca="1">IFERROR(__xludf.DUMMYFUNCTION("""COMPUTED_VALUE"""),"LANDRY")</f>
        <v>LANDRY</v>
      </c>
      <c r="D19" s="27" t="str">
        <f ca="1">IFERROR(__xludf.DUMMYFUNCTION("""COMPUTED_VALUE"""),"GUILLAUME")</f>
        <v>GUILLAUME</v>
      </c>
      <c r="E19" s="15" t="str">
        <f ca="1">IFERROR(__xludf.DUMMYFUNCTION("""COMPUTED_VALUE"""),"MH1")</f>
        <v>MH1</v>
      </c>
      <c r="F19" s="51">
        <f ca="1">IFERROR(__xludf.DUMMYFUNCTION("""COMPUTED_VALUE"""),8)</f>
        <v>8</v>
      </c>
      <c r="G19" s="16">
        <f ca="1">IFERROR(__xludf.DUMMYFUNCTION("""COMPUTED_VALUE"""),0.0199884260186957)</f>
        <v>1.9988426018695701E-2</v>
      </c>
      <c r="H19" s="17">
        <f ca="1">IFERROR(__xludf.DUMMYFUNCTION("""COMPUTED_VALUE"""),0.00277777787778127)</f>
        <v>2.7777778777812699E-3</v>
      </c>
      <c r="I19" s="17">
        <f ca="1">IFERROR(__xludf.DUMMYFUNCTION("""COMPUTED_VALUE"""),0.00811342600337777)</f>
        <v>8.1134260033777703E-3</v>
      </c>
      <c r="J19" s="17">
        <f ca="1">IFERROR(__xludf.DUMMYFUNCTION("""COMPUTED_VALUE"""),0.00833333249832313)</f>
        <v>8.3333324983231299E-3</v>
      </c>
      <c r="K19" s="18">
        <f ca="1">IFERROR(__xludf.DUMMYFUNCTION("""COMPUTED_VALUE"""),0.00076388963921357)</f>
        <v>7.6388963921357001E-4</v>
      </c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20"/>
      <c r="W19" s="20"/>
      <c r="X19" s="20"/>
      <c r="Y19" s="20"/>
      <c r="Z19" s="21"/>
      <c r="AA19" s="22"/>
      <c r="AB19" s="23"/>
    </row>
    <row r="20" spans="1:28" ht="13.5" customHeight="1" x14ac:dyDescent="0.35">
      <c r="A20" s="24">
        <f ca="1">IFERROR(__xludf.DUMMYFUNCTION("""COMPUTED_VALUE"""),19)</f>
        <v>19</v>
      </c>
      <c r="B20" s="25" t="str">
        <f ca="1">IFERROR(__xludf.DUMMYFUNCTION("""COMPUTED_VALUE"""),"144")</f>
        <v>144</v>
      </c>
      <c r="C20" s="26" t="str">
        <f ca="1">IFERROR(__xludf.DUMMYFUNCTION("""COMPUTED_VALUE"""),"HEROGUEZ")</f>
        <v>HEROGUEZ</v>
      </c>
      <c r="D20" s="27" t="str">
        <f ca="1">IFERROR(__xludf.DUMMYFUNCTION("""COMPUTED_VALUE"""),"NICOLAS")</f>
        <v>NICOLAS</v>
      </c>
      <c r="E20" s="15" t="str">
        <f ca="1">IFERROR(__xludf.DUMMYFUNCTION("""COMPUTED_VALUE"""),"MH3")</f>
        <v>MH3</v>
      </c>
      <c r="F20" s="51">
        <f ca="1">IFERROR(__xludf.DUMMYFUNCTION("""COMPUTED_VALUE"""),2)</f>
        <v>2</v>
      </c>
      <c r="G20" s="16">
        <f ca="1">IFERROR(__xludf.DUMMYFUNCTION("""COMPUTED_VALUE"""),0.0201851859545402)</f>
        <v>2.0185185954540202E-2</v>
      </c>
      <c r="H20" s="17">
        <f ca="1">IFERROR(__xludf.DUMMYFUNCTION("""COMPUTED_VALUE"""),0.00445601862575324)</f>
        <v>4.45601862575324E-3</v>
      </c>
      <c r="I20" s="17">
        <f ca="1">IFERROR(__xludf.DUMMYFUNCTION("""COMPUTED_VALUE"""),0.0073611111607228)</f>
        <v>7.3611111607227997E-3</v>
      </c>
      <c r="J20" s="17">
        <f ca="1">IFERROR(__xludf.DUMMYFUNCTION("""COMPUTED_VALUE"""),0.0074999996946194)</f>
        <v>7.4999996946193996E-3</v>
      </c>
      <c r="K20" s="18">
        <f ca="1">IFERROR(__xludf.DUMMYFUNCTION("""COMPUTED_VALUE"""),0.000868056473444815)</f>
        <v>8.6805647344481501E-4</v>
      </c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20"/>
      <c r="W20" s="20"/>
      <c r="X20" s="20"/>
      <c r="Y20" s="20"/>
      <c r="Z20" s="21"/>
      <c r="AA20" s="22"/>
      <c r="AB20" s="23"/>
    </row>
    <row r="21" spans="1:28" ht="13.5" customHeight="1" x14ac:dyDescent="0.35">
      <c r="A21" s="24">
        <f ca="1">IFERROR(__xludf.DUMMYFUNCTION("""COMPUTED_VALUE"""),20)</f>
        <v>20</v>
      </c>
      <c r="B21" s="25" t="str">
        <f ca="1">IFERROR(__xludf.DUMMYFUNCTION("""COMPUTED_VALUE"""),"131")</f>
        <v>131</v>
      </c>
      <c r="C21" s="26" t="str">
        <f ca="1">IFERROR(__xludf.DUMMYFUNCTION("""COMPUTED_VALUE"""),"DAVOUST")</f>
        <v>DAVOUST</v>
      </c>
      <c r="D21" s="27" t="str">
        <f ca="1">IFERROR(__xludf.DUMMYFUNCTION("""COMPUTED_VALUE"""),"FRÉDÉRIC")</f>
        <v>FRÉDÉRIC</v>
      </c>
      <c r="E21" s="15" t="str">
        <f ca="1">IFERROR(__xludf.DUMMYFUNCTION("""COMPUTED_VALUE"""),"MH2")</f>
        <v>MH2</v>
      </c>
      <c r="F21" s="51">
        <f ca="1">IFERROR(__xludf.DUMMYFUNCTION("""COMPUTED_VALUE"""),9)</f>
        <v>9</v>
      </c>
      <c r="G21" s="16">
        <f ca="1">IFERROR(__xludf.DUMMYFUNCTION("""COMPUTED_VALUE"""),0.0202430561468198)</f>
        <v>2.0243056146819802E-2</v>
      </c>
      <c r="H21" s="17">
        <f ca="1">IFERROR(__xludf.DUMMYFUNCTION("""COMPUTED_VALUE"""),0.00315972228152157)</f>
        <v>3.1597222815215702E-3</v>
      </c>
      <c r="I21" s="17">
        <f ca="1">IFERROR(__xludf.DUMMYFUNCTION("""COMPUTED_VALUE"""),0.00718750005201798)</f>
        <v>7.1875000520179796E-3</v>
      </c>
      <c r="J21" s="17">
        <f ca="1">IFERROR(__xludf.DUMMYFUNCTION("""COMPUTED_VALUE"""),0.00868055610114767)</f>
        <v>8.6805561011476708E-3</v>
      </c>
      <c r="K21" s="18">
        <f ca="1">IFERROR(__xludf.DUMMYFUNCTION("""COMPUTED_VALUE"""),0.00121527771213265)</f>
        <v>1.21527771213265E-3</v>
      </c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20"/>
      <c r="W21" s="20"/>
      <c r="X21" s="20"/>
      <c r="Y21" s="20"/>
      <c r="Z21" s="21"/>
      <c r="AA21" s="22"/>
      <c r="AB21" s="23"/>
    </row>
    <row r="22" spans="1:28" ht="13.5" customHeight="1" x14ac:dyDescent="0.35">
      <c r="A22" s="24">
        <f ca="1">IFERROR(__xludf.DUMMYFUNCTION("""COMPUTED_VALUE"""),21)</f>
        <v>21</v>
      </c>
      <c r="B22" s="25" t="str">
        <f ca="1">IFERROR(__xludf.DUMMYFUNCTION("""COMPUTED_VALUE"""),"107")</f>
        <v>107</v>
      </c>
      <c r="C22" s="26" t="str">
        <f ca="1">IFERROR(__xludf.DUMMYFUNCTION("""COMPUTED_VALUE"""),"MICLET")</f>
        <v>MICLET</v>
      </c>
      <c r="D22" s="27" t="str">
        <f ca="1">IFERROR(__xludf.DUMMYFUNCTION("""COMPUTED_VALUE"""),"EMERIC")</f>
        <v>EMERIC</v>
      </c>
      <c r="E22" s="15" t="str">
        <f ca="1">IFERROR(__xludf.DUMMYFUNCTION("""COMPUTED_VALUE"""),"MH3")</f>
        <v>MH3</v>
      </c>
      <c r="F22" s="51">
        <f ca="1">IFERROR(__xludf.DUMMYFUNCTION("""COMPUTED_VALUE"""),3)</f>
        <v>3</v>
      </c>
      <c r="G22" s="16">
        <f ca="1">IFERROR(__xludf.DUMMYFUNCTION("""COMPUTED_VALUE"""),0.0204513895633915)</f>
        <v>2.04513895633915E-2</v>
      </c>
      <c r="H22" s="17">
        <f ca="1">IFERROR(__xludf.DUMMYFUNCTION("""COMPUTED_VALUE"""),0.00359953707838754)</f>
        <v>3.5995370783875398E-3</v>
      </c>
      <c r="I22" s="17">
        <f ca="1">IFERROR(__xludf.DUMMYFUNCTION("""COMPUTED_VALUE"""),0.00730324080468336)</f>
        <v>7.3032408046833598E-3</v>
      </c>
      <c r="J22" s="17">
        <f ca="1">IFERROR(__xludf.DUMMYFUNCTION("""COMPUTED_VALUE"""),0.00806713020865112)</f>
        <v>8.0671302086511194E-3</v>
      </c>
      <c r="K22" s="18">
        <f ca="1">IFERROR(__xludf.DUMMYFUNCTION("""COMPUTED_VALUE"""),0.00148148147166951)</f>
        <v>1.4814814716695101E-3</v>
      </c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20"/>
      <c r="W22" s="20"/>
      <c r="X22" s="20"/>
      <c r="Y22" s="20"/>
      <c r="Z22" s="21"/>
      <c r="AA22" s="22"/>
      <c r="AB22" s="23"/>
    </row>
    <row r="23" spans="1:28" ht="13.5" customHeight="1" x14ac:dyDescent="0.35">
      <c r="A23" s="24">
        <f ca="1">IFERROR(__xludf.DUMMYFUNCTION("""COMPUTED_VALUE"""),22)</f>
        <v>22</v>
      </c>
      <c r="B23" s="25" t="str">
        <f ca="1">IFERROR(__xludf.DUMMYFUNCTION("""COMPUTED_VALUE"""),"90")</f>
        <v>90</v>
      </c>
      <c r="C23" s="26" t="str">
        <f ca="1">IFERROR(__xludf.DUMMYFUNCTION("""COMPUTED_VALUE"""),"NYEKI")</f>
        <v>NYEKI</v>
      </c>
      <c r="D23" s="27" t="str">
        <f ca="1">IFERROR(__xludf.DUMMYFUNCTION("""COMPUTED_VALUE"""),"SÉBASTIEN")</f>
        <v>SÉBASTIEN</v>
      </c>
      <c r="E23" s="15" t="str">
        <f ca="1">IFERROR(__xludf.DUMMYFUNCTION("""COMPUTED_VALUE"""),"MH1")</f>
        <v>MH1</v>
      </c>
      <c r="F23" s="51">
        <f ca="1">IFERROR(__xludf.DUMMYFUNCTION("""COMPUTED_VALUE"""),9)</f>
        <v>9</v>
      </c>
      <c r="G23" s="16">
        <f ca="1">IFERROR(__xludf.DUMMYFUNCTION("""COMPUTED_VALUE"""),0.020590278922168)</f>
        <v>2.0590278922167998E-2</v>
      </c>
      <c r="H23" s="17">
        <f ca="1">IFERROR(__xludf.DUMMYFUNCTION("""COMPUTED_VALUE"""),0.00447916677409504)</f>
        <v>4.4791667740950404E-3</v>
      </c>
      <c r="I23" s="17">
        <f ca="1">IFERROR(__xludf.DUMMYFUNCTION("""COMPUTED_VALUE"""),0.00736111115203899)</f>
        <v>7.3611111520389899E-3</v>
      </c>
      <c r="J23" s="17">
        <f ca="1">IFERROR(__xludf.DUMMYFUNCTION("""COMPUTED_VALUE"""),0.00774305616675233)</f>
        <v>7.7430561667523297E-3</v>
      </c>
      <c r="K23" s="18">
        <f ca="1">IFERROR(__xludf.DUMMYFUNCTION("""COMPUTED_VALUE"""),0.00100694482928165)</f>
        <v>1.0069448292816499E-3</v>
      </c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20"/>
      <c r="W23" s="20"/>
      <c r="X23" s="20"/>
      <c r="Y23" s="20"/>
      <c r="Z23" s="21"/>
      <c r="AA23" s="22"/>
      <c r="AB23" s="23"/>
    </row>
    <row r="24" spans="1:28" ht="13.5" customHeight="1" x14ac:dyDescent="0.35">
      <c r="A24" s="24">
        <f ca="1">IFERROR(__xludf.DUMMYFUNCTION("""COMPUTED_VALUE"""),23)</f>
        <v>23</v>
      </c>
      <c r="B24" s="25" t="str">
        <f ca="1">IFERROR(__xludf.DUMMYFUNCTION("""COMPUTED_VALUE"""),"160")</f>
        <v>160</v>
      </c>
      <c r="C24" s="26" t="str">
        <f ca="1">IFERROR(__xludf.DUMMYFUNCTION("""COMPUTED_VALUE"""),"FAIVRE")</f>
        <v>FAIVRE</v>
      </c>
      <c r="D24" s="27" t="str">
        <f ca="1">IFERROR(__xludf.DUMMYFUNCTION("""COMPUTED_VALUE"""),"LIONEL")</f>
        <v>LIONEL</v>
      </c>
      <c r="E24" s="15" t="str">
        <f ca="1">IFERROR(__xludf.DUMMYFUNCTION("""COMPUTED_VALUE"""),"MH1")</f>
        <v>MH1</v>
      </c>
      <c r="F24" s="51">
        <f ca="1">IFERROR(__xludf.DUMMYFUNCTION("""COMPUTED_VALUE"""),10)</f>
        <v>10</v>
      </c>
      <c r="G24" s="16">
        <f ca="1">IFERROR(__xludf.DUMMYFUNCTION("""COMPUTED_VALUE"""),0.0206018520401965)</f>
        <v>2.0601852040196499E-2</v>
      </c>
      <c r="H24" s="17">
        <f ca="1">IFERROR(__xludf.DUMMYFUNCTION("""COMPUTED_VALUE"""),0.00400462969384261)</f>
        <v>4.0046296938426101E-3</v>
      </c>
      <c r="I24" s="17">
        <f ca="1">IFERROR(__xludf.DUMMYFUNCTION("""COMPUTED_VALUE"""),0.00732638891701924)</f>
        <v>7.3263889170192397E-3</v>
      </c>
      <c r="J24" s="17">
        <f ca="1">IFERROR(__xludf.DUMMYFUNCTION("""COMPUTED_VALUE"""),0.00818286948878336)</f>
        <v>8.1828694887833599E-3</v>
      </c>
      <c r="K24" s="18">
        <f ca="1">IFERROR(__xludf.DUMMYFUNCTION("""COMPUTED_VALUE"""),0.00108796394055131)</f>
        <v>1.08796394055131E-3</v>
      </c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20"/>
      <c r="W24" s="20"/>
      <c r="X24" s="20"/>
      <c r="Y24" s="20"/>
      <c r="Z24" s="21"/>
      <c r="AA24" s="22"/>
      <c r="AB24" s="23"/>
    </row>
    <row r="25" spans="1:28" ht="13.5" customHeight="1" x14ac:dyDescent="0.35">
      <c r="A25" s="24">
        <f ca="1">IFERROR(__xludf.DUMMYFUNCTION("""COMPUTED_VALUE"""),24)</f>
        <v>24</v>
      </c>
      <c r="B25" s="25" t="str">
        <f ca="1">IFERROR(__xludf.DUMMYFUNCTION("""COMPUTED_VALUE"""),"130")</f>
        <v>130</v>
      </c>
      <c r="C25" s="26" t="str">
        <f ca="1">IFERROR(__xludf.DUMMYFUNCTION("""COMPUTED_VALUE"""),"MILLERET")</f>
        <v>MILLERET</v>
      </c>
      <c r="D25" s="27" t="str">
        <f ca="1">IFERROR(__xludf.DUMMYFUNCTION("""COMPUTED_VALUE"""),"ARNAUD")</f>
        <v>ARNAUD</v>
      </c>
      <c r="E25" s="15" t="str">
        <f ca="1">IFERROR(__xludf.DUMMYFUNCTION("""COMPUTED_VALUE"""),"MH1")</f>
        <v>MH1</v>
      </c>
      <c r="F25" s="51">
        <f ca="1">IFERROR(__xludf.DUMMYFUNCTION("""COMPUTED_VALUE"""),11)</f>
        <v>11</v>
      </c>
      <c r="G25" s="16">
        <f ca="1">IFERROR(__xludf.DUMMYFUNCTION("""COMPUTED_VALUE"""),0.0209027788140949)</f>
        <v>2.0902778814094899E-2</v>
      </c>
      <c r="H25" s="17">
        <f ca="1">IFERROR(__xludf.DUMMYFUNCTION("""COMPUTED_VALUE"""),0.00295138892865238)</f>
        <v>2.9513889286523799E-3</v>
      </c>
      <c r="I25" s="17">
        <f ca="1">IFERROR(__xludf.DUMMYFUNCTION("""COMPUTED_VALUE"""),0.00738425930557184)</f>
        <v>7.3842593055718402E-3</v>
      </c>
      <c r="J25" s="17">
        <f ca="1">IFERROR(__xludf.DUMMYFUNCTION("""COMPUTED_VALUE"""),0.00947916706244193)</f>
        <v>9.4791670624419302E-3</v>
      </c>
      <c r="K25" s="18">
        <f ca="1">IFERROR(__xludf.DUMMYFUNCTION("""COMPUTED_VALUE"""),0.00108796351742877)</f>
        <v>1.0879635174287699E-3</v>
      </c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20"/>
      <c r="W25" s="20"/>
      <c r="X25" s="20"/>
      <c r="Y25" s="20"/>
      <c r="Z25" s="21"/>
      <c r="AA25" s="22"/>
      <c r="AB25" s="23"/>
    </row>
    <row r="26" spans="1:28" ht="13.5" customHeight="1" x14ac:dyDescent="0.35">
      <c r="A26" s="24">
        <f ca="1">IFERROR(__xludf.DUMMYFUNCTION("""COMPUTED_VALUE"""),25)</f>
        <v>25</v>
      </c>
      <c r="B26" s="25" t="str">
        <f ca="1">IFERROR(__xludf.DUMMYFUNCTION("""COMPUTED_VALUE"""),"112")</f>
        <v>112</v>
      </c>
      <c r="C26" s="26" t="str">
        <f ca="1">IFERROR(__xludf.DUMMYFUNCTION("""COMPUTED_VALUE"""),"VAUCHER")</f>
        <v>VAUCHER</v>
      </c>
      <c r="D26" s="27" t="str">
        <f ca="1">IFERROR(__xludf.DUMMYFUNCTION("""COMPUTED_VALUE"""),"ANTOINE")</f>
        <v>ANTOINE</v>
      </c>
      <c r="E26" s="15" t="str">
        <f ca="1">IFERROR(__xludf.DUMMYFUNCTION("""COMPUTED_VALUE"""),"MH2")</f>
        <v>MH2</v>
      </c>
      <c r="F26" s="51">
        <f ca="1">IFERROR(__xludf.DUMMYFUNCTION("""COMPUTED_VALUE"""),10)</f>
        <v>10</v>
      </c>
      <c r="G26" s="16">
        <f ca="1">IFERROR(__xludf.DUMMYFUNCTION("""COMPUTED_VALUE"""),0.020925926634743)</f>
        <v>2.0925926634742999E-2</v>
      </c>
      <c r="H26" s="17">
        <f ca="1">IFERROR(__xludf.DUMMYFUNCTION("""COMPUTED_VALUE"""),0.00349537043330158)</f>
        <v>3.4953704333015802E-3</v>
      </c>
      <c r="I26" s="17">
        <f ca="1">IFERROR(__xludf.DUMMYFUNCTION("""COMPUTED_VALUE"""),0.00678240741095098)</f>
        <v>6.7824074109509797E-3</v>
      </c>
      <c r="J26" s="17">
        <f ca="1">IFERROR(__xludf.DUMMYFUNCTION("""COMPUTED_VALUE"""),0.00935185203435005)</f>
        <v>9.3518520343500496E-3</v>
      </c>
      <c r="K26" s="18">
        <f ca="1">IFERROR(__xludf.DUMMYFUNCTION("""COMPUTED_VALUE"""),0.0012962967561404)</f>
        <v>1.2962967561404E-3</v>
      </c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20"/>
      <c r="W26" s="20"/>
      <c r="X26" s="20"/>
      <c r="Y26" s="20"/>
      <c r="Z26" s="21"/>
      <c r="AA26" s="22"/>
      <c r="AB26" s="23"/>
    </row>
    <row r="27" spans="1:28" ht="13.5" customHeight="1" x14ac:dyDescent="0.35">
      <c r="A27" s="24">
        <f ca="1">IFERROR(__xludf.DUMMYFUNCTION("""COMPUTED_VALUE"""),26)</f>
        <v>26</v>
      </c>
      <c r="B27" s="25" t="str">
        <f ca="1">IFERROR(__xludf.DUMMYFUNCTION("""COMPUTED_VALUE"""),"120")</f>
        <v>120</v>
      </c>
      <c r="C27" s="26" t="str">
        <f ca="1">IFERROR(__xludf.DUMMYFUNCTION("""COMPUTED_VALUE"""),"SOLOMIAC")</f>
        <v>SOLOMIAC</v>
      </c>
      <c r="D27" s="27" t="str">
        <f ca="1">IFERROR(__xludf.DUMMYFUNCTION("""COMPUTED_VALUE"""),"BORIS")</f>
        <v>BORIS</v>
      </c>
      <c r="E27" s="15" t="str">
        <f ca="1">IFERROR(__xludf.DUMMYFUNCTION("""COMPUTED_VALUE"""),"MH1")</f>
        <v>MH1</v>
      </c>
      <c r="F27" s="51">
        <f ca="1">IFERROR(__xludf.DUMMYFUNCTION("""COMPUTED_VALUE"""),12)</f>
        <v>12</v>
      </c>
      <c r="G27" s="16">
        <f ca="1">IFERROR(__xludf.DUMMYFUNCTION("""COMPUTED_VALUE"""),0.020925927078114)</f>
        <v>2.0925927078113998E-2</v>
      </c>
      <c r="H27" s="17">
        <f ca="1">IFERROR(__xludf.DUMMYFUNCTION("""COMPUTED_VALUE"""),0.00321759260422921)</f>
        <v>3.2175926042292101E-3</v>
      </c>
      <c r="I27" s="17">
        <f ca="1">IFERROR(__xludf.DUMMYFUNCTION("""COMPUTED_VALUE"""),0.00803240745849248)</f>
        <v>8.0324074584924802E-3</v>
      </c>
      <c r="J27" s="17">
        <f ca="1">IFERROR(__xludf.DUMMYFUNCTION("""COMPUTED_VALUE"""),0.00835648232490857)</f>
        <v>8.3564823249085707E-3</v>
      </c>
      <c r="K27" s="18">
        <f ca="1">IFERROR(__xludf.DUMMYFUNCTION("""COMPUTED_VALUE"""),0.00131944469048375)</f>
        <v>1.3194446904837499E-3</v>
      </c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20"/>
      <c r="W27" s="20"/>
      <c r="X27" s="20"/>
      <c r="Y27" s="20"/>
      <c r="Z27" s="21"/>
      <c r="AA27" s="22"/>
      <c r="AB27" s="23"/>
    </row>
    <row r="28" spans="1:28" ht="13.5" customHeight="1" x14ac:dyDescent="0.35">
      <c r="A28" s="24">
        <f ca="1">IFERROR(__xludf.DUMMYFUNCTION("""COMPUTED_VALUE"""),27)</f>
        <v>27</v>
      </c>
      <c r="B28" s="25" t="str">
        <f ca="1">IFERROR(__xludf.DUMMYFUNCTION("""COMPUTED_VALUE"""),"99")</f>
        <v>99</v>
      </c>
      <c r="C28" s="26" t="str">
        <f ca="1">IFERROR(__xludf.DUMMYFUNCTION("""COMPUTED_VALUE"""),"MAZIERE")</f>
        <v>MAZIERE</v>
      </c>
      <c r="D28" s="27" t="str">
        <f ca="1">IFERROR(__xludf.DUMMYFUNCTION("""COMPUTED_VALUE"""),"CHRISTOPHE")</f>
        <v>CHRISTOPHE</v>
      </c>
      <c r="E28" s="15" t="str">
        <f ca="1">IFERROR(__xludf.DUMMYFUNCTION("""COMPUTED_VALUE"""),"MH2")</f>
        <v>MH2</v>
      </c>
      <c r="F28" s="51">
        <f ca="1">IFERROR(__xludf.DUMMYFUNCTION("""COMPUTED_VALUE"""),11)</f>
        <v>11</v>
      </c>
      <c r="G28" s="16">
        <f ca="1">IFERROR(__xludf.DUMMYFUNCTION("""COMPUTED_VALUE"""),0.0211226863214838)</f>
        <v>2.11226863214838E-2</v>
      </c>
      <c r="H28" s="17">
        <f ca="1">IFERROR(__xludf.DUMMYFUNCTION("""COMPUTED_VALUE"""),0.00478009270097306)</f>
        <v>4.7800927009730597E-3</v>
      </c>
      <c r="I28" s="17">
        <f ca="1">IFERROR(__xludf.DUMMYFUNCTION("""COMPUTED_VALUE"""),0.00858796299208152)</f>
        <v>8.5879629920815204E-3</v>
      </c>
      <c r="J28" s="17">
        <f ca="1">IFERROR(__xludf.DUMMYFUNCTION("""COMPUTED_VALUE"""),0.00662037114030153)</f>
        <v>6.6203711403015298E-3</v>
      </c>
      <c r="K28" s="18">
        <f ca="1">IFERROR(__xludf.DUMMYFUNCTION("""COMPUTED_VALUE"""),0.00113425948812774)</f>
        <v>1.1342594881277399E-3</v>
      </c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20"/>
      <c r="W28" s="20"/>
      <c r="X28" s="20"/>
      <c r="Y28" s="20"/>
      <c r="Z28" s="21"/>
      <c r="AA28" s="22"/>
      <c r="AB28" s="23"/>
    </row>
    <row r="29" spans="1:28" ht="13.5" customHeight="1" x14ac:dyDescent="0.35">
      <c r="A29" s="24">
        <f ca="1">IFERROR(__xludf.DUMMYFUNCTION("""COMPUTED_VALUE"""),28)</f>
        <v>28</v>
      </c>
      <c r="B29" s="25" t="str">
        <f ca="1">IFERROR(__xludf.DUMMYFUNCTION("""COMPUTED_VALUE"""),"106")</f>
        <v>106</v>
      </c>
      <c r="C29" s="26" t="str">
        <f ca="1">IFERROR(__xludf.DUMMYFUNCTION("""COMPUTED_VALUE"""),"GAUTHE")</f>
        <v>GAUTHE</v>
      </c>
      <c r="D29" s="27" t="str">
        <f ca="1">IFERROR(__xludf.DUMMYFUNCTION("""COMPUTED_VALUE"""),"FABIEN")</f>
        <v>FABIEN</v>
      </c>
      <c r="E29" s="15" t="str">
        <f ca="1">IFERROR(__xludf.DUMMYFUNCTION("""COMPUTED_VALUE"""),"MH2")</f>
        <v>MH2</v>
      </c>
      <c r="F29" s="51">
        <f ca="1">IFERROR(__xludf.DUMMYFUNCTION("""COMPUTED_VALUE"""),12)</f>
        <v>12</v>
      </c>
      <c r="G29" s="16">
        <f ca="1">IFERROR(__xludf.DUMMYFUNCTION("""COMPUTED_VALUE"""),0.0211805562916021)</f>
        <v>2.11805562916021E-2</v>
      </c>
      <c r="H29" s="17">
        <f ca="1">IFERROR(__xludf.DUMMYFUNCTION("""COMPUTED_VALUE"""),0.00466435194451769)</f>
        <v>4.6643519445176904E-3</v>
      </c>
      <c r="I29" s="17">
        <f ca="1">IFERROR(__xludf.DUMMYFUNCTION("""COMPUTED_VALUE"""),0.00732638899702043)</f>
        <v>7.3263889970204303E-3</v>
      </c>
      <c r="J29" s="17">
        <f ca="1">IFERROR(__xludf.DUMMYFUNCTION("""COMPUTED_VALUE"""),0.00834490742765983)</f>
        <v>8.3449074276598298E-3</v>
      </c>
      <c r="K29" s="18">
        <f ca="1">IFERROR(__xludf.DUMMYFUNCTION("""COMPUTED_VALUE"""),0.000844907922404153)</f>
        <v>8.4490792240415305E-4</v>
      </c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20"/>
      <c r="W29" s="20"/>
      <c r="X29" s="20"/>
      <c r="Y29" s="20"/>
      <c r="Z29" s="21"/>
      <c r="AA29" s="22"/>
      <c r="AB29" s="23"/>
    </row>
    <row r="30" spans="1:28" ht="13.5" customHeight="1" x14ac:dyDescent="0.35">
      <c r="A30" s="24">
        <f ca="1">IFERROR(__xludf.DUMMYFUNCTION("""COMPUTED_VALUE"""),29)</f>
        <v>29</v>
      </c>
      <c r="B30" s="25" t="str">
        <f ca="1">IFERROR(__xludf.DUMMYFUNCTION("""COMPUTED_VALUE"""),"168")</f>
        <v>168</v>
      </c>
      <c r="C30" s="26" t="str">
        <f ca="1">IFERROR(__xludf.DUMMYFUNCTION("""COMPUTED_VALUE"""),"SEVERAC")</f>
        <v>SEVERAC</v>
      </c>
      <c r="D30" s="27" t="str">
        <f ca="1">IFERROR(__xludf.DUMMYFUNCTION("""COMPUTED_VALUE"""),"MARC")</f>
        <v>MARC</v>
      </c>
      <c r="E30" s="15" t="str">
        <f ca="1">IFERROR(__xludf.DUMMYFUNCTION("""COMPUTED_VALUE"""),"MH2")</f>
        <v>MH2</v>
      </c>
      <c r="F30" s="51">
        <f ca="1">IFERROR(__xludf.DUMMYFUNCTION("""COMPUTED_VALUE"""),13)</f>
        <v>13</v>
      </c>
      <c r="G30" s="16">
        <f ca="1">IFERROR(__xludf.DUMMYFUNCTION("""COMPUTED_VALUE"""),0.02122685229063)</f>
        <v>2.122685229063E-2</v>
      </c>
      <c r="H30" s="17">
        <f ca="1">IFERROR(__xludf.DUMMYFUNCTION("""COMPUTED_VALUE"""),0.00401620379929515)</f>
        <v>4.0162037992951503E-3</v>
      </c>
      <c r="I30" s="17">
        <f ca="1">IFERROR(__xludf.DUMMYFUNCTION("""COMPUTED_VALUE"""),0.00692129635860788)</f>
        <v>6.9212963586078799E-3</v>
      </c>
      <c r="J30" s="17">
        <f ca="1">IFERROR(__xludf.DUMMYFUNCTION("""COMPUTED_VALUE"""),0.00861111129133746)</f>
        <v>8.6111112913374605E-3</v>
      </c>
      <c r="K30" s="18">
        <f ca="1">IFERROR(__xludf.DUMMYFUNCTION("""COMPUTED_VALUE"""),0.00167824084138951)</f>
        <v>1.67824084138951E-3</v>
      </c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20"/>
      <c r="W30" s="20"/>
      <c r="X30" s="20"/>
      <c r="Y30" s="20"/>
      <c r="Z30" s="21"/>
      <c r="AA30" s="22"/>
      <c r="AB30" s="23"/>
    </row>
    <row r="31" spans="1:28" ht="13.5" customHeight="1" x14ac:dyDescent="0.35">
      <c r="A31" s="24">
        <f ca="1">IFERROR(__xludf.DUMMYFUNCTION("""COMPUTED_VALUE"""),30)</f>
        <v>30</v>
      </c>
      <c r="B31" s="25" t="str">
        <f ca="1">IFERROR(__xludf.DUMMYFUNCTION("""COMPUTED_VALUE"""),"64")</f>
        <v>64</v>
      </c>
      <c r="C31" s="26" t="str">
        <f ca="1">IFERROR(__xludf.DUMMYFUNCTION("""COMPUTED_VALUE"""),"PERETTI")</f>
        <v>PERETTI</v>
      </c>
      <c r="D31" s="27" t="str">
        <f ca="1">IFERROR(__xludf.DUMMYFUNCTION("""COMPUTED_VALUE"""),"MAXIME")</f>
        <v>MAXIME</v>
      </c>
      <c r="E31" s="15" t="str">
        <f ca="1">IFERROR(__xludf.DUMMYFUNCTION("""COMPUTED_VALUE"""),"MH1")</f>
        <v>MH1</v>
      </c>
      <c r="F31" s="51">
        <f ca="1">IFERROR(__xludf.DUMMYFUNCTION("""COMPUTED_VALUE"""),13)</f>
        <v>13</v>
      </c>
      <c r="G31" s="16">
        <f ca="1">IFERROR(__xludf.DUMMYFUNCTION("""COMPUTED_VALUE"""),0.0213425926919932)</f>
        <v>2.1342592691993199E-2</v>
      </c>
      <c r="H31" s="17">
        <f ca="1">IFERROR(__xludf.DUMMYFUNCTION("""COMPUTED_VALUE"""),0.00428240751984446)</f>
        <v>4.2824075198444602E-3</v>
      </c>
      <c r="I31" s="17">
        <f ca="1">IFERROR(__xludf.DUMMYFUNCTION("""COMPUTED_VALUE"""),0.0076504630305122)</f>
        <v>7.6504630305122001E-3</v>
      </c>
      <c r="J31" s="17">
        <f ca="1">IFERROR(__xludf.DUMMYFUNCTION("""COMPUTED_VALUE"""),0.00817129602802858)</f>
        <v>8.1712960280285792E-3</v>
      </c>
      <c r="K31" s="18">
        <f ca="1">IFERROR(__xludf.DUMMYFUNCTION("""COMPUTED_VALUE"""),0.00123842611360802)</f>
        <v>1.2384261136080201E-3</v>
      </c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20"/>
      <c r="W31" s="20"/>
      <c r="X31" s="20"/>
      <c r="Y31" s="20"/>
      <c r="Z31" s="21"/>
      <c r="AA31" s="22"/>
      <c r="AB31" s="23"/>
    </row>
    <row r="32" spans="1:28" ht="13.5" customHeight="1" x14ac:dyDescent="0.35">
      <c r="A32" s="24">
        <f ca="1">IFERROR(__xludf.DUMMYFUNCTION("""COMPUTED_VALUE"""),31)</f>
        <v>31</v>
      </c>
      <c r="B32" s="25" t="str">
        <f ca="1">IFERROR(__xludf.DUMMYFUNCTION("""COMPUTED_VALUE"""),"138")</f>
        <v>138</v>
      </c>
      <c r="C32" s="26" t="str">
        <f ca="1">IFERROR(__xludf.DUMMYFUNCTION("""COMPUTED_VALUE"""),"RONCERAY")</f>
        <v>RONCERAY</v>
      </c>
      <c r="D32" s="27" t="str">
        <f ca="1">IFERROR(__xludf.DUMMYFUNCTION("""COMPUTED_VALUE"""),"JEAN-RENE")</f>
        <v>JEAN-RENE</v>
      </c>
      <c r="E32" s="15" t="str">
        <f ca="1">IFERROR(__xludf.DUMMYFUNCTION("""COMPUTED_VALUE"""),"MH4")</f>
        <v>MH4</v>
      </c>
      <c r="F32" s="51">
        <f ca="1">IFERROR(__xludf.DUMMYFUNCTION("""COMPUTED_VALUE"""),2)</f>
        <v>2</v>
      </c>
      <c r="G32" s="16">
        <f ca="1">IFERROR(__xludf.DUMMYFUNCTION("""COMPUTED_VALUE"""),0.0215972228443045)</f>
        <v>2.1597222844304501E-2</v>
      </c>
      <c r="H32" s="17">
        <f ca="1">IFERROR(__xludf.DUMMYFUNCTION("""COMPUTED_VALUE"""),0.00394675928958889)</f>
        <v>3.9467592895888904E-3</v>
      </c>
      <c r="I32" s="17">
        <f ca="1">IFERROR(__xludf.DUMMYFUNCTION("""COMPUTED_VALUE"""),0.00747685190054035)</f>
        <v>7.4768519005403503E-3</v>
      </c>
      <c r="J32" s="17">
        <f ca="1">IFERROR(__xludf.DUMMYFUNCTION("""COMPUTED_VALUE"""),0.00893518555380725)</f>
        <v>8.9351855538072501E-3</v>
      </c>
      <c r="K32" s="18">
        <f ca="1">IFERROR(__xludf.DUMMYFUNCTION("""COMPUTED_VALUE"""),0.00123842610036804)</f>
        <v>1.23842610036804E-3</v>
      </c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20"/>
      <c r="W32" s="20"/>
      <c r="X32" s="20"/>
      <c r="Y32" s="20"/>
      <c r="Z32" s="21"/>
      <c r="AA32" s="22"/>
      <c r="AB32" s="23"/>
    </row>
    <row r="33" spans="1:28" ht="13.5" customHeight="1" x14ac:dyDescent="0.35">
      <c r="A33" s="24">
        <f ca="1">IFERROR(__xludf.DUMMYFUNCTION("""COMPUTED_VALUE"""),32)</f>
        <v>32</v>
      </c>
      <c r="B33" s="25" t="str">
        <f ca="1">IFERROR(__xludf.DUMMYFUNCTION("""COMPUTED_VALUE"""),"188")</f>
        <v>188</v>
      </c>
      <c r="C33" s="26" t="str">
        <f ca="1">IFERROR(__xludf.DUMMYFUNCTION("""COMPUTED_VALUE"""),"GRENIER")</f>
        <v>GRENIER</v>
      </c>
      <c r="D33" s="27" t="str">
        <f ca="1">IFERROR(__xludf.DUMMYFUNCTION("""COMPUTED_VALUE"""),"RÉMY")</f>
        <v>RÉMY</v>
      </c>
      <c r="E33" s="15" t="str">
        <f ca="1">IFERROR(__xludf.DUMMYFUNCTION("""COMPUTED_VALUE"""),"MH1")</f>
        <v>MH1</v>
      </c>
      <c r="F33" s="51">
        <f ca="1">IFERROR(__xludf.DUMMYFUNCTION("""COMPUTED_VALUE"""),14)</f>
        <v>14</v>
      </c>
      <c r="G33" s="16">
        <f ca="1">IFERROR(__xludf.DUMMYFUNCTION("""COMPUTED_VALUE"""),0.0217245374275669)</f>
        <v>2.1724537427566901E-2</v>
      </c>
      <c r="H33" s="17">
        <f ca="1">IFERROR(__xludf.DUMMYFUNCTION("""COMPUTED_VALUE"""),0.00467592600665622)</f>
        <v>4.6759260066562202E-3</v>
      </c>
      <c r="I33" s="17">
        <f ca="1">IFERROR(__xludf.DUMMYFUNCTION("""COMPUTED_VALUE"""),0.00685185185623706)</f>
        <v>6.8518518562370604E-3</v>
      </c>
      <c r="J33" s="17">
        <f ca="1">IFERROR(__xludf.DUMMYFUNCTION("""COMPUTED_VALUE"""),0.00881944483045384)</f>
        <v>8.8194448304538403E-3</v>
      </c>
      <c r="K33" s="18">
        <f ca="1">IFERROR(__xludf.DUMMYFUNCTION("""COMPUTED_VALUE"""),0.0013773147342198)</f>
        <v>1.3773147342197999E-3</v>
      </c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20"/>
      <c r="W33" s="20"/>
      <c r="X33" s="20"/>
      <c r="Y33" s="20"/>
      <c r="Z33" s="21"/>
      <c r="AA33" s="22"/>
      <c r="AB33" s="23"/>
    </row>
    <row r="34" spans="1:28" ht="13.5" customHeight="1" x14ac:dyDescent="0.35">
      <c r="A34" s="24">
        <f ca="1">IFERROR(__xludf.DUMMYFUNCTION("""COMPUTED_VALUE"""),33)</f>
        <v>33</v>
      </c>
      <c r="B34" s="25" t="str">
        <f ca="1">IFERROR(__xludf.DUMMYFUNCTION("""COMPUTED_VALUE"""),"102")</f>
        <v>102</v>
      </c>
      <c r="C34" s="26" t="str">
        <f ca="1">IFERROR(__xludf.DUMMYFUNCTION("""COMPUTED_VALUE"""),"DIAKHO")</f>
        <v>DIAKHO</v>
      </c>
      <c r="D34" s="27" t="str">
        <f ca="1">IFERROR(__xludf.DUMMYFUNCTION("""COMPUTED_VALUE"""),"ABDARHAMANE")</f>
        <v>ABDARHAMANE</v>
      </c>
      <c r="E34" s="15" t="str">
        <f ca="1">IFERROR(__xludf.DUMMYFUNCTION("""COMPUTED_VALUE"""),"MH3")</f>
        <v>MH3</v>
      </c>
      <c r="F34" s="51">
        <f ca="1">IFERROR(__xludf.DUMMYFUNCTION("""COMPUTED_VALUE"""),4)</f>
        <v>4</v>
      </c>
      <c r="G34" s="16">
        <f ca="1">IFERROR(__xludf.DUMMYFUNCTION("""COMPUTED_VALUE"""),0.0217708342850712)</f>
        <v>2.1770834285071199E-2</v>
      </c>
      <c r="H34" s="17">
        <f ca="1">IFERROR(__xludf.DUMMYFUNCTION("""COMPUTED_VALUE"""),0.00458333341110036)</f>
        <v>4.5833334111003597E-3</v>
      </c>
      <c r="I34" s="17">
        <f ca="1">IFERROR(__xludf.DUMMYFUNCTION("""COMPUTED_VALUE"""),0.00815972228837919)</f>
        <v>8.1597222883791898E-3</v>
      </c>
      <c r="J34" s="17">
        <f ca="1">IFERROR(__xludf.DUMMYFUNCTION("""COMPUTED_VALUE"""),0.00739583353222968)</f>
        <v>7.3958335322296797E-3</v>
      </c>
      <c r="K34" s="18">
        <f ca="1">IFERROR(__xludf.DUMMYFUNCTION("""COMPUTED_VALUE"""),0.00163194505336205)</f>
        <v>1.6319450533620499E-3</v>
      </c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20"/>
      <c r="W34" s="20"/>
      <c r="X34" s="20"/>
      <c r="Y34" s="20"/>
      <c r="Z34" s="21"/>
      <c r="AA34" s="22"/>
      <c r="AB34" s="23"/>
    </row>
    <row r="35" spans="1:28" ht="13.5" customHeight="1" x14ac:dyDescent="0.35">
      <c r="A35" s="24">
        <f ca="1">IFERROR(__xludf.DUMMYFUNCTION("""COMPUTED_VALUE"""),34)</f>
        <v>34</v>
      </c>
      <c r="B35" s="25" t="str">
        <f ca="1">IFERROR(__xludf.DUMMYFUNCTION("""COMPUTED_VALUE"""),"103")</f>
        <v>103</v>
      </c>
      <c r="C35" s="26" t="str">
        <f ca="1">IFERROR(__xludf.DUMMYFUNCTION("""COMPUTED_VALUE"""),"CHARMAIL")</f>
        <v>CHARMAIL</v>
      </c>
      <c r="D35" s="27" t="str">
        <f ca="1">IFERROR(__xludf.DUMMYFUNCTION("""COMPUTED_VALUE"""),"NICOLAS")</f>
        <v>NICOLAS</v>
      </c>
      <c r="E35" s="15" t="str">
        <f ca="1">IFERROR(__xludf.DUMMYFUNCTION("""COMPUTED_VALUE"""),"MH3")</f>
        <v>MH3</v>
      </c>
      <c r="F35" s="51">
        <f ca="1">IFERROR(__xludf.DUMMYFUNCTION("""COMPUTED_VALUE"""),5)</f>
        <v>5</v>
      </c>
      <c r="G35" s="16">
        <f ca="1">IFERROR(__xludf.DUMMYFUNCTION("""COMPUTED_VALUE"""),0.0218171299979909)</f>
        <v>2.1817129997990899E-2</v>
      </c>
      <c r="H35" s="17">
        <f ca="1">IFERROR(__xludf.DUMMYFUNCTION("""COMPUTED_VALUE"""),0.00366898149737406)</f>
        <v>3.6689814973740599E-3</v>
      </c>
      <c r="I35" s="17">
        <f ca="1">IFERROR(__xludf.DUMMYFUNCTION("""COMPUTED_VALUE"""),0.00792824078206837)</f>
        <v>7.9282407820683697E-3</v>
      </c>
      <c r="J35" s="17">
        <f ca="1">IFERROR(__xludf.DUMMYFUNCTION("""COMPUTED_VALUE"""),0.00917824054047926)</f>
        <v>9.1782405404792593E-3</v>
      </c>
      <c r="K35" s="18">
        <f ca="1">IFERROR(__xludf.DUMMYFUNCTION("""COMPUTED_VALUE"""),0.00104166717806924)</f>
        <v>1.0416671780692399E-3</v>
      </c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20"/>
      <c r="W35" s="20"/>
      <c r="X35" s="20"/>
      <c r="Y35" s="20"/>
      <c r="Z35" s="21"/>
      <c r="AA35" s="22"/>
      <c r="AB35" s="23"/>
    </row>
    <row r="36" spans="1:28" ht="13.5" customHeight="1" x14ac:dyDescent="0.35">
      <c r="A36" s="24">
        <f ca="1">IFERROR(__xludf.DUMMYFUNCTION("""COMPUTED_VALUE"""),35)</f>
        <v>35</v>
      </c>
      <c r="B36" s="25" t="str">
        <f ca="1">IFERROR(__xludf.DUMMYFUNCTION("""COMPUTED_VALUE"""),"135")</f>
        <v>135</v>
      </c>
      <c r="C36" s="26" t="str">
        <f ca="1">IFERROR(__xludf.DUMMYFUNCTION("""COMPUTED_VALUE"""),"ANSELMI")</f>
        <v>ANSELMI</v>
      </c>
      <c r="D36" s="27" t="str">
        <f ca="1">IFERROR(__xludf.DUMMYFUNCTION("""COMPUTED_VALUE"""),"AURELIEN")</f>
        <v>AURELIEN</v>
      </c>
      <c r="E36" s="15" t="str">
        <f ca="1">IFERROR(__xludf.DUMMYFUNCTION("""COMPUTED_VALUE"""),"MH1")</f>
        <v>MH1</v>
      </c>
      <c r="F36" s="51">
        <f ca="1">IFERROR(__xludf.DUMMYFUNCTION("""COMPUTED_VALUE"""),15)</f>
        <v>15</v>
      </c>
      <c r="G36" s="16">
        <f ca="1">IFERROR(__xludf.DUMMYFUNCTION("""COMPUTED_VALUE"""),0.0219791675058186)</f>
        <v>2.19791675058186E-2</v>
      </c>
      <c r="H36" s="17">
        <f ca="1">IFERROR(__xludf.DUMMYFUNCTION("""COMPUTED_VALUE"""),0.00356481492861758)</f>
        <v>3.5648149286175799E-3</v>
      </c>
      <c r="I36" s="17">
        <f ca="1">IFERROR(__xludf.DUMMYFUNCTION("""COMPUTED_VALUE"""),0.00805555563307119)</f>
        <v>8.0555556330711899E-3</v>
      </c>
      <c r="J36" s="17">
        <f ca="1">IFERROR(__xludf.DUMMYFUNCTION("""COMPUTED_VALUE"""),0.00936342584278862)</f>
        <v>9.36342584278862E-3</v>
      </c>
      <c r="K36" s="18">
        <f ca="1">IFERROR(__xludf.DUMMYFUNCTION("""COMPUTED_VALUE"""),0.000995371101341229)</f>
        <v>9.9537110134122891E-4</v>
      </c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20"/>
      <c r="W36" s="20"/>
      <c r="X36" s="20"/>
      <c r="Y36" s="20"/>
      <c r="Z36" s="21"/>
      <c r="AA36" s="22"/>
      <c r="AB36" s="23"/>
    </row>
    <row r="37" spans="1:28" ht="13.5" customHeight="1" x14ac:dyDescent="0.35">
      <c r="A37" s="24">
        <f ca="1">IFERROR(__xludf.DUMMYFUNCTION("""COMPUTED_VALUE"""),36)</f>
        <v>36</v>
      </c>
      <c r="B37" s="25" t="str">
        <f ca="1">IFERROR(__xludf.DUMMYFUNCTION("""COMPUTED_VALUE"""),"134")</f>
        <v>134</v>
      </c>
      <c r="C37" s="26" t="str">
        <f ca="1">IFERROR(__xludf.DUMMYFUNCTION("""COMPUTED_VALUE"""),"THIERRY")</f>
        <v>THIERRY</v>
      </c>
      <c r="D37" s="27" t="str">
        <f ca="1">IFERROR(__xludf.DUMMYFUNCTION("""COMPUTED_VALUE"""),"GABRIEL")</f>
        <v>GABRIEL</v>
      </c>
      <c r="E37" s="15" t="str">
        <f ca="1">IFERROR(__xludf.DUMMYFUNCTION("""COMPUTED_VALUE"""),"MH1")</f>
        <v>MH1</v>
      </c>
      <c r="F37" s="51">
        <f ca="1">IFERROR(__xludf.DUMMYFUNCTION("""COMPUTED_VALUE"""),16)</f>
        <v>16</v>
      </c>
      <c r="G37" s="16">
        <f ca="1">IFERROR(__xludf.DUMMYFUNCTION("""COMPUTED_VALUE"""),0.0221643520626606)</f>
        <v>2.2164352062660601E-2</v>
      </c>
      <c r="H37" s="17">
        <f ca="1">IFERROR(__xludf.DUMMYFUNCTION("""COMPUTED_VALUE"""),0.00452546304086093)</f>
        <v>4.5254630408609296E-3</v>
      </c>
      <c r="I37" s="17">
        <f ca="1">IFERROR(__xludf.DUMMYFUNCTION("""COMPUTED_VALUE"""),0.00739583337216792)</f>
        <v>7.3958333721679198E-3</v>
      </c>
      <c r="J37" s="17">
        <f ca="1">IFERROR(__xludf.DUMMYFUNCTION("""COMPUTED_VALUE"""),0.00879629553155458)</f>
        <v>8.7962955315545807E-3</v>
      </c>
      <c r="K37" s="18">
        <f ca="1">IFERROR(__xludf.DUMMYFUNCTION("""COMPUTED_VALUE"""),0.0014467601180772)</f>
        <v>1.4467601180772E-3</v>
      </c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20"/>
      <c r="W37" s="20"/>
      <c r="X37" s="20"/>
      <c r="Y37" s="20"/>
      <c r="Z37" s="21"/>
      <c r="AA37" s="22"/>
      <c r="AB37" s="23"/>
    </row>
    <row r="38" spans="1:28" ht="13.5" customHeight="1" x14ac:dyDescent="0.35">
      <c r="A38" s="24">
        <f ca="1">IFERROR(__xludf.DUMMYFUNCTION("""COMPUTED_VALUE"""),37)</f>
        <v>37</v>
      </c>
      <c r="B38" s="25" t="str">
        <f ca="1">IFERROR(__xludf.DUMMYFUNCTION("""COMPUTED_VALUE"""),"141")</f>
        <v>141</v>
      </c>
      <c r="C38" s="26" t="str">
        <f ca="1">IFERROR(__xludf.DUMMYFUNCTION("""COMPUTED_VALUE"""),"PRADIER")</f>
        <v>PRADIER</v>
      </c>
      <c r="D38" s="27" t="str">
        <f ca="1">IFERROR(__xludf.DUMMYFUNCTION("""COMPUTED_VALUE"""),"VINCENT")</f>
        <v>VINCENT</v>
      </c>
      <c r="E38" s="15" t="str">
        <f ca="1">IFERROR(__xludf.DUMMYFUNCTION("""COMPUTED_VALUE"""),"MH1")</f>
        <v>MH1</v>
      </c>
      <c r="F38" s="51">
        <f ca="1">IFERROR(__xludf.DUMMYFUNCTION("""COMPUTED_VALUE"""),17)</f>
        <v>17</v>
      </c>
      <c r="G38" s="16">
        <f ca="1">IFERROR(__xludf.DUMMYFUNCTION("""COMPUTED_VALUE"""),0.0222106483861162)</f>
        <v>2.2210648386116201E-2</v>
      </c>
      <c r="H38" s="17">
        <f ca="1">IFERROR(__xludf.DUMMYFUNCTION("""COMPUTED_VALUE"""),0.00406250009799893)</f>
        <v>4.0625000979989303E-3</v>
      </c>
      <c r="I38" s="17">
        <f ca="1">IFERROR(__xludf.DUMMYFUNCTION("""COMPUTED_VALUE"""),0.00774305562783804)</f>
        <v>7.7430556278380398E-3</v>
      </c>
      <c r="J38" s="17">
        <f ca="1">IFERROR(__xludf.DUMMYFUNCTION("""COMPUTED_VALUE"""),0.0090972219059759)</f>
        <v>9.0972219059758993E-3</v>
      </c>
      <c r="K38" s="18">
        <f ca="1">IFERROR(__xludf.DUMMYFUNCTION("""COMPUTED_VALUE"""),0.00130787075430337)</f>
        <v>1.30787075430337E-3</v>
      </c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20"/>
      <c r="W38" s="20"/>
      <c r="X38" s="20"/>
      <c r="Y38" s="20"/>
      <c r="Z38" s="21"/>
      <c r="AA38" s="22"/>
      <c r="AB38" s="23"/>
    </row>
    <row r="39" spans="1:28" ht="13.5" customHeight="1" x14ac:dyDescent="0.35">
      <c r="A39" s="24">
        <f ca="1">IFERROR(__xludf.DUMMYFUNCTION("""COMPUTED_VALUE"""),38)</f>
        <v>38</v>
      </c>
      <c r="B39" s="25" t="str">
        <f ca="1">IFERROR(__xludf.DUMMYFUNCTION("""COMPUTED_VALUE"""),"77")</f>
        <v>77</v>
      </c>
      <c r="C39" s="26" t="str">
        <f ca="1">IFERROR(__xludf.DUMMYFUNCTION("""COMPUTED_VALUE"""),"RAFFRAY")</f>
        <v>RAFFRAY</v>
      </c>
      <c r="D39" s="27" t="str">
        <f ca="1">IFERROR(__xludf.DUMMYFUNCTION("""COMPUTED_VALUE"""),"SYLVAIN")</f>
        <v>SYLVAIN</v>
      </c>
      <c r="E39" s="15" t="str">
        <f ca="1">IFERROR(__xludf.DUMMYFUNCTION("""COMPUTED_VALUE"""),"MH2")</f>
        <v>MH2</v>
      </c>
      <c r="F39" s="51">
        <f ca="1">IFERROR(__xludf.DUMMYFUNCTION("""COMPUTED_VALUE"""),14)</f>
        <v>14</v>
      </c>
      <c r="G39" s="16">
        <f ca="1">IFERROR(__xludf.DUMMYFUNCTION("""COMPUTED_VALUE"""),0.0223032410022524)</f>
        <v>2.2303241002252401E-2</v>
      </c>
      <c r="H39" s="17">
        <f ca="1">IFERROR(__xludf.DUMMYFUNCTION("""COMPUTED_VALUE"""),0.00395833344653669)</f>
        <v>3.9583334465366901E-3</v>
      </c>
      <c r="I39" s="17">
        <f ca="1">IFERROR(__xludf.DUMMYFUNCTION("""COMPUTED_VALUE"""),0.0073958334004089)</f>
        <v>7.3958334004088997E-3</v>
      </c>
      <c r="J39" s="17">
        <f ca="1">IFERROR(__xludf.DUMMYFUNCTION("""COMPUTED_VALUE"""),0.00964120322694)</f>
        <v>9.6412032269400007E-3</v>
      </c>
      <c r="K39" s="18">
        <f ca="1">IFERROR(__xludf.DUMMYFUNCTION("""COMPUTED_VALUE"""),0.00130787092836683)</f>
        <v>1.3078709283668301E-3</v>
      </c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20"/>
      <c r="W39" s="20"/>
      <c r="X39" s="20"/>
      <c r="Y39" s="20"/>
      <c r="Z39" s="21"/>
      <c r="AA39" s="22"/>
      <c r="AB39" s="23"/>
    </row>
    <row r="40" spans="1:28" ht="13.5" customHeight="1" x14ac:dyDescent="0.35">
      <c r="A40" s="24">
        <f ca="1">IFERROR(__xludf.DUMMYFUNCTION("""COMPUTED_VALUE"""),39)</f>
        <v>39</v>
      </c>
      <c r="B40" s="25" t="str">
        <f ca="1">IFERROR(__xludf.DUMMYFUNCTION("""COMPUTED_VALUE"""),"18")</f>
        <v>18</v>
      </c>
      <c r="C40" s="26" t="str">
        <f ca="1">IFERROR(__xludf.DUMMYFUNCTION("""COMPUTED_VALUE"""),"DELMAS")</f>
        <v>DELMAS</v>
      </c>
      <c r="D40" s="27" t="str">
        <f ca="1">IFERROR(__xludf.DUMMYFUNCTION("""COMPUTED_VALUE"""),"JEAN ANTOINE")</f>
        <v>JEAN ANTOINE</v>
      </c>
      <c r="E40" s="15" t="str">
        <f ca="1">IFERROR(__xludf.DUMMYFUNCTION("""COMPUTED_VALUE"""),"MH3")</f>
        <v>MH3</v>
      </c>
      <c r="F40" s="51">
        <f ca="1">IFERROR(__xludf.DUMMYFUNCTION("""COMPUTED_VALUE"""),6)</f>
        <v>6</v>
      </c>
      <c r="G40" s="16">
        <f ca="1">IFERROR(__xludf.DUMMYFUNCTION("""COMPUTED_VALUE"""),0.0230787043509594)</f>
        <v>2.3078704350959399E-2</v>
      </c>
      <c r="H40" s="17">
        <f ca="1">IFERROR(__xludf.DUMMYFUNCTION("""COMPUTED_VALUE"""),0.00461805557800806)</f>
        <v>4.6180555780080601E-3</v>
      </c>
      <c r="I40" s="17">
        <f ca="1">IFERROR(__xludf.DUMMYFUNCTION("""COMPUTED_VALUE"""),0.00850694455586142)</f>
        <v>8.5069445558614201E-3</v>
      </c>
      <c r="J40" s="17">
        <f ca="1">IFERROR(__xludf.DUMMYFUNCTION("""COMPUTED_VALUE"""),0.00872685164015478)</f>
        <v>8.7268516401547806E-3</v>
      </c>
      <c r="K40" s="18">
        <f ca="1">IFERROR(__xludf.DUMMYFUNCTION("""COMPUTED_VALUE"""),0.00122685257693517)</f>
        <v>1.2268525769351701E-3</v>
      </c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20"/>
      <c r="W40" s="20"/>
      <c r="X40" s="20"/>
      <c r="Y40" s="20"/>
      <c r="Z40" s="21"/>
      <c r="AA40" s="22"/>
      <c r="AB40" s="23"/>
    </row>
    <row r="41" spans="1:28" ht="13.5" customHeight="1" x14ac:dyDescent="0.35">
      <c r="A41" s="24">
        <f ca="1">IFERROR(__xludf.DUMMYFUNCTION("""COMPUTED_VALUE"""),40)</f>
        <v>40</v>
      </c>
      <c r="B41" s="25" t="str">
        <f ca="1">IFERROR(__xludf.DUMMYFUNCTION("""COMPUTED_VALUE"""),"60")</f>
        <v>60</v>
      </c>
      <c r="C41" s="26" t="str">
        <f ca="1">IFERROR(__xludf.DUMMYFUNCTION("""COMPUTED_VALUE"""),"BARBEAU")</f>
        <v>BARBEAU</v>
      </c>
      <c r="D41" s="27" t="str">
        <f ca="1">IFERROR(__xludf.DUMMYFUNCTION("""COMPUTED_VALUE"""),"REMY")</f>
        <v>REMY</v>
      </c>
      <c r="E41" s="15" t="str">
        <f ca="1">IFERROR(__xludf.DUMMYFUNCTION("""COMPUTED_VALUE"""),"MH2")</f>
        <v>MH2</v>
      </c>
      <c r="F41" s="51">
        <f ca="1">IFERROR(__xludf.DUMMYFUNCTION("""COMPUTED_VALUE"""),15)</f>
        <v>15</v>
      </c>
      <c r="G41" s="16">
        <f ca="1">IFERROR(__xludf.DUMMYFUNCTION("""COMPUTED_VALUE"""),0.023344908279648)</f>
        <v>2.3344908279648E-2</v>
      </c>
      <c r="H41" s="17">
        <f ca="1">IFERROR(__xludf.DUMMYFUNCTION("""COMPUTED_VALUE"""),0.00412037045428423)</f>
        <v>4.12037045428423E-3</v>
      </c>
      <c r="I41" s="17">
        <f ca="1">IFERROR(__xludf.DUMMYFUNCTION("""COMPUTED_VALUE"""),0.0074421296682761)</f>
        <v>7.4421296682760998E-3</v>
      </c>
      <c r="J41" s="17">
        <f ca="1">IFERROR(__xludf.DUMMYFUNCTION("""COMPUTED_VALUE"""),0.0108912036045587)</f>
        <v>1.08912036045587E-2</v>
      </c>
      <c r="K41" s="18">
        <f ca="1">IFERROR(__xludf.DUMMYFUNCTION("""COMPUTED_VALUE"""),0.000891204552528981)</f>
        <v>8.9120455252898105E-4</v>
      </c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20"/>
      <c r="W41" s="20"/>
      <c r="X41" s="20"/>
      <c r="Y41" s="20"/>
      <c r="Z41" s="21"/>
      <c r="AA41" s="22"/>
      <c r="AB41" s="23"/>
    </row>
    <row r="42" spans="1:28" ht="13.5" customHeight="1" x14ac:dyDescent="0.35">
      <c r="A42" s="24">
        <f ca="1">IFERROR(__xludf.DUMMYFUNCTION("""COMPUTED_VALUE"""),41)</f>
        <v>41</v>
      </c>
      <c r="B42" s="25" t="str">
        <f ca="1">IFERROR(__xludf.DUMMYFUNCTION("""COMPUTED_VALUE"""),"158")</f>
        <v>158</v>
      </c>
      <c r="C42" s="26" t="str">
        <f ca="1">IFERROR(__xludf.DUMMYFUNCTION("""COMPUTED_VALUE"""),"COMBIER")</f>
        <v>COMBIER</v>
      </c>
      <c r="D42" s="27" t="str">
        <f ca="1">IFERROR(__xludf.DUMMYFUNCTION("""COMPUTED_VALUE"""),"MICHAEL")</f>
        <v>MICHAEL</v>
      </c>
      <c r="E42" s="15" t="str">
        <f ca="1">IFERROR(__xludf.DUMMYFUNCTION("""COMPUTED_VALUE"""),"MH1")</f>
        <v>MH1</v>
      </c>
      <c r="F42" s="51">
        <f ca="1">IFERROR(__xludf.DUMMYFUNCTION("""COMPUTED_VALUE"""),18)</f>
        <v>18</v>
      </c>
      <c r="G42" s="16">
        <f ca="1">IFERROR(__xludf.DUMMYFUNCTION("""COMPUTED_VALUE"""),0.0234837968460067)</f>
        <v>2.34837968460067E-2</v>
      </c>
      <c r="H42" s="17">
        <f ca="1">IFERROR(__xludf.DUMMYFUNCTION("""COMPUTED_VALUE"""),0.00409722231031557)</f>
        <v>4.0972223103155703E-3</v>
      </c>
      <c r="I42" s="17">
        <f ca="1">IFERROR(__xludf.DUMMYFUNCTION("""COMPUTED_VALUE"""),0.00793981492575962)</f>
        <v>7.9398149257596199E-3</v>
      </c>
      <c r="J42" s="17">
        <f ca="1">IFERROR(__xludf.DUMMYFUNCTION("""COMPUTED_VALUE"""),0.00974537004757194)</f>
        <v>9.7453700475719392E-3</v>
      </c>
      <c r="K42" s="18">
        <f ca="1">IFERROR(__xludf.DUMMYFUNCTION("""COMPUTED_VALUE"""),0.00170138956235959)</f>
        <v>1.7013895623595901E-3</v>
      </c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20"/>
      <c r="W42" s="20"/>
      <c r="X42" s="20"/>
      <c r="Y42" s="20"/>
      <c r="Z42" s="21"/>
      <c r="AA42" s="22"/>
      <c r="AB42" s="23"/>
    </row>
    <row r="43" spans="1:28" ht="13.5" customHeight="1" x14ac:dyDescent="0.35">
      <c r="A43" s="24">
        <f ca="1">IFERROR(__xludf.DUMMYFUNCTION("""COMPUTED_VALUE"""),42)</f>
        <v>42</v>
      </c>
      <c r="B43" s="25" t="str">
        <f ca="1">IFERROR(__xludf.DUMMYFUNCTION("""COMPUTED_VALUE"""),"101")</f>
        <v>101</v>
      </c>
      <c r="C43" s="26" t="str">
        <f ca="1">IFERROR(__xludf.DUMMYFUNCTION("""COMPUTED_VALUE"""),"MARTY")</f>
        <v>MARTY</v>
      </c>
      <c r="D43" s="27" t="str">
        <f ca="1">IFERROR(__xludf.DUMMYFUNCTION("""COMPUTED_VALUE"""),"CHRISTOPHE")</f>
        <v>CHRISTOPHE</v>
      </c>
      <c r="E43" s="15" t="str">
        <f ca="1">IFERROR(__xludf.DUMMYFUNCTION("""COMPUTED_VALUE"""),"MH5")</f>
        <v>MH5</v>
      </c>
      <c r="F43" s="51">
        <f ca="1">IFERROR(__xludf.DUMMYFUNCTION("""COMPUTED_VALUE"""),1)</f>
        <v>1</v>
      </c>
      <c r="G43" s="16">
        <f ca="1">IFERROR(__xludf.DUMMYFUNCTION("""COMPUTED_VALUE"""),0.0235763895811148)</f>
        <v>2.3576389581114798E-2</v>
      </c>
      <c r="H43" s="17">
        <f ca="1">IFERROR(__xludf.DUMMYFUNCTION("""COMPUTED_VALUE"""),0.00473379630962135)</f>
        <v>4.7337963096213496E-3</v>
      </c>
      <c r="I43" s="17">
        <f ca="1">IFERROR(__xludf.DUMMYFUNCTION("""COMPUTED_VALUE"""),0.00712962973005187)</f>
        <v>7.1296297300518698E-3</v>
      </c>
      <c r="J43" s="17">
        <f ca="1">IFERROR(__xludf.DUMMYFUNCTION("""COMPUTED_VALUE"""),0.0103472222905731)</f>
        <v>1.03472222905731E-2</v>
      </c>
      <c r="K43" s="18">
        <f ca="1">IFERROR(__xludf.DUMMYFUNCTION("""COMPUTED_VALUE"""),0.00136574125086847)</f>
        <v>1.3657412508684701E-3</v>
      </c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20"/>
      <c r="W43" s="20"/>
      <c r="X43" s="20"/>
      <c r="Y43" s="20"/>
      <c r="Z43" s="21"/>
      <c r="AA43" s="22"/>
      <c r="AB43" s="23"/>
    </row>
    <row r="44" spans="1:28" ht="13.5" customHeight="1" x14ac:dyDescent="0.35">
      <c r="A44" s="24">
        <f ca="1">IFERROR(__xludf.DUMMYFUNCTION("""COMPUTED_VALUE"""),43)</f>
        <v>43</v>
      </c>
      <c r="B44" s="25" t="str">
        <f ca="1">IFERROR(__xludf.DUMMYFUNCTION("""COMPUTED_VALUE"""),"177")</f>
        <v>177</v>
      </c>
      <c r="C44" s="26" t="str">
        <f ca="1">IFERROR(__xludf.DUMMYFUNCTION("""COMPUTED_VALUE"""),"BENISTY")</f>
        <v>BENISTY</v>
      </c>
      <c r="D44" s="27" t="str">
        <f ca="1">IFERROR(__xludf.DUMMYFUNCTION("""COMPUTED_VALUE"""),"YONATHAN")</f>
        <v>YONATHAN</v>
      </c>
      <c r="E44" s="15" t="str">
        <f ca="1">IFERROR(__xludf.DUMMYFUNCTION("""COMPUTED_VALUE"""),"MH1")</f>
        <v>MH1</v>
      </c>
      <c r="F44" s="51">
        <f ca="1">IFERROR(__xludf.DUMMYFUNCTION("""COMPUTED_VALUE"""),19)</f>
        <v>19</v>
      </c>
      <c r="G44" s="16">
        <f ca="1">IFERROR(__xludf.DUMMYFUNCTION("""COMPUTED_VALUE"""),0.0236921298493469)</f>
        <v>2.3692129849346901E-2</v>
      </c>
      <c r="H44" s="17">
        <f ca="1">IFERROR(__xludf.DUMMYFUNCTION("""COMPUTED_VALUE"""),0.00462962970786893)</f>
        <v>4.6296297078689298E-3</v>
      </c>
      <c r="I44" s="17">
        <f ca="1">IFERROR(__xludf.DUMMYFUNCTION("""COMPUTED_VALUE"""),0.0079976852857579)</f>
        <v>7.9976852857578992E-3</v>
      </c>
      <c r="J44" s="17">
        <f ca="1">IFERROR(__xludf.DUMMYFUNCTION("""COMPUTED_VALUE"""),0.00945601841303585)</f>
        <v>9.4560184130358504E-3</v>
      </c>
      <c r="K44" s="18">
        <f ca="1">IFERROR(__xludf.DUMMYFUNCTION("""COMPUTED_VALUE"""),0.00160879644268426)</f>
        <v>1.6087964426842599E-3</v>
      </c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20"/>
      <c r="W44" s="20"/>
      <c r="X44" s="20"/>
      <c r="Y44" s="20"/>
      <c r="Z44" s="21"/>
      <c r="AA44" s="22"/>
      <c r="AB44" s="23"/>
    </row>
    <row r="45" spans="1:28" ht="13.5" customHeight="1" x14ac:dyDescent="0.35">
      <c r="A45" s="24">
        <f ca="1">IFERROR(__xludf.DUMMYFUNCTION("""COMPUTED_VALUE"""),44)</f>
        <v>44</v>
      </c>
      <c r="B45" s="25" t="str">
        <f ca="1">IFERROR(__xludf.DUMMYFUNCTION("""COMPUTED_VALUE"""),"55")</f>
        <v>55</v>
      </c>
      <c r="C45" s="26" t="str">
        <f ca="1">IFERROR(__xludf.DUMMYFUNCTION("""COMPUTED_VALUE"""),"BUREAU")</f>
        <v>BUREAU</v>
      </c>
      <c r="D45" s="27" t="str">
        <f ca="1">IFERROR(__xludf.DUMMYFUNCTION("""COMPUTED_VALUE"""),"ALBAN")</f>
        <v>ALBAN</v>
      </c>
      <c r="E45" s="15" t="str">
        <f ca="1">IFERROR(__xludf.DUMMYFUNCTION("""COMPUTED_VALUE"""),"MH1")</f>
        <v>MH1</v>
      </c>
      <c r="F45" s="51">
        <f ca="1">IFERROR(__xludf.DUMMYFUNCTION("""COMPUTED_VALUE"""),20)</f>
        <v>20</v>
      </c>
      <c r="G45" s="16">
        <f ca="1">IFERROR(__xludf.DUMMYFUNCTION("""COMPUTED_VALUE"""),0.0237384264262181)</f>
        <v>2.3738426426218099E-2</v>
      </c>
      <c r="H45" s="17">
        <f ca="1">IFERROR(__xludf.DUMMYFUNCTION("""COMPUTED_VALUE"""),0.00475694446546014)</f>
        <v>4.75694446546014E-3</v>
      </c>
      <c r="I45" s="17">
        <f ca="1">IFERROR(__xludf.DUMMYFUNCTION("""COMPUTED_VALUE"""),0.00871527785957029)</f>
        <v>8.7152778595702904E-3</v>
      </c>
      <c r="J45" s="17">
        <f ca="1">IFERROR(__xludf.DUMMYFUNCTION("""COMPUTED_VALUE"""),0.00943287085080209)</f>
        <v>9.4328708508020897E-3</v>
      </c>
      <c r="K45" s="18">
        <f ca="1">IFERROR(__xludf.DUMMYFUNCTION("""COMPUTED_VALUE"""),0.000833333250385613)</f>
        <v>8.3333325038561297E-4</v>
      </c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20"/>
      <c r="W45" s="20"/>
      <c r="X45" s="20"/>
      <c r="Y45" s="20"/>
      <c r="Z45" s="21"/>
      <c r="AA45" s="22"/>
      <c r="AB45" s="23"/>
    </row>
    <row r="46" spans="1:28" ht="13.5" customHeight="1" x14ac:dyDescent="0.35">
      <c r="A46" s="24">
        <f ca="1">IFERROR(__xludf.DUMMYFUNCTION("""COMPUTED_VALUE"""),45)</f>
        <v>45</v>
      </c>
      <c r="B46" s="25" t="str">
        <f ca="1">IFERROR(__xludf.DUMMYFUNCTION("""COMPUTED_VALUE"""),"115")</f>
        <v>115</v>
      </c>
      <c r="C46" s="26" t="str">
        <f ca="1">IFERROR(__xludf.DUMMYFUNCTION("""COMPUTED_VALUE"""),"GAVINI")</f>
        <v>GAVINI</v>
      </c>
      <c r="D46" s="27" t="str">
        <f ca="1">IFERROR(__xludf.DUMMYFUNCTION("""COMPUTED_VALUE"""),"JEAN")</f>
        <v>JEAN</v>
      </c>
      <c r="E46" s="15" t="str">
        <f ca="1">IFERROR(__xludf.DUMMYFUNCTION("""COMPUTED_VALUE"""),"MH4")</f>
        <v>MH4</v>
      </c>
      <c r="F46" s="51">
        <f ca="1">IFERROR(__xludf.DUMMYFUNCTION("""COMPUTED_VALUE"""),3)</f>
        <v>3</v>
      </c>
      <c r="G46" s="16">
        <f ca="1">IFERROR(__xludf.DUMMYFUNCTION("""COMPUTED_VALUE"""),0.0238425930159969)</f>
        <v>2.38425930159969E-2</v>
      </c>
      <c r="H46" s="17">
        <f ca="1">IFERROR(__xludf.DUMMYFUNCTION("""COMPUTED_VALUE"""),0.00439814817827467)</f>
        <v>4.3981481782746704E-3</v>
      </c>
      <c r="I46" s="17">
        <f ca="1">IFERROR(__xludf.DUMMYFUNCTION("""COMPUTED_VALUE"""),0.00858796306488923)</f>
        <v>8.5879630648892299E-3</v>
      </c>
      <c r="J46" s="17">
        <f ca="1">IFERROR(__xludf.DUMMYFUNCTION("""COMPUTED_VALUE"""),0.00855324029614786)</f>
        <v>8.5532402961478599E-3</v>
      </c>
      <c r="K46" s="18">
        <f ca="1">IFERROR(__xludf.DUMMYFUNCTION("""COMPUTED_VALUE"""),0.00230324147668515)</f>
        <v>2.3032414766851498E-3</v>
      </c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20"/>
      <c r="W46" s="20"/>
      <c r="X46" s="20"/>
      <c r="Y46" s="20"/>
      <c r="Z46" s="21"/>
      <c r="AA46" s="22"/>
      <c r="AB46" s="23"/>
    </row>
    <row r="47" spans="1:28" ht="13.5" customHeight="1" x14ac:dyDescent="0.35">
      <c r="A47" s="24">
        <f ca="1">IFERROR(__xludf.DUMMYFUNCTION("""COMPUTED_VALUE"""),46)</f>
        <v>46</v>
      </c>
      <c r="B47" s="25" t="str">
        <f ca="1">IFERROR(__xludf.DUMMYFUNCTION("""COMPUTED_VALUE"""),"53")</f>
        <v>53</v>
      </c>
      <c r="C47" s="26" t="str">
        <f ca="1">IFERROR(__xludf.DUMMYFUNCTION("""COMPUTED_VALUE"""),"MALHERBAUD")</f>
        <v>MALHERBAUD</v>
      </c>
      <c r="D47" s="27" t="str">
        <f ca="1">IFERROR(__xludf.DUMMYFUNCTION("""COMPUTED_VALUE"""),"PIERRE")</f>
        <v>PIERRE</v>
      </c>
      <c r="E47" s="15" t="str">
        <f ca="1">IFERROR(__xludf.DUMMYFUNCTION("""COMPUTED_VALUE"""),"MH3")</f>
        <v>MH3</v>
      </c>
      <c r="F47" s="51">
        <f ca="1">IFERROR(__xludf.DUMMYFUNCTION("""COMPUTED_VALUE"""),7)</f>
        <v>7</v>
      </c>
      <c r="G47" s="16">
        <f ca="1">IFERROR(__xludf.DUMMYFUNCTION("""COMPUTED_VALUE"""),0.0239004631152746)</f>
        <v>2.3900463115274599E-2</v>
      </c>
      <c r="H47" s="17">
        <f ca="1">IFERROR(__xludf.DUMMYFUNCTION("""COMPUTED_VALUE"""),0.00387731492380303)</f>
        <v>3.8773149238030299E-3</v>
      </c>
      <c r="I47" s="17">
        <f ca="1">IFERROR(__xludf.DUMMYFUNCTION("""COMPUTED_VALUE"""),0.00818287037467751)</f>
        <v>8.1828703746775096E-3</v>
      </c>
      <c r="J47" s="17">
        <f ca="1">IFERROR(__xludf.DUMMYFUNCTION("""COMPUTED_VALUE"""),0.0106365733485816)</f>
        <v>1.0636573348581599E-2</v>
      </c>
      <c r="K47" s="18">
        <f ca="1">IFERROR(__xludf.DUMMYFUNCTION("""COMPUTED_VALUE"""),0.00120370446821246)</f>
        <v>1.20370446821246E-3</v>
      </c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20"/>
      <c r="W47" s="20"/>
      <c r="X47" s="20"/>
      <c r="Y47" s="20"/>
      <c r="Z47" s="21"/>
      <c r="AA47" s="22"/>
      <c r="AB47" s="23"/>
    </row>
    <row r="48" spans="1:28" ht="13.5" customHeight="1" x14ac:dyDescent="0.35">
      <c r="A48" s="24">
        <f ca="1">IFERROR(__xludf.DUMMYFUNCTION("""COMPUTED_VALUE"""),47)</f>
        <v>47</v>
      </c>
      <c r="B48" s="25" t="str">
        <f ca="1">IFERROR(__xludf.DUMMYFUNCTION("""COMPUTED_VALUE"""),"105")</f>
        <v>105</v>
      </c>
      <c r="C48" s="26" t="str">
        <f ca="1">IFERROR(__xludf.DUMMYFUNCTION("""COMPUTED_VALUE"""),"FUCHS")</f>
        <v>FUCHS</v>
      </c>
      <c r="D48" s="27" t="str">
        <f ca="1">IFERROR(__xludf.DUMMYFUNCTION("""COMPUTED_VALUE"""),"PATRICK")</f>
        <v>PATRICK</v>
      </c>
      <c r="E48" s="15" t="str">
        <f ca="1">IFERROR(__xludf.DUMMYFUNCTION("""COMPUTED_VALUE"""),"MH3")</f>
        <v>MH3</v>
      </c>
      <c r="F48" s="51">
        <f ca="1">IFERROR(__xludf.DUMMYFUNCTION("""COMPUTED_VALUE"""),8)</f>
        <v>8</v>
      </c>
      <c r="G48" s="16">
        <f ca="1">IFERROR(__xludf.DUMMYFUNCTION("""COMPUTED_VALUE"""),0.0239814818861696)</f>
        <v>2.3981481886169598E-2</v>
      </c>
      <c r="H48" s="17">
        <f ca="1">IFERROR(__xludf.DUMMYFUNCTION("""COMPUTED_VALUE"""),0.00484953705064559)</f>
        <v>4.8495370506455903E-3</v>
      </c>
      <c r="I48" s="17">
        <f ca="1">IFERROR(__xludf.DUMMYFUNCTION("""COMPUTED_VALUE"""),0.0076504630754168)</f>
        <v>7.6504630754168001E-3</v>
      </c>
      <c r="J48" s="17">
        <f ca="1">IFERROR(__xludf.DUMMYFUNCTION("""COMPUTED_VALUE"""),0.00997685192640596)</f>
        <v>9.9768519264059607E-3</v>
      </c>
      <c r="K48" s="18">
        <f ca="1">IFERROR(__xludf.DUMMYFUNCTION("""COMPUTED_VALUE"""),0.00150462983370123)</f>
        <v>1.50462983370123E-3</v>
      </c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20"/>
      <c r="W48" s="20"/>
      <c r="X48" s="20"/>
      <c r="Y48" s="20"/>
      <c r="Z48" s="21"/>
      <c r="AA48" s="22"/>
      <c r="AB48" s="23"/>
    </row>
    <row r="49" spans="1:28" ht="13.5" customHeight="1" x14ac:dyDescent="0.35">
      <c r="A49" s="24">
        <f ca="1">IFERROR(__xludf.DUMMYFUNCTION("""COMPUTED_VALUE"""),48)</f>
        <v>48</v>
      </c>
      <c r="B49" s="25" t="str">
        <f ca="1">IFERROR(__xludf.DUMMYFUNCTION("""COMPUTED_VALUE"""),"124")</f>
        <v>124</v>
      </c>
      <c r="C49" s="26" t="str">
        <f ca="1">IFERROR(__xludf.DUMMYFUNCTION("""COMPUTED_VALUE"""),"CHEYLUS")</f>
        <v>CHEYLUS</v>
      </c>
      <c r="D49" s="27" t="str">
        <f ca="1">IFERROR(__xludf.DUMMYFUNCTION("""COMPUTED_VALUE"""),"LIONEL")</f>
        <v>LIONEL</v>
      </c>
      <c r="E49" s="15" t="str">
        <f ca="1">IFERROR(__xludf.DUMMYFUNCTION("""COMPUTED_VALUE"""),"MH2")</f>
        <v>MH2</v>
      </c>
      <c r="F49" s="51">
        <f ca="1">IFERROR(__xludf.DUMMYFUNCTION("""COMPUTED_VALUE"""),16)</f>
        <v>16</v>
      </c>
      <c r="G49" s="16">
        <f ca="1">IFERROR(__xludf.DUMMYFUNCTION("""COMPUTED_VALUE"""),0.0244212970884559)</f>
        <v>2.44212970884559E-2</v>
      </c>
      <c r="H49" s="17">
        <f ca="1">IFERROR(__xludf.DUMMYFUNCTION("""COMPUTED_VALUE"""),0.00603009262709024)</f>
        <v>6.0300926270902399E-3</v>
      </c>
      <c r="I49" s="17">
        <f ca="1">IFERROR(__xludf.DUMMYFUNCTION("""COMPUTED_VALUE"""),0.00875000010662158)</f>
        <v>8.7500001066215805E-3</v>
      </c>
      <c r="J49" s="17">
        <f ca="1">IFERROR(__xludf.DUMMYFUNCTION("""COMPUTED_VALUE"""),0.00844907464390871)</f>
        <v>8.4490746439087102E-3</v>
      </c>
      <c r="K49" s="18">
        <f ca="1">IFERROR(__xludf.DUMMYFUNCTION("""COMPUTED_VALUE"""),0.00119212971083539)</f>
        <v>1.19212971083539E-3</v>
      </c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20"/>
      <c r="W49" s="20"/>
      <c r="X49" s="20"/>
      <c r="Y49" s="20"/>
      <c r="Z49" s="21"/>
      <c r="AA49" s="22"/>
      <c r="AB49" s="23"/>
    </row>
    <row r="50" spans="1:28" ht="13.5" customHeight="1" x14ac:dyDescent="0.35">
      <c r="A50" s="24">
        <f ca="1">IFERROR(__xludf.DUMMYFUNCTION("""COMPUTED_VALUE"""),49)</f>
        <v>49</v>
      </c>
      <c r="B50" s="25" t="str">
        <f ca="1">IFERROR(__xludf.DUMMYFUNCTION("""COMPUTED_VALUE"""),"65")</f>
        <v>65</v>
      </c>
      <c r="C50" s="26" t="str">
        <f ca="1">IFERROR(__xludf.DUMMYFUNCTION("""COMPUTED_VALUE"""),"SATKUNANANTHAN")</f>
        <v>SATKUNANANTHAN</v>
      </c>
      <c r="D50" s="27" t="str">
        <f ca="1">IFERROR(__xludf.DUMMYFUNCTION("""COMPUTED_VALUE"""),"SASIHARAN")</f>
        <v>SASIHARAN</v>
      </c>
      <c r="E50" s="15" t="str">
        <f ca="1">IFERROR(__xludf.DUMMYFUNCTION("""COMPUTED_VALUE"""),"MH1")</f>
        <v>MH1</v>
      </c>
      <c r="F50" s="51">
        <f ca="1">IFERROR(__xludf.DUMMYFUNCTION("""COMPUTED_VALUE"""),21)</f>
        <v>21</v>
      </c>
      <c r="G50" s="16">
        <f ca="1">IFERROR(__xludf.DUMMYFUNCTION("""COMPUTED_VALUE"""),0.0246990748363075)</f>
        <v>2.46990748363075E-2</v>
      </c>
      <c r="H50" s="17">
        <f ca="1">IFERROR(__xludf.DUMMYFUNCTION("""COMPUTED_VALUE"""),0.00545138894307778)</f>
        <v>5.4513889430777797E-3</v>
      </c>
      <c r="I50" s="17">
        <f ca="1">IFERROR(__xludf.DUMMYFUNCTION("""COMPUTED_VALUE"""),0.00841435191849008)</f>
        <v>8.4143519184900796E-3</v>
      </c>
      <c r="J50" s="17">
        <f ca="1">IFERROR(__xludf.DUMMYFUNCTION("""COMPUTED_VALUE"""),0.00930555613690017)</f>
        <v>9.3055561369001696E-3</v>
      </c>
      <c r="K50" s="18">
        <f ca="1">IFERROR(__xludf.DUMMYFUNCTION("""COMPUTED_VALUE"""),0.00152777783783948)</f>
        <v>1.52777783783948E-3</v>
      </c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20"/>
      <c r="W50" s="20"/>
      <c r="X50" s="20"/>
      <c r="Y50" s="20"/>
      <c r="Z50" s="21"/>
      <c r="AA50" s="22"/>
      <c r="AB50" s="23"/>
    </row>
    <row r="51" spans="1:28" ht="13.5" customHeight="1" x14ac:dyDescent="0.35">
      <c r="A51" s="24">
        <f ca="1">IFERROR(__xludf.DUMMYFUNCTION("""COMPUTED_VALUE"""),50)</f>
        <v>50</v>
      </c>
      <c r="B51" s="25" t="str">
        <f ca="1">IFERROR(__xludf.DUMMYFUNCTION("""COMPUTED_VALUE"""),"16")</f>
        <v>16</v>
      </c>
      <c r="C51" s="26" t="str">
        <f ca="1">IFERROR(__xludf.DUMMYFUNCTION("""COMPUTED_VALUE"""),"FEUILLATRE")</f>
        <v>FEUILLATRE</v>
      </c>
      <c r="D51" s="27" t="str">
        <f ca="1">IFERROR(__xludf.DUMMYFUNCTION("""COMPUTED_VALUE"""),"PATRICE")</f>
        <v>PATRICE</v>
      </c>
      <c r="E51" s="15" t="str">
        <f ca="1">IFERROR(__xludf.DUMMYFUNCTION("""COMPUTED_VALUE"""),"MH6")</f>
        <v>MH6</v>
      </c>
      <c r="F51" s="51">
        <f ca="1">IFERROR(__xludf.DUMMYFUNCTION("""COMPUTED_VALUE"""),1)</f>
        <v>1</v>
      </c>
      <c r="G51" s="16">
        <f ca="1">IFERROR(__xludf.DUMMYFUNCTION("""COMPUTED_VALUE"""),0.0247453711966283)</f>
        <v>2.4745371196628299E-2</v>
      </c>
      <c r="H51" s="17">
        <f ca="1">IFERROR(__xludf.DUMMYFUNCTION("""COMPUTED_VALUE"""),0.00575231484628303)</f>
        <v>5.7523148462830303E-3</v>
      </c>
      <c r="I51" s="17">
        <f ca="1">IFERROR(__xludf.DUMMYFUNCTION("""COMPUTED_VALUE"""),0.00756944447636601)</f>
        <v>7.5694444763660098E-3</v>
      </c>
      <c r="J51" s="17">
        <f ca="1">IFERROR(__xludf.DUMMYFUNCTION("""COMPUTED_VALUE"""),0.00999999992249808)</f>
        <v>9.9999999224980804E-3</v>
      </c>
      <c r="K51" s="18">
        <f ca="1">IFERROR(__xludf.DUMMYFUNCTION("""COMPUTED_VALUE"""),0.00142361195148119)</f>
        <v>1.42361195148119E-3</v>
      </c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20"/>
      <c r="W51" s="20"/>
      <c r="X51" s="20"/>
      <c r="Y51" s="20"/>
      <c r="Z51" s="21"/>
      <c r="AA51" s="22"/>
      <c r="AB51" s="23"/>
    </row>
    <row r="52" spans="1:28" ht="13.5" customHeight="1" x14ac:dyDescent="0.35">
      <c r="A52" s="24">
        <f ca="1">IFERROR(__xludf.DUMMYFUNCTION("""COMPUTED_VALUE"""),51)</f>
        <v>51</v>
      </c>
      <c r="B52" s="25" t="str">
        <f ca="1">IFERROR(__xludf.DUMMYFUNCTION("""COMPUTED_VALUE"""),"128")</f>
        <v>128</v>
      </c>
      <c r="C52" s="26" t="str">
        <f ca="1">IFERROR(__xludf.DUMMYFUNCTION("""COMPUTED_VALUE"""),"HAZARD")</f>
        <v>HAZARD</v>
      </c>
      <c r="D52" s="27" t="str">
        <f ca="1">IFERROR(__xludf.DUMMYFUNCTION("""COMPUTED_VALUE"""),"SÉBASTIEN")</f>
        <v>SÉBASTIEN</v>
      </c>
      <c r="E52" s="15" t="str">
        <f ca="1">IFERROR(__xludf.DUMMYFUNCTION("""COMPUTED_VALUE"""),"MH3")</f>
        <v>MH3</v>
      </c>
      <c r="F52" s="51">
        <f ca="1">IFERROR(__xludf.DUMMYFUNCTION("""COMPUTED_VALUE"""),9)</f>
        <v>9</v>
      </c>
      <c r="G52" s="16">
        <f ca="1">IFERROR(__xludf.DUMMYFUNCTION("""COMPUTED_VALUE"""),0.0253125009955614)</f>
        <v>2.5312500995561399E-2</v>
      </c>
      <c r="H52" s="17">
        <f ca="1">IFERROR(__xludf.DUMMYFUNCTION("""COMPUTED_VALUE"""),0.00488425935031947)</f>
        <v>4.8842593503194698E-3</v>
      </c>
      <c r="I52" s="17">
        <f ca="1">IFERROR(__xludf.DUMMYFUNCTION("""COMPUTED_VALUE"""),0.00836805556777346)</f>
        <v>8.3680555677734594E-3</v>
      </c>
      <c r="J52" s="17">
        <f ca="1">IFERROR(__xludf.DUMMYFUNCTION("""COMPUTED_VALUE"""),0.010162037940255)</f>
        <v>1.0162037940254999E-2</v>
      </c>
      <c r="K52" s="18">
        <f ca="1">IFERROR(__xludf.DUMMYFUNCTION("""COMPUTED_VALUE"""),0.00189814813721347)</f>
        <v>1.8981481372134701E-3</v>
      </c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20"/>
      <c r="W52" s="20"/>
      <c r="X52" s="20"/>
      <c r="Y52" s="20"/>
      <c r="Z52" s="21"/>
      <c r="AA52" s="22"/>
      <c r="AB52" s="23"/>
    </row>
    <row r="53" spans="1:28" ht="13.5" customHeight="1" x14ac:dyDescent="0.35">
      <c r="A53" s="24">
        <f ca="1">IFERROR(__xludf.DUMMYFUNCTION("""COMPUTED_VALUE"""),52)</f>
        <v>52</v>
      </c>
      <c r="B53" s="25" t="str">
        <f ca="1">IFERROR(__xludf.DUMMYFUNCTION("""COMPUTED_VALUE"""),"132")</f>
        <v>132</v>
      </c>
      <c r="C53" s="26" t="str">
        <f ca="1">IFERROR(__xludf.DUMMYFUNCTION("""COMPUTED_VALUE"""),"MORELLI")</f>
        <v>MORELLI</v>
      </c>
      <c r="D53" s="27" t="str">
        <f ca="1">IFERROR(__xludf.DUMMYFUNCTION("""COMPUTED_VALUE"""),"THIERRY")</f>
        <v>THIERRY</v>
      </c>
      <c r="E53" s="15" t="str">
        <f ca="1">IFERROR(__xludf.DUMMYFUNCTION("""COMPUTED_VALUE"""),"MH6")</f>
        <v>MH6</v>
      </c>
      <c r="F53" s="51">
        <f ca="1">IFERROR(__xludf.DUMMYFUNCTION("""COMPUTED_VALUE"""),2)</f>
        <v>2</v>
      </c>
      <c r="G53" s="16">
        <f ca="1">IFERROR(__xludf.DUMMYFUNCTION("""COMPUTED_VALUE"""),0.0270254633605403)</f>
        <v>2.7025463360540299E-2</v>
      </c>
      <c r="H53" s="17">
        <f ca="1">IFERROR(__xludf.DUMMYFUNCTION("""COMPUTED_VALUE"""),0.00651620379154491)</f>
        <v>6.5162037915449103E-3</v>
      </c>
      <c r="I53" s="17">
        <f ca="1">IFERROR(__xludf.DUMMYFUNCTION("""COMPUTED_VALUE"""),0.00768518524305408)</f>
        <v>7.6851852430540801E-3</v>
      </c>
      <c r="J53" s="17">
        <f ca="1">IFERROR(__xludf.DUMMYFUNCTION("""COMPUTED_VALUE"""),0.0109953703784834)</f>
        <v>1.09953703784834E-2</v>
      </c>
      <c r="K53" s="18">
        <f ca="1">IFERROR(__xludf.DUMMYFUNCTION("""COMPUTED_VALUE"""),0.00182870394745793)</f>
        <v>1.8287039474579299E-3</v>
      </c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20"/>
      <c r="W53" s="20"/>
      <c r="X53" s="20"/>
      <c r="Y53" s="20"/>
      <c r="Z53" s="21"/>
      <c r="AA53" s="22"/>
      <c r="AB53" s="23"/>
    </row>
    <row r="54" spans="1:28" ht="13.5" customHeight="1" x14ac:dyDescent="0.35">
      <c r="A54" s="24">
        <f ca="1">IFERROR(__xludf.DUMMYFUNCTION("""COMPUTED_VALUE"""),53)</f>
        <v>53</v>
      </c>
      <c r="B54" s="25" t="str">
        <f ca="1">IFERROR(__xludf.DUMMYFUNCTION("""COMPUTED_VALUE"""),"59")</f>
        <v>59</v>
      </c>
      <c r="C54" s="26" t="str">
        <f ca="1">IFERROR(__xludf.DUMMYFUNCTION("""COMPUTED_VALUE"""),"PAQUEREAU")</f>
        <v>PAQUEREAU</v>
      </c>
      <c r="D54" s="27" t="str">
        <f ca="1">IFERROR(__xludf.DUMMYFUNCTION("""COMPUTED_VALUE"""),"SIMON")</f>
        <v>SIMON</v>
      </c>
      <c r="E54" s="15" t="str">
        <f ca="1">IFERROR(__xludf.DUMMYFUNCTION("""COMPUTED_VALUE"""),"MH5")</f>
        <v>MH5</v>
      </c>
      <c r="F54" s="51">
        <f ca="1">IFERROR(__xludf.DUMMYFUNCTION("""COMPUTED_VALUE"""),2)</f>
        <v>2</v>
      </c>
      <c r="G54" s="16">
        <f ca="1">IFERROR(__xludf.DUMMYFUNCTION("""COMPUTED_VALUE"""),0.0272569449887241)</f>
        <v>2.7256944988724101E-2</v>
      </c>
      <c r="H54" s="17">
        <f ca="1">IFERROR(__xludf.DUMMYFUNCTION("""COMPUTED_VALUE"""),0.00515046300901436)</f>
        <v>5.1504630090143597E-3</v>
      </c>
      <c r="I54" s="17">
        <f ca="1">IFERROR(__xludf.DUMMYFUNCTION("""COMPUTED_VALUE"""),0.00855324082243486)</f>
        <v>8.5532408224348599E-3</v>
      </c>
      <c r="J54" s="17">
        <f ca="1">IFERROR(__xludf.DUMMYFUNCTION("""COMPUTED_VALUE"""),0.012071759524196)</f>
        <v>1.2071759524196E-2</v>
      </c>
      <c r="K54" s="18">
        <f ca="1">IFERROR(__xludf.DUMMYFUNCTION("""COMPUTED_VALUE"""),0.00148148163307885)</f>
        <v>1.48148163307885E-3</v>
      </c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20"/>
      <c r="W54" s="20"/>
      <c r="X54" s="20"/>
      <c r="Y54" s="20"/>
      <c r="Z54" s="21"/>
      <c r="AA54" s="22"/>
      <c r="AB54" s="23"/>
    </row>
    <row r="55" spans="1:28" ht="13.5" customHeight="1" x14ac:dyDescent="0.35">
      <c r="A55" s="24">
        <f ca="1">IFERROR(__xludf.DUMMYFUNCTION("""COMPUTED_VALUE"""),54)</f>
        <v>54</v>
      </c>
      <c r="B55" s="25" t="str">
        <f ca="1">IFERROR(__xludf.DUMMYFUNCTION("""COMPUTED_VALUE"""),"19")</f>
        <v>19</v>
      </c>
      <c r="C55" s="26" t="str">
        <f ca="1">IFERROR(__xludf.DUMMYFUNCTION("""COMPUTED_VALUE"""),"KIRSCH")</f>
        <v>KIRSCH</v>
      </c>
      <c r="D55" s="27" t="str">
        <f ca="1">IFERROR(__xludf.DUMMYFUNCTION("""COMPUTED_VALUE"""),"STÉPHANE")</f>
        <v>STÉPHANE</v>
      </c>
      <c r="E55" s="15" t="str">
        <f ca="1">IFERROR(__xludf.DUMMYFUNCTION("""COMPUTED_VALUE"""),"MH3")</f>
        <v>MH3</v>
      </c>
      <c r="F55" s="51">
        <f ca="1">IFERROR(__xludf.DUMMYFUNCTION("""COMPUTED_VALUE"""),10)</f>
        <v>10</v>
      </c>
      <c r="G55" s="16">
        <f ca="1">IFERROR(__xludf.DUMMYFUNCTION("""COMPUTED_VALUE"""),0.0274652788324216)</f>
        <v>2.74652788324216E-2</v>
      </c>
      <c r="H55" s="17">
        <f ca="1">IFERROR(__xludf.DUMMYFUNCTION("""COMPUTED_VALUE"""),0.00578703710100415)</f>
        <v>5.7870371010041496E-3</v>
      </c>
      <c r="I55" s="17">
        <f ca="1">IFERROR(__xludf.DUMMYFUNCTION("""COMPUTED_VALUE"""),0.00790509267096695)</f>
        <v>7.9050926709669494E-3</v>
      </c>
      <c r="J55" s="17">
        <f ca="1">IFERROR(__xludf.DUMMYFUNCTION("""COMPUTED_VALUE"""),0.0114699081312757)</f>
        <v>1.14699081312757E-2</v>
      </c>
      <c r="K55" s="18">
        <f ca="1">IFERROR(__xludf.DUMMYFUNCTION("""COMPUTED_VALUE"""),0.0023032409291747)</f>
        <v>2.3032409291747001E-3</v>
      </c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20"/>
      <c r="W55" s="20"/>
      <c r="X55" s="20"/>
      <c r="Y55" s="20"/>
      <c r="Z55" s="21"/>
      <c r="AA55" s="22"/>
      <c r="AB55" s="23"/>
    </row>
    <row r="56" spans="1:28" ht="13.5" customHeight="1" x14ac:dyDescent="0.35">
      <c r="A56" s="24">
        <f ca="1">IFERROR(__xludf.DUMMYFUNCTION("""COMPUTED_VALUE"""),55)</f>
        <v>55</v>
      </c>
      <c r="B56" s="25" t="str">
        <f ca="1">IFERROR(__xludf.DUMMYFUNCTION("""COMPUTED_VALUE"""),"54")</f>
        <v>54</v>
      </c>
      <c r="C56" s="26" t="str">
        <f ca="1">IFERROR(__xludf.DUMMYFUNCTION("""COMPUTED_VALUE"""),"URSULET")</f>
        <v>URSULET</v>
      </c>
      <c r="D56" s="27" t="str">
        <f ca="1">IFERROR(__xludf.DUMMYFUNCTION("""COMPUTED_VALUE"""),"BRUNO")</f>
        <v>BRUNO</v>
      </c>
      <c r="E56" s="15" t="str">
        <f ca="1">IFERROR(__xludf.DUMMYFUNCTION("""COMPUTED_VALUE"""),"MH5")</f>
        <v>MH5</v>
      </c>
      <c r="F56" s="51">
        <f ca="1">IFERROR(__xludf.DUMMYFUNCTION("""COMPUTED_VALUE"""),3)</f>
        <v>3</v>
      </c>
      <c r="G56" s="16">
        <f ca="1">IFERROR(__xludf.DUMMYFUNCTION("""COMPUTED_VALUE"""),0.0437037039874481)</f>
        <v>4.3703703987448099E-2</v>
      </c>
      <c r="H56" s="17">
        <f ca="1">IFERROR(__xludf.DUMMYFUNCTION("""COMPUTED_VALUE"""),0.0063888889546004)</f>
        <v>6.3888889546004001E-3</v>
      </c>
      <c r="I56" s="17">
        <f ca="1">IFERROR(__xludf.DUMMYFUNCTION("""COMPUTED_VALUE"""),0.0110995370517394)</f>
        <v>1.1099537051739401E-2</v>
      </c>
      <c r="J56" s="17">
        <f ca="1">IFERROR(__xludf.DUMMYFUNCTION("""COMPUTED_VALUE"""),0.0191666668335967)</f>
        <v>1.9166666833596701E-2</v>
      </c>
      <c r="K56" s="18">
        <f ca="1">IFERROR(__xludf.DUMMYFUNCTION("""COMPUTED_VALUE"""),0.0070486111475115)</f>
        <v>7.0486111475115002E-3</v>
      </c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20"/>
      <c r="W56" s="20"/>
      <c r="X56" s="20"/>
      <c r="Y56" s="20"/>
      <c r="Z56" s="21"/>
      <c r="AA56" s="22"/>
      <c r="AB56" s="23"/>
    </row>
    <row r="57" spans="1:28" ht="13.5" customHeight="1" x14ac:dyDescent="0.35">
      <c r="A57" s="24" t="str">
        <f ca="1">IFERROR(__xludf.DUMMYFUNCTION("""COMPUTED_VALUE"""),"")</f>
        <v/>
      </c>
      <c r="B57" s="28" t="str">
        <f ca="1">IFERROR(__xludf.DUMMYFUNCTION("""COMPUTED_VALUE"""),"")</f>
        <v/>
      </c>
      <c r="C57" s="27" t="str">
        <f ca="1">IFERROR(__xludf.DUMMYFUNCTION("""COMPUTED_VALUE"""),"")</f>
        <v/>
      </c>
      <c r="D57" s="27" t="str">
        <f ca="1">IFERROR(__xludf.DUMMYFUNCTION("""COMPUTED_VALUE"""),"")</f>
        <v/>
      </c>
      <c r="E57" s="15" t="str">
        <f ca="1">IFERROR(__xludf.DUMMYFUNCTION("""COMPUTED_VALUE"""),"")</f>
        <v/>
      </c>
      <c r="F57" s="51" t="str">
        <f ca="1">IFERROR(__xludf.DUMMYFUNCTION("""COMPUTED_VALUE"""),"")</f>
        <v/>
      </c>
      <c r="G57" s="16" t="str">
        <f ca="1">IFERROR(__xludf.DUMMYFUNCTION("""COMPUTED_VALUE"""),"")</f>
        <v/>
      </c>
      <c r="H57" s="17" t="str">
        <f ca="1">IFERROR(__xludf.DUMMYFUNCTION("""COMPUTED_VALUE"""),"")</f>
        <v/>
      </c>
      <c r="I57" s="17" t="str">
        <f ca="1">IFERROR(__xludf.DUMMYFUNCTION("""COMPUTED_VALUE"""),"")</f>
        <v/>
      </c>
      <c r="J57" s="17" t="str">
        <f ca="1">IFERROR(__xludf.DUMMYFUNCTION("""COMPUTED_VALUE"""),"")</f>
        <v/>
      </c>
      <c r="K57" s="18" t="str">
        <f ca="1">IFERROR(__xludf.DUMMYFUNCTION("""COMPUTED_VALUE"""),"")</f>
        <v/>
      </c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20"/>
      <c r="W57" s="20"/>
      <c r="X57" s="20"/>
      <c r="Y57" s="20"/>
      <c r="Z57" s="21"/>
      <c r="AA57" s="22"/>
      <c r="AB57" s="23"/>
    </row>
    <row r="58" spans="1:28" ht="13.5" customHeight="1" x14ac:dyDescent="0.35">
      <c r="A58" s="24" t="str">
        <f ca="1">IFERROR(__xludf.DUMMYFUNCTION("""COMPUTED_VALUE"""),"")</f>
        <v/>
      </c>
      <c r="B58" s="28" t="str">
        <f ca="1">IFERROR(__xludf.DUMMYFUNCTION("""COMPUTED_VALUE"""),"")</f>
        <v/>
      </c>
      <c r="C58" s="27" t="str">
        <f ca="1">IFERROR(__xludf.DUMMYFUNCTION("""COMPUTED_VALUE"""),"")</f>
        <v/>
      </c>
      <c r="D58" s="27" t="str">
        <f ca="1">IFERROR(__xludf.DUMMYFUNCTION("""COMPUTED_VALUE"""),"")</f>
        <v/>
      </c>
      <c r="E58" s="15" t="str">
        <f ca="1">IFERROR(__xludf.DUMMYFUNCTION("""COMPUTED_VALUE"""),"")</f>
        <v/>
      </c>
      <c r="F58" s="51" t="str">
        <f ca="1">IFERROR(__xludf.DUMMYFUNCTION("""COMPUTED_VALUE"""),"")</f>
        <v/>
      </c>
      <c r="G58" s="16" t="str">
        <f ca="1">IFERROR(__xludf.DUMMYFUNCTION("""COMPUTED_VALUE"""),"")</f>
        <v/>
      </c>
      <c r="H58" s="17" t="str">
        <f ca="1">IFERROR(__xludf.DUMMYFUNCTION("""COMPUTED_VALUE"""),"")</f>
        <v/>
      </c>
      <c r="I58" s="17" t="str">
        <f ca="1">IFERROR(__xludf.DUMMYFUNCTION("""COMPUTED_VALUE"""),"")</f>
        <v/>
      </c>
      <c r="J58" s="17" t="str">
        <f ca="1">IFERROR(__xludf.DUMMYFUNCTION("""COMPUTED_VALUE"""),"")</f>
        <v/>
      </c>
      <c r="K58" s="18" t="str">
        <f ca="1">IFERROR(__xludf.DUMMYFUNCTION("""COMPUTED_VALUE"""),"")</f>
        <v/>
      </c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20"/>
      <c r="W58" s="20"/>
      <c r="X58" s="20"/>
      <c r="Y58" s="20"/>
      <c r="Z58" s="21"/>
      <c r="AA58" s="22"/>
      <c r="AB58" s="23"/>
    </row>
    <row r="59" spans="1:28" ht="13.5" customHeight="1" x14ac:dyDescent="0.35">
      <c r="A59" s="24" t="str">
        <f ca="1">IFERROR(__xludf.DUMMYFUNCTION("""COMPUTED_VALUE"""),"")</f>
        <v/>
      </c>
      <c r="B59" s="28" t="str">
        <f ca="1">IFERROR(__xludf.DUMMYFUNCTION("""COMPUTED_VALUE"""),"")</f>
        <v/>
      </c>
      <c r="C59" s="27" t="str">
        <f ca="1">IFERROR(__xludf.DUMMYFUNCTION("""COMPUTED_VALUE"""),"")</f>
        <v/>
      </c>
      <c r="D59" s="27" t="str">
        <f ca="1">IFERROR(__xludf.DUMMYFUNCTION("""COMPUTED_VALUE"""),"")</f>
        <v/>
      </c>
      <c r="E59" s="15" t="str">
        <f ca="1">IFERROR(__xludf.DUMMYFUNCTION("""COMPUTED_VALUE"""),"")</f>
        <v/>
      </c>
      <c r="F59" s="51" t="str">
        <f ca="1">IFERROR(__xludf.DUMMYFUNCTION("""COMPUTED_VALUE"""),"")</f>
        <v/>
      </c>
      <c r="G59" s="16" t="str">
        <f ca="1">IFERROR(__xludf.DUMMYFUNCTION("""COMPUTED_VALUE"""),"")</f>
        <v/>
      </c>
      <c r="H59" s="17" t="str">
        <f ca="1">IFERROR(__xludf.DUMMYFUNCTION("""COMPUTED_VALUE"""),"")</f>
        <v/>
      </c>
      <c r="I59" s="17" t="str">
        <f ca="1">IFERROR(__xludf.DUMMYFUNCTION("""COMPUTED_VALUE"""),"")</f>
        <v/>
      </c>
      <c r="J59" s="17" t="str">
        <f ca="1">IFERROR(__xludf.DUMMYFUNCTION("""COMPUTED_VALUE"""),"")</f>
        <v/>
      </c>
      <c r="K59" s="18" t="str">
        <f ca="1">IFERROR(__xludf.DUMMYFUNCTION("""COMPUTED_VALUE"""),"")</f>
        <v/>
      </c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20"/>
      <c r="W59" s="20"/>
      <c r="X59" s="20"/>
      <c r="Y59" s="20"/>
      <c r="Z59" s="21"/>
      <c r="AA59" s="22"/>
      <c r="AB59" s="23"/>
    </row>
    <row r="60" spans="1:28" ht="13.5" customHeight="1" x14ac:dyDescent="0.35">
      <c r="A60" s="24" t="str">
        <f ca="1">IFERROR(__xludf.DUMMYFUNCTION("""COMPUTED_VALUE"""),"")</f>
        <v/>
      </c>
      <c r="B60" s="28" t="str">
        <f ca="1">IFERROR(__xludf.DUMMYFUNCTION("""COMPUTED_VALUE"""),"")</f>
        <v/>
      </c>
      <c r="C60" s="27" t="str">
        <f ca="1">IFERROR(__xludf.DUMMYFUNCTION("""COMPUTED_VALUE"""),"")</f>
        <v/>
      </c>
      <c r="D60" s="27" t="str">
        <f ca="1">IFERROR(__xludf.DUMMYFUNCTION("""COMPUTED_VALUE"""),"")</f>
        <v/>
      </c>
      <c r="E60" s="15" t="str">
        <f ca="1">IFERROR(__xludf.DUMMYFUNCTION("""COMPUTED_VALUE"""),"")</f>
        <v/>
      </c>
      <c r="F60" s="51" t="str">
        <f ca="1">IFERROR(__xludf.DUMMYFUNCTION("""COMPUTED_VALUE"""),"")</f>
        <v/>
      </c>
      <c r="G60" s="16" t="str">
        <f ca="1">IFERROR(__xludf.DUMMYFUNCTION("""COMPUTED_VALUE"""),"")</f>
        <v/>
      </c>
      <c r="H60" s="17" t="str">
        <f ca="1">IFERROR(__xludf.DUMMYFUNCTION("""COMPUTED_VALUE"""),"")</f>
        <v/>
      </c>
      <c r="I60" s="17" t="str">
        <f ca="1">IFERROR(__xludf.DUMMYFUNCTION("""COMPUTED_VALUE"""),"")</f>
        <v/>
      </c>
      <c r="J60" s="17" t="str">
        <f ca="1">IFERROR(__xludf.DUMMYFUNCTION("""COMPUTED_VALUE"""),"")</f>
        <v/>
      </c>
      <c r="K60" s="18" t="str">
        <f ca="1">IFERROR(__xludf.DUMMYFUNCTION("""COMPUTED_VALUE"""),"")</f>
        <v/>
      </c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20"/>
      <c r="W60" s="20"/>
      <c r="X60" s="20"/>
      <c r="Y60" s="20"/>
      <c r="Z60" s="21"/>
      <c r="AA60" s="22"/>
      <c r="AB60" s="23"/>
    </row>
    <row r="61" spans="1:28" ht="13.5" customHeight="1" x14ac:dyDescent="0.35">
      <c r="A61" s="24" t="str">
        <f ca="1">IFERROR(__xludf.DUMMYFUNCTION("""COMPUTED_VALUE"""),"")</f>
        <v/>
      </c>
      <c r="B61" s="28" t="str">
        <f ca="1">IFERROR(__xludf.DUMMYFUNCTION("""COMPUTED_VALUE"""),"")</f>
        <v/>
      </c>
      <c r="C61" s="27" t="str">
        <f ca="1">IFERROR(__xludf.DUMMYFUNCTION("""COMPUTED_VALUE"""),"")</f>
        <v/>
      </c>
      <c r="D61" s="27" t="str">
        <f ca="1">IFERROR(__xludf.DUMMYFUNCTION("""COMPUTED_VALUE"""),"")</f>
        <v/>
      </c>
      <c r="E61" s="15" t="str">
        <f ca="1">IFERROR(__xludf.DUMMYFUNCTION("""COMPUTED_VALUE"""),"")</f>
        <v/>
      </c>
      <c r="F61" s="51" t="str">
        <f ca="1">IFERROR(__xludf.DUMMYFUNCTION("""COMPUTED_VALUE"""),"")</f>
        <v/>
      </c>
      <c r="G61" s="16" t="str">
        <f ca="1">IFERROR(__xludf.DUMMYFUNCTION("""COMPUTED_VALUE"""),"")</f>
        <v/>
      </c>
      <c r="H61" s="17" t="str">
        <f ca="1">IFERROR(__xludf.DUMMYFUNCTION("""COMPUTED_VALUE"""),"")</f>
        <v/>
      </c>
      <c r="I61" s="17" t="str">
        <f ca="1">IFERROR(__xludf.DUMMYFUNCTION("""COMPUTED_VALUE"""),"")</f>
        <v/>
      </c>
      <c r="J61" s="17" t="str">
        <f ca="1">IFERROR(__xludf.DUMMYFUNCTION("""COMPUTED_VALUE"""),"")</f>
        <v/>
      </c>
      <c r="K61" s="18" t="str">
        <f ca="1">IFERROR(__xludf.DUMMYFUNCTION("""COMPUTED_VALUE"""),"")</f>
        <v/>
      </c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20"/>
      <c r="W61" s="20"/>
      <c r="X61" s="20"/>
      <c r="Y61" s="20"/>
      <c r="Z61" s="21"/>
      <c r="AA61" s="22"/>
      <c r="AB61" s="23"/>
    </row>
    <row r="62" spans="1:28" ht="13.5" customHeight="1" x14ac:dyDescent="0.35">
      <c r="A62" s="24" t="str">
        <f ca="1">IFERROR(__xludf.DUMMYFUNCTION("""COMPUTED_VALUE"""),"")</f>
        <v/>
      </c>
      <c r="B62" s="28" t="str">
        <f ca="1">IFERROR(__xludf.DUMMYFUNCTION("""COMPUTED_VALUE"""),"")</f>
        <v/>
      </c>
      <c r="C62" s="27" t="str">
        <f ca="1">IFERROR(__xludf.DUMMYFUNCTION("""COMPUTED_VALUE"""),"")</f>
        <v/>
      </c>
      <c r="D62" s="27" t="str">
        <f ca="1">IFERROR(__xludf.DUMMYFUNCTION("""COMPUTED_VALUE"""),"")</f>
        <v/>
      </c>
      <c r="E62" s="15" t="str">
        <f ca="1">IFERROR(__xludf.DUMMYFUNCTION("""COMPUTED_VALUE"""),"")</f>
        <v/>
      </c>
      <c r="F62" s="51" t="str">
        <f ca="1">IFERROR(__xludf.DUMMYFUNCTION("""COMPUTED_VALUE"""),"")</f>
        <v/>
      </c>
      <c r="G62" s="16" t="str">
        <f ca="1">IFERROR(__xludf.DUMMYFUNCTION("""COMPUTED_VALUE"""),"")</f>
        <v/>
      </c>
      <c r="H62" s="17" t="str">
        <f ca="1">IFERROR(__xludf.DUMMYFUNCTION("""COMPUTED_VALUE"""),"")</f>
        <v/>
      </c>
      <c r="I62" s="17" t="str">
        <f ca="1">IFERROR(__xludf.DUMMYFUNCTION("""COMPUTED_VALUE"""),"")</f>
        <v/>
      </c>
      <c r="J62" s="17" t="str">
        <f ca="1">IFERROR(__xludf.DUMMYFUNCTION("""COMPUTED_VALUE"""),"")</f>
        <v/>
      </c>
      <c r="K62" s="18" t="str">
        <f ca="1">IFERROR(__xludf.DUMMYFUNCTION("""COMPUTED_VALUE"""),"")</f>
        <v/>
      </c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20"/>
      <c r="W62" s="20"/>
      <c r="X62" s="20"/>
      <c r="Y62" s="20"/>
      <c r="Z62" s="21"/>
      <c r="AA62" s="22"/>
      <c r="AB62" s="23"/>
    </row>
    <row r="63" spans="1:28" ht="13.5" customHeight="1" x14ac:dyDescent="0.35">
      <c r="A63" s="24" t="str">
        <f ca="1">IFERROR(__xludf.DUMMYFUNCTION("""COMPUTED_VALUE"""),"")</f>
        <v/>
      </c>
      <c r="B63" s="28" t="str">
        <f ca="1">IFERROR(__xludf.DUMMYFUNCTION("""COMPUTED_VALUE"""),"")</f>
        <v/>
      </c>
      <c r="C63" s="27" t="str">
        <f ca="1">IFERROR(__xludf.DUMMYFUNCTION("""COMPUTED_VALUE"""),"")</f>
        <v/>
      </c>
      <c r="D63" s="27" t="str">
        <f ca="1">IFERROR(__xludf.DUMMYFUNCTION("""COMPUTED_VALUE"""),"")</f>
        <v/>
      </c>
      <c r="E63" s="15" t="str">
        <f ca="1">IFERROR(__xludf.DUMMYFUNCTION("""COMPUTED_VALUE"""),"")</f>
        <v/>
      </c>
      <c r="F63" s="51" t="str">
        <f ca="1">IFERROR(__xludf.DUMMYFUNCTION("""COMPUTED_VALUE"""),"")</f>
        <v/>
      </c>
      <c r="G63" s="16" t="str">
        <f ca="1">IFERROR(__xludf.DUMMYFUNCTION("""COMPUTED_VALUE"""),"")</f>
        <v/>
      </c>
      <c r="H63" s="17" t="str">
        <f ca="1">IFERROR(__xludf.DUMMYFUNCTION("""COMPUTED_VALUE"""),"")</f>
        <v/>
      </c>
      <c r="I63" s="17" t="str">
        <f ca="1">IFERROR(__xludf.DUMMYFUNCTION("""COMPUTED_VALUE"""),"")</f>
        <v/>
      </c>
      <c r="J63" s="17" t="str">
        <f ca="1">IFERROR(__xludf.DUMMYFUNCTION("""COMPUTED_VALUE"""),"")</f>
        <v/>
      </c>
      <c r="K63" s="18" t="str">
        <f ca="1">IFERROR(__xludf.DUMMYFUNCTION("""COMPUTED_VALUE"""),"")</f>
        <v/>
      </c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20"/>
      <c r="W63" s="20"/>
      <c r="X63" s="20"/>
      <c r="Y63" s="20"/>
      <c r="Z63" s="21"/>
      <c r="AA63" s="22"/>
      <c r="AB63" s="23"/>
    </row>
    <row r="64" spans="1:28" ht="13.5" customHeight="1" x14ac:dyDescent="0.35">
      <c r="A64" s="24" t="str">
        <f ca="1">IFERROR(__xludf.DUMMYFUNCTION("""COMPUTED_VALUE"""),"")</f>
        <v/>
      </c>
      <c r="B64" s="28" t="str">
        <f ca="1">IFERROR(__xludf.DUMMYFUNCTION("""COMPUTED_VALUE"""),"")</f>
        <v/>
      </c>
      <c r="C64" s="27" t="str">
        <f ca="1">IFERROR(__xludf.DUMMYFUNCTION("""COMPUTED_VALUE"""),"")</f>
        <v/>
      </c>
      <c r="D64" s="27" t="str">
        <f ca="1">IFERROR(__xludf.DUMMYFUNCTION("""COMPUTED_VALUE"""),"")</f>
        <v/>
      </c>
      <c r="E64" s="15" t="str">
        <f ca="1">IFERROR(__xludf.DUMMYFUNCTION("""COMPUTED_VALUE"""),"")</f>
        <v/>
      </c>
      <c r="F64" s="51" t="str">
        <f ca="1">IFERROR(__xludf.DUMMYFUNCTION("""COMPUTED_VALUE"""),"")</f>
        <v/>
      </c>
      <c r="G64" s="16" t="str">
        <f ca="1">IFERROR(__xludf.DUMMYFUNCTION("""COMPUTED_VALUE"""),"")</f>
        <v/>
      </c>
      <c r="H64" s="17" t="str">
        <f ca="1">IFERROR(__xludf.DUMMYFUNCTION("""COMPUTED_VALUE"""),"")</f>
        <v/>
      </c>
      <c r="I64" s="17" t="str">
        <f ca="1">IFERROR(__xludf.DUMMYFUNCTION("""COMPUTED_VALUE"""),"")</f>
        <v/>
      </c>
      <c r="J64" s="17" t="str">
        <f ca="1">IFERROR(__xludf.DUMMYFUNCTION("""COMPUTED_VALUE"""),"")</f>
        <v/>
      </c>
      <c r="K64" s="18" t="str">
        <f ca="1">IFERROR(__xludf.DUMMYFUNCTION("""COMPUTED_VALUE"""),"")</f>
        <v/>
      </c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20"/>
      <c r="W64" s="20"/>
      <c r="X64" s="20"/>
      <c r="Y64" s="20"/>
      <c r="Z64" s="21"/>
      <c r="AA64" s="22"/>
      <c r="AB64" s="23"/>
    </row>
    <row r="65" spans="1:28" ht="13.5" customHeight="1" x14ac:dyDescent="0.35">
      <c r="A65" s="24" t="str">
        <f ca="1">IFERROR(__xludf.DUMMYFUNCTION("""COMPUTED_VALUE"""),"")</f>
        <v/>
      </c>
      <c r="B65" s="28" t="str">
        <f ca="1">IFERROR(__xludf.DUMMYFUNCTION("""COMPUTED_VALUE"""),"")</f>
        <v/>
      </c>
      <c r="C65" s="27" t="str">
        <f ca="1">IFERROR(__xludf.DUMMYFUNCTION("""COMPUTED_VALUE"""),"")</f>
        <v/>
      </c>
      <c r="D65" s="27" t="str">
        <f ca="1">IFERROR(__xludf.DUMMYFUNCTION("""COMPUTED_VALUE"""),"")</f>
        <v/>
      </c>
      <c r="E65" s="15" t="str">
        <f ca="1">IFERROR(__xludf.DUMMYFUNCTION("""COMPUTED_VALUE"""),"")</f>
        <v/>
      </c>
      <c r="F65" s="51" t="str">
        <f ca="1">IFERROR(__xludf.DUMMYFUNCTION("""COMPUTED_VALUE"""),"")</f>
        <v/>
      </c>
      <c r="G65" s="16" t="str">
        <f ca="1">IFERROR(__xludf.DUMMYFUNCTION("""COMPUTED_VALUE"""),"")</f>
        <v/>
      </c>
      <c r="H65" s="17" t="str">
        <f ca="1">IFERROR(__xludf.DUMMYFUNCTION("""COMPUTED_VALUE"""),"")</f>
        <v/>
      </c>
      <c r="I65" s="17" t="str">
        <f ca="1">IFERROR(__xludf.DUMMYFUNCTION("""COMPUTED_VALUE"""),"")</f>
        <v/>
      </c>
      <c r="J65" s="17" t="str">
        <f ca="1">IFERROR(__xludf.DUMMYFUNCTION("""COMPUTED_VALUE"""),"")</f>
        <v/>
      </c>
      <c r="K65" s="18" t="str">
        <f ca="1">IFERROR(__xludf.DUMMYFUNCTION("""COMPUTED_VALUE"""),"")</f>
        <v/>
      </c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20"/>
      <c r="W65" s="20"/>
      <c r="X65" s="20"/>
      <c r="Y65" s="20"/>
      <c r="Z65" s="21"/>
      <c r="AA65" s="22"/>
      <c r="AB65" s="23"/>
    </row>
    <row r="66" spans="1:28" ht="13.5" customHeight="1" x14ac:dyDescent="0.35">
      <c r="A66" s="24" t="str">
        <f ca="1">IFERROR(__xludf.DUMMYFUNCTION("""COMPUTED_VALUE"""),"")</f>
        <v/>
      </c>
      <c r="B66" s="28" t="str">
        <f ca="1">IFERROR(__xludf.DUMMYFUNCTION("""COMPUTED_VALUE"""),"")</f>
        <v/>
      </c>
      <c r="C66" s="27" t="str">
        <f ca="1">IFERROR(__xludf.DUMMYFUNCTION("""COMPUTED_VALUE"""),"")</f>
        <v/>
      </c>
      <c r="D66" s="27" t="str">
        <f ca="1">IFERROR(__xludf.DUMMYFUNCTION("""COMPUTED_VALUE"""),"")</f>
        <v/>
      </c>
      <c r="E66" s="15" t="str">
        <f ca="1">IFERROR(__xludf.DUMMYFUNCTION("""COMPUTED_VALUE"""),"")</f>
        <v/>
      </c>
      <c r="F66" s="51" t="str">
        <f ca="1">IFERROR(__xludf.DUMMYFUNCTION("""COMPUTED_VALUE"""),"")</f>
        <v/>
      </c>
      <c r="G66" s="16" t="str">
        <f ca="1">IFERROR(__xludf.DUMMYFUNCTION("""COMPUTED_VALUE"""),"")</f>
        <v/>
      </c>
      <c r="H66" s="17" t="str">
        <f ca="1">IFERROR(__xludf.DUMMYFUNCTION("""COMPUTED_VALUE"""),"")</f>
        <v/>
      </c>
      <c r="I66" s="17" t="str">
        <f ca="1">IFERROR(__xludf.DUMMYFUNCTION("""COMPUTED_VALUE"""),"")</f>
        <v/>
      </c>
      <c r="J66" s="17" t="str">
        <f ca="1">IFERROR(__xludf.DUMMYFUNCTION("""COMPUTED_VALUE"""),"")</f>
        <v/>
      </c>
      <c r="K66" s="18" t="str">
        <f ca="1">IFERROR(__xludf.DUMMYFUNCTION("""COMPUTED_VALUE"""),"")</f>
        <v/>
      </c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20"/>
      <c r="W66" s="20"/>
      <c r="X66" s="20"/>
      <c r="Y66" s="20"/>
      <c r="Z66" s="21"/>
      <c r="AA66" s="22"/>
      <c r="AB66" s="23"/>
    </row>
    <row r="67" spans="1:28" ht="13.5" customHeight="1" x14ac:dyDescent="0.35">
      <c r="A67" s="24" t="str">
        <f ca="1">IFERROR(__xludf.DUMMYFUNCTION("""COMPUTED_VALUE"""),"")</f>
        <v/>
      </c>
      <c r="B67" s="28" t="str">
        <f ca="1">IFERROR(__xludf.DUMMYFUNCTION("""COMPUTED_VALUE"""),"")</f>
        <v/>
      </c>
      <c r="C67" s="27" t="str">
        <f ca="1">IFERROR(__xludf.DUMMYFUNCTION("""COMPUTED_VALUE"""),"")</f>
        <v/>
      </c>
      <c r="D67" s="27" t="str">
        <f ca="1">IFERROR(__xludf.DUMMYFUNCTION("""COMPUTED_VALUE"""),"")</f>
        <v/>
      </c>
      <c r="E67" s="15" t="str">
        <f ca="1">IFERROR(__xludf.DUMMYFUNCTION("""COMPUTED_VALUE"""),"")</f>
        <v/>
      </c>
      <c r="F67" s="51" t="str">
        <f ca="1">IFERROR(__xludf.DUMMYFUNCTION("""COMPUTED_VALUE"""),"")</f>
        <v/>
      </c>
      <c r="G67" s="16" t="str">
        <f ca="1">IFERROR(__xludf.DUMMYFUNCTION("""COMPUTED_VALUE"""),"")</f>
        <v/>
      </c>
      <c r="H67" s="17" t="str">
        <f ca="1">IFERROR(__xludf.DUMMYFUNCTION("""COMPUTED_VALUE"""),"")</f>
        <v/>
      </c>
      <c r="I67" s="17" t="str">
        <f ca="1">IFERROR(__xludf.DUMMYFUNCTION("""COMPUTED_VALUE"""),"")</f>
        <v/>
      </c>
      <c r="J67" s="17" t="str">
        <f ca="1">IFERROR(__xludf.DUMMYFUNCTION("""COMPUTED_VALUE"""),"")</f>
        <v/>
      </c>
      <c r="K67" s="18" t="str">
        <f ca="1">IFERROR(__xludf.DUMMYFUNCTION("""COMPUTED_VALUE"""),"")</f>
        <v/>
      </c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20"/>
      <c r="W67" s="20"/>
      <c r="X67" s="20"/>
      <c r="Y67" s="20"/>
      <c r="Z67" s="21"/>
      <c r="AA67" s="22"/>
      <c r="AB67" s="23"/>
    </row>
    <row r="68" spans="1:28" ht="13.5" customHeight="1" x14ac:dyDescent="0.35">
      <c r="A68" s="24" t="str">
        <f ca="1">IFERROR(__xludf.DUMMYFUNCTION("""COMPUTED_VALUE"""),"")</f>
        <v/>
      </c>
      <c r="B68" s="28" t="str">
        <f ca="1">IFERROR(__xludf.DUMMYFUNCTION("""COMPUTED_VALUE"""),"")</f>
        <v/>
      </c>
      <c r="C68" s="27" t="str">
        <f ca="1">IFERROR(__xludf.DUMMYFUNCTION("""COMPUTED_VALUE"""),"")</f>
        <v/>
      </c>
      <c r="D68" s="27" t="str">
        <f ca="1">IFERROR(__xludf.DUMMYFUNCTION("""COMPUTED_VALUE"""),"")</f>
        <v/>
      </c>
      <c r="E68" s="15" t="str">
        <f ca="1">IFERROR(__xludf.DUMMYFUNCTION("""COMPUTED_VALUE"""),"")</f>
        <v/>
      </c>
      <c r="F68" s="51" t="str">
        <f ca="1">IFERROR(__xludf.DUMMYFUNCTION("""COMPUTED_VALUE"""),"")</f>
        <v/>
      </c>
      <c r="G68" s="16" t="str">
        <f ca="1">IFERROR(__xludf.DUMMYFUNCTION("""COMPUTED_VALUE"""),"")</f>
        <v/>
      </c>
      <c r="H68" s="17" t="str">
        <f ca="1">IFERROR(__xludf.DUMMYFUNCTION("""COMPUTED_VALUE"""),"")</f>
        <v/>
      </c>
      <c r="I68" s="17" t="str">
        <f ca="1">IFERROR(__xludf.DUMMYFUNCTION("""COMPUTED_VALUE"""),"")</f>
        <v/>
      </c>
      <c r="J68" s="17" t="str">
        <f ca="1">IFERROR(__xludf.DUMMYFUNCTION("""COMPUTED_VALUE"""),"")</f>
        <v/>
      </c>
      <c r="K68" s="18" t="str">
        <f ca="1">IFERROR(__xludf.DUMMYFUNCTION("""COMPUTED_VALUE"""),"")</f>
        <v/>
      </c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20"/>
      <c r="W68" s="20"/>
      <c r="X68" s="20"/>
      <c r="Y68" s="20"/>
      <c r="Z68" s="21"/>
      <c r="AA68" s="22"/>
      <c r="AB68" s="23"/>
    </row>
    <row r="69" spans="1:28" ht="13.5" customHeight="1" x14ac:dyDescent="0.35">
      <c r="A69" s="24" t="str">
        <f ca="1">IFERROR(__xludf.DUMMYFUNCTION("""COMPUTED_VALUE"""),"")</f>
        <v/>
      </c>
      <c r="B69" s="28" t="str">
        <f ca="1">IFERROR(__xludf.DUMMYFUNCTION("""COMPUTED_VALUE"""),"")</f>
        <v/>
      </c>
      <c r="C69" s="27" t="str">
        <f ca="1">IFERROR(__xludf.DUMMYFUNCTION("""COMPUTED_VALUE"""),"")</f>
        <v/>
      </c>
      <c r="D69" s="27" t="str">
        <f ca="1">IFERROR(__xludf.DUMMYFUNCTION("""COMPUTED_VALUE"""),"")</f>
        <v/>
      </c>
      <c r="E69" s="15" t="str">
        <f ca="1">IFERROR(__xludf.DUMMYFUNCTION("""COMPUTED_VALUE"""),"")</f>
        <v/>
      </c>
      <c r="F69" s="51" t="str">
        <f ca="1">IFERROR(__xludf.DUMMYFUNCTION("""COMPUTED_VALUE"""),"")</f>
        <v/>
      </c>
      <c r="G69" s="16" t="str">
        <f ca="1">IFERROR(__xludf.DUMMYFUNCTION("""COMPUTED_VALUE"""),"")</f>
        <v/>
      </c>
      <c r="H69" s="17" t="str">
        <f ca="1">IFERROR(__xludf.DUMMYFUNCTION("""COMPUTED_VALUE"""),"")</f>
        <v/>
      </c>
      <c r="I69" s="17" t="str">
        <f ca="1">IFERROR(__xludf.DUMMYFUNCTION("""COMPUTED_VALUE"""),"")</f>
        <v/>
      </c>
      <c r="J69" s="17" t="str">
        <f ca="1">IFERROR(__xludf.DUMMYFUNCTION("""COMPUTED_VALUE"""),"")</f>
        <v/>
      </c>
      <c r="K69" s="18" t="str">
        <f ca="1">IFERROR(__xludf.DUMMYFUNCTION("""COMPUTED_VALUE"""),"")</f>
        <v/>
      </c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20"/>
      <c r="W69" s="20"/>
      <c r="X69" s="20"/>
      <c r="Y69" s="20"/>
      <c r="Z69" s="21"/>
      <c r="AA69" s="22"/>
      <c r="AB69" s="23"/>
    </row>
    <row r="70" spans="1:28" ht="13.5" customHeight="1" x14ac:dyDescent="0.35">
      <c r="A70" s="24" t="str">
        <f ca="1">IFERROR(__xludf.DUMMYFUNCTION("""COMPUTED_VALUE"""),"")</f>
        <v/>
      </c>
      <c r="B70" s="28" t="str">
        <f ca="1">IFERROR(__xludf.DUMMYFUNCTION("""COMPUTED_VALUE"""),"")</f>
        <v/>
      </c>
      <c r="C70" s="27" t="str">
        <f ca="1">IFERROR(__xludf.DUMMYFUNCTION("""COMPUTED_VALUE"""),"")</f>
        <v/>
      </c>
      <c r="D70" s="27" t="str">
        <f ca="1">IFERROR(__xludf.DUMMYFUNCTION("""COMPUTED_VALUE"""),"")</f>
        <v/>
      </c>
      <c r="E70" s="15" t="str">
        <f ca="1">IFERROR(__xludf.DUMMYFUNCTION("""COMPUTED_VALUE"""),"")</f>
        <v/>
      </c>
      <c r="F70" s="51" t="str">
        <f ca="1">IFERROR(__xludf.DUMMYFUNCTION("""COMPUTED_VALUE"""),"")</f>
        <v/>
      </c>
      <c r="G70" s="16" t="str">
        <f ca="1">IFERROR(__xludf.DUMMYFUNCTION("""COMPUTED_VALUE"""),"")</f>
        <v/>
      </c>
      <c r="H70" s="17" t="str">
        <f ca="1">IFERROR(__xludf.DUMMYFUNCTION("""COMPUTED_VALUE"""),"")</f>
        <v/>
      </c>
      <c r="I70" s="17" t="str">
        <f ca="1">IFERROR(__xludf.DUMMYFUNCTION("""COMPUTED_VALUE"""),"")</f>
        <v/>
      </c>
      <c r="J70" s="17" t="str">
        <f ca="1">IFERROR(__xludf.DUMMYFUNCTION("""COMPUTED_VALUE"""),"")</f>
        <v/>
      </c>
      <c r="K70" s="18" t="str">
        <f ca="1">IFERROR(__xludf.DUMMYFUNCTION("""COMPUTED_VALUE"""),"")</f>
        <v/>
      </c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20"/>
      <c r="W70" s="20"/>
      <c r="X70" s="20"/>
      <c r="Y70" s="20"/>
      <c r="Z70" s="21"/>
      <c r="AA70" s="22"/>
      <c r="AB70" s="23"/>
    </row>
    <row r="71" spans="1:28" ht="13.5" customHeight="1" x14ac:dyDescent="0.35">
      <c r="A71" s="24" t="str">
        <f ca="1">IFERROR(__xludf.DUMMYFUNCTION("""COMPUTED_VALUE"""),"")</f>
        <v/>
      </c>
      <c r="B71" s="28" t="str">
        <f ca="1">IFERROR(__xludf.DUMMYFUNCTION("""COMPUTED_VALUE"""),"")</f>
        <v/>
      </c>
      <c r="C71" s="27" t="str">
        <f ca="1">IFERROR(__xludf.DUMMYFUNCTION("""COMPUTED_VALUE"""),"")</f>
        <v/>
      </c>
      <c r="D71" s="27" t="str">
        <f ca="1">IFERROR(__xludf.DUMMYFUNCTION("""COMPUTED_VALUE"""),"")</f>
        <v/>
      </c>
      <c r="E71" s="15" t="str">
        <f ca="1">IFERROR(__xludf.DUMMYFUNCTION("""COMPUTED_VALUE"""),"")</f>
        <v/>
      </c>
      <c r="F71" s="51" t="str">
        <f ca="1">IFERROR(__xludf.DUMMYFUNCTION("""COMPUTED_VALUE"""),"")</f>
        <v/>
      </c>
      <c r="G71" s="16" t="str">
        <f ca="1">IFERROR(__xludf.DUMMYFUNCTION("""COMPUTED_VALUE"""),"")</f>
        <v/>
      </c>
      <c r="H71" s="17" t="str">
        <f ca="1">IFERROR(__xludf.DUMMYFUNCTION("""COMPUTED_VALUE"""),"")</f>
        <v/>
      </c>
      <c r="I71" s="17" t="str">
        <f ca="1">IFERROR(__xludf.DUMMYFUNCTION("""COMPUTED_VALUE"""),"")</f>
        <v/>
      </c>
      <c r="J71" s="17" t="str">
        <f ca="1">IFERROR(__xludf.DUMMYFUNCTION("""COMPUTED_VALUE"""),"")</f>
        <v/>
      </c>
      <c r="K71" s="18" t="str">
        <f ca="1">IFERROR(__xludf.DUMMYFUNCTION("""COMPUTED_VALUE"""),"")</f>
        <v/>
      </c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20"/>
      <c r="W71" s="20"/>
      <c r="X71" s="20"/>
      <c r="Y71" s="20"/>
      <c r="Z71" s="21"/>
      <c r="AA71" s="22"/>
      <c r="AB71" s="23"/>
    </row>
    <row r="72" spans="1:28" ht="13.5" customHeight="1" x14ac:dyDescent="0.35">
      <c r="A72" s="24" t="str">
        <f ca="1">IFERROR(__xludf.DUMMYFUNCTION("""COMPUTED_VALUE"""),"")</f>
        <v/>
      </c>
      <c r="B72" s="28" t="str">
        <f ca="1">IFERROR(__xludf.DUMMYFUNCTION("""COMPUTED_VALUE"""),"")</f>
        <v/>
      </c>
      <c r="C72" s="27" t="str">
        <f ca="1">IFERROR(__xludf.DUMMYFUNCTION("""COMPUTED_VALUE"""),"")</f>
        <v/>
      </c>
      <c r="D72" s="27" t="str">
        <f ca="1">IFERROR(__xludf.DUMMYFUNCTION("""COMPUTED_VALUE"""),"")</f>
        <v/>
      </c>
      <c r="E72" s="15" t="str">
        <f ca="1">IFERROR(__xludf.DUMMYFUNCTION("""COMPUTED_VALUE"""),"")</f>
        <v/>
      </c>
      <c r="F72" s="51" t="str">
        <f ca="1">IFERROR(__xludf.DUMMYFUNCTION("""COMPUTED_VALUE"""),"")</f>
        <v/>
      </c>
      <c r="G72" s="16" t="str">
        <f ca="1">IFERROR(__xludf.DUMMYFUNCTION("""COMPUTED_VALUE"""),"")</f>
        <v/>
      </c>
      <c r="H72" s="17" t="str">
        <f ca="1">IFERROR(__xludf.DUMMYFUNCTION("""COMPUTED_VALUE"""),"")</f>
        <v/>
      </c>
      <c r="I72" s="17" t="str">
        <f ca="1">IFERROR(__xludf.DUMMYFUNCTION("""COMPUTED_VALUE"""),"")</f>
        <v/>
      </c>
      <c r="J72" s="17" t="str">
        <f ca="1">IFERROR(__xludf.DUMMYFUNCTION("""COMPUTED_VALUE"""),"")</f>
        <v/>
      </c>
      <c r="K72" s="18" t="str">
        <f ca="1">IFERROR(__xludf.DUMMYFUNCTION("""COMPUTED_VALUE"""),"")</f>
        <v/>
      </c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20"/>
      <c r="W72" s="20"/>
      <c r="X72" s="20"/>
      <c r="Y72" s="20"/>
      <c r="Z72" s="21"/>
      <c r="AA72" s="22"/>
      <c r="AB72" s="23"/>
    </row>
    <row r="73" spans="1:28" ht="13.5" customHeight="1" x14ac:dyDescent="0.35">
      <c r="A73" s="24" t="str">
        <f ca="1">IFERROR(__xludf.DUMMYFUNCTION("""COMPUTED_VALUE"""),"")</f>
        <v/>
      </c>
      <c r="B73" s="28" t="str">
        <f ca="1">IFERROR(__xludf.DUMMYFUNCTION("""COMPUTED_VALUE"""),"")</f>
        <v/>
      </c>
      <c r="C73" s="27" t="str">
        <f ca="1">IFERROR(__xludf.DUMMYFUNCTION("""COMPUTED_VALUE"""),"")</f>
        <v/>
      </c>
      <c r="D73" s="27" t="str">
        <f ca="1">IFERROR(__xludf.DUMMYFUNCTION("""COMPUTED_VALUE"""),"")</f>
        <v/>
      </c>
      <c r="E73" s="15" t="str">
        <f ca="1">IFERROR(__xludf.DUMMYFUNCTION("""COMPUTED_VALUE"""),"")</f>
        <v/>
      </c>
      <c r="F73" s="51" t="str">
        <f ca="1">IFERROR(__xludf.DUMMYFUNCTION("""COMPUTED_VALUE"""),"")</f>
        <v/>
      </c>
      <c r="G73" s="16" t="str">
        <f ca="1">IFERROR(__xludf.DUMMYFUNCTION("""COMPUTED_VALUE"""),"")</f>
        <v/>
      </c>
      <c r="H73" s="17" t="str">
        <f ca="1">IFERROR(__xludf.DUMMYFUNCTION("""COMPUTED_VALUE"""),"")</f>
        <v/>
      </c>
      <c r="I73" s="17" t="str">
        <f ca="1">IFERROR(__xludf.DUMMYFUNCTION("""COMPUTED_VALUE"""),"")</f>
        <v/>
      </c>
      <c r="J73" s="17" t="str">
        <f ca="1">IFERROR(__xludf.DUMMYFUNCTION("""COMPUTED_VALUE"""),"")</f>
        <v/>
      </c>
      <c r="K73" s="18" t="str">
        <f ca="1">IFERROR(__xludf.DUMMYFUNCTION("""COMPUTED_VALUE"""),"")</f>
        <v/>
      </c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20"/>
      <c r="W73" s="20"/>
      <c r="X73" s="20"/>
      <c r="Y73" s="20"/>
      <c r="Z73" s="21"/>
      <c r="AA73" s="22"/>
      <c r="AB73" s="23"/>
    </row>
    <row r="74" spans="1:28" ht="13.5" customHeight="1" x14ac:dyDescent="0.35">
      <c r="A74" s="24" t="str">
        <f ca="1">IFERROR(__xludf.DUMMYFUNCTION("""COMPUTED_VALUE"""),"")</f>
        <v/>
      </c>
      <c r="B74" s="28" t="str">
        <f ca="1">IFERROR(__xludf.DUMMYFUNCTION("""COMPUTED_VALUE"""),"")</f>
        <v/>
      </c>
      <c r="C74" s="27" t="str">
        <f ca="1">IFERROR(__xludf.DUMMYFUNCTION("""COMPUTED_VALUE"""),"")</f>
        <v/>
      </c>
      <c r="D74" s="27" t="str">
        <f ca="1">IFERROR(__xludf.DUMMYFUNCTION("""COMPUTED_VALUE"""),"")</f>
        <v/>
      </c>
      <c r="E74" s="15" t="str">
        <f ca="1">IFERROR(__xludf.DUMMYFUNCTION("""COMPUTED_VALUE"""),"")</f>
        <v/>
      </c>
      <c r="F74" s="51" t="str">
        <f ca="1">IFERROR(__xludf.DUMMYFUNCTION("""COMPUTED_VALUE"""),"")</f>
        <v/>
      </c>
      <c r="G74" s="16" t="str">
        <f ca="1">IFERROR(__xludf.DUMMYFUNCTION("""COMPUTED_VALUE"""),"")</f>
        <v/>
      </c>
      <c r="H74" s="17" t="str">
        <f ca="1">IFERROR(__xludf.DUMMYFUNCTION("""COMPUTED_VALUE"""),"")</f>
        <v/>
      </c>
      <c r="I74" s="17" t="str">
        <f ca="1">IFERROR(__xludf.DUMMYFUNCTION("""COMPUTED_VALUE"""),"")</f>
        <v/>
      </c>
      <c r="J74" s="17" t="str">
        <f ca="1">IFERROR(__xludf.DUMMYFUNCTION("""COMPUTED_VALUE"""),"")</f>
        <v/>
      </c>
      <c r="K74" s="18" t="str">
        <f ca="1">IFERROR(__xludf.DUMMYFUNCTION("""COMPUTED_VALUE"""),"")</f>
        <v/>
      </c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20"/>
      <c r="W74" s="20"/>
      <c r="X74" s="20"/>
      <c r="Y74" s="20"/>
      <c r="Z74" s="21"/>
      <c r="AA74" s="22"/>
      <c r="AB74" s="23"/>
    </row>
    <row r="75" spans="1:28" ht="13.5" customHeight="1" x14ac:dyDescent="0.35">
      <c r="A75" s="24" t="str">
        <f ca="1">IFERROR(__xludf.DUMMYFUNCTION("""COMPUTED_VALUE"""),"")</f>
        <v/>
      </c>
      <c r="B75" s="28" t="str">
        <f ca="1">IFERROR(__xludf.DUMMYFUNCTION("""COMPUTED_VALUE"""),"")</f>
        <v/>
      </c>
      <c r="C75" s="27" t="str">
        <f ca="1">IFERROR(__xludf.DUMMYFUNCTION("""COMPUTED_VALUE"""),"")</f>
        <v/>
      </c>
      <c r="D75" s="27" t="str">
        <f ca="1">IFERROR(__xludf.DUMMYFUNCTION("""COMPUTED_VALUE"""),"")</f>
        <v/>
      </c>
      <c r="E75" s="15" t="str">
        <f ca="1">IFERROR(__xludf.DUMMYFUNCTION("""COMPUTED_VALUE"""),"")</f>
        <v/>
      </c>
      <c r="F75" s="51" t="str">
        <f ca="1">IFERROR(__xludf.DUMMYFUNCTION("""COMPUTED_VALUE"""),"")</f>
        <v/>
      </c>
      <c r="G75" s="16" t="str">
        <f ca="1">IFERROR(__xludf.DUMMYFUNCTION("""COMPUTED_VALUE"""),"")</f>
        <v/>
      </c>
      <c r="H75" s="17" t="str">
        <f ca="1">IFERROR(__xludf.DUMMYFUNCTION("""COMPUTED_VALUE"""),"")</f>
        <v/>
      </c>
      <c r="I75" s="17" t="str">
        <f ca="1">IFERROR(__xludf.DUMMYFUNCTION("""COMPUTED_VALUE"""),"")</f>
        <v/>
      </c>
      <c r="J75" s="17" t="str">
        <f ca="1">IFERROR(__xludf.DUMMYFUNCTION("""COMPUTED_VALUE"""),"")</f>
        <v/>
      </c>
      <c r="K75" s="18" t="str">
        <f ca="1">IFERROR(__xludf.DUMMYFUNCTION("""COMPUTED_VALUE"""),"")</f>
        <v/>
      </c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20"/>
      <c r="W75" s="20"/>
      <c r="X75" s="20"/>
      <c r="Y75" s="20"/>
      <c r="Z75" s="21"/>
      <c r="AA75" s="22"/>
      <c r="AB75" s="23"/>
    </row>
    <row r="76" spans="1:28" ht="13.5" customHeight="1" x14ac:dyDescent="0.35">
      <c r="A76" s="24" t="str">
        <f ca="1">IFERROR(__xludf.DUMMYFUNCTION("""COMPUTED_VALUE"""),"")</f>
        <v/>
      </c>
      <c r="B76" s="28" t="str">
        <f ca="1">IFERROR(__xludf.DUMMYFUNCTION("""COMPUTED_VALUE"""),"")</f>
        <v/>
      </c>
      <c r="C76" s="27" t="str">
        <f ca="1">IFERROR(__xludf.DUMMYFUNCTION("""COMPUTED_VALUE"""),"")</f>
        <v/>
      </c>
      <c r="D76" s="27" t="str">
        <f ca="1">IFERROR(__xludf.DUMMYFUNCTION("""COMPUTED_VALUE"""),"")</f>
        <v/>
      </c>
      <c r="E76" s="15" t="str">
        <f ca="1">IFERROR(__xludf.DUMMYFUNCTION("""COMPUTED_VALUE"""),"")</f>
        <v/>
      </c>
      <c r="F76" s="51" t="str">
        <f ca="1">IFERROR(__xludf.DUMMYFUNCTION("""COMPUTED_VALUE"""),"")</f>
        <v/>
      </c>
      <c r="G76" s="16" t="str">
        <f ca="1">IFERROR(__xludf.DUMMYFUNCTION("""COMPUTED_VALUE"""),"")</f>
        <v/>
      </c>
      <c r="H76" s="17" t="str">
        <f ca="1">IFERROR(__xludf.DUMMYFUNCTION("""COMPUTED_VALUE"""),"")</f>
        <v/>
      </c>
      <c r="I76" s="17" t="str">
        <f ca="1">IFERROR(__xludf.DUMMYFUNCTION("""COMPUTED_VALUE"""),"")</f>
        <v/>
      </c>
      <c r="J76" s="17" t="str">
        <f ca="1">IFERROR(__xludf.DUMMYFUNCTION("""COMPUTED_VALUE"""),"")</f>
        <v/>
      </c>
      <c r="K76" s="18" t="str">
        <f ca="1">IFERROR(__xludf.DUMMYFUNCTION("""COMPUTED_VALUE"""),"")</f>
        <v/>
      </c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20"/>
      <c r="W76" s="20"/>
      <c r="X76" s="20"/>
      <c r="Y76" s="20"/>
      <c r="Z76" s="21"/>
      <c r="AA76" s="22"/>
      <c r="AB76" s="23"/>
    </row>
    <row r="77" spans="1:28" ht="13.5" customHeight="1" x14ac:dyDescent="0.35">
      <c r="A77" s="24" t="str">
        <f ca="1">IFERROR(__xludf.DUMMYFUNCTION("""COMPUTED_VALUE"""),"")</f>
        <v/>
      </c>
      <c r="B77" s="28" t="str">
        <f ca="1">IFERROR(__xludf.DUMMYFUNCTION("""COMPUTED_VALUE"""),"")</f>
        <v/>
      </c>
      <c r="C77" s="27" t="str">
        <f ca="1">IFERROR(__xludf.DUMMYFUNCTION("""COMPUTED_VALUE"""),"")</f>
        <v/>
      </c>
      <c r="D77" s="27" t="str">
        <f ca="1">IFERROR(__xludf.DUMMYFUNCTION("""COMPUTED_VALUE"""),"")</f>
        <v/>
      </c>
      <c r="E77" s="15" t="str">
        <f ca="1">IFERROR(__xludf.DUMMYFUNCTION("""COMPUTED_VALUE"""),"")</f>
        <v/>
      </c>
      <c r="F77" s="51" t="str">
        <f ca="1">IFERROR(__xludf.DUMMYFUNCTION("""COMPUTED_VALUE"""),"")</f>
        <v/>
      </c>
      <c r="G77" s="16" t="str">
        <f ca="1">IFERROR(__xludf.DUMMYFUNCTION("""COMPUTED_VALUE"""),"")</f>
        <v/>
      </c>
      <c r="H77" s="17" t="str">
        <f ca="1">IFERROR(__xludf.DUMMYFUNCTION("""COMPUTED_VALUE"""),"")</f>
        <v/>
      </c>
      <c r="I77" s="17" t="str">
        <f ca="1">IFERROR(__xludf.DUMMYFUNCTION("""COMPUTED_VALUE"""),"")</f>
        <v/>
      </c>
      <c r="J77" s="17" t="str">
        <f ca="1">IFERROR(__xludf.DUMMYFUNCTION("""COMPUTED_VALUE"""),"")</f>
        <v/>
      </c>
      <c r="K77" s="18" t="str">
        <f ca="1">IFERROR(__xludf.DUMMYFUNCTION("""COMPUTED_VALUE"""),"")</f>
        <v/>
      </c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20"/>
      <c r="W77" s="20"/>
      <c r="X77" s="20"/>
      <c r="Y77" s="20"/>
      <c r="Z77" s="21"/>
      <c r="AA77" s="22"/>
      <c r="AB77" s="23"/>
    </row>
    <row r="78" spans="1:28" ht="13.5" customHeight="1" x14ac:dyDescent="0.35">
      <c r="A78" s="24" t="str">
        <f ca="1">IFERROR(__xludf.DUMMYFUNCTION("""COMPUTED_VALUE"""),"")</f>
        <v/>
      </c>
      <c r="B78" s="28" t="str">
        <f ca="1">IFERROR(__xludf.DUMMYFUNCTION("""COMPUTED_VALUE"""),"")</f>
        <v/>
      </c>
      <c r="C78" s="27" t="str">
        <f ca="1">IFERROR(__xludf.DUMMYFUNCTION("""COMPUTED_VALUE"""),"")</f>
        <v/>
      </c>
      <c r="D78" s="27" t="str">
        <f ca="1">IFERROR(__xludf.DUMMYFUNCTION("""COMPUTED_VALUE"""),"")</f>
        <v/>
      </c>
      <c r="E78" s="15" t="str">
        <f ca="1">IFERROR(__xludf.DUMMYFUNCTION("""COMPUTED_VALUE"""),"")</f>
        <v/>
      </c>
      <c r="F78" s="51" t="str">
        <f ca="1">IFERROR(__xludf.DUMMYFUNCTION("""COMPUTED_VALUE"""),"")</f>
        <v/>
      </c>
      <c r="G78" s="16" t="str">
        <f ca="1">IFERROR(__xludf.DUMMYFUNCTION("""COMPUTED_VALUE"""),"")</f>
        <v/>
      </c>
      <c r="H78" s="17" t="str">
        <f ca="1">IFERROR(__xludf.DUMMYFUNCTION("""COMPUTED_VALUE"""),"")</f>
        <v/>
      </c>
      <c r="I78" s="17" t="str">
        <f ca="1">IFERROR(__xludf.DUMMYFUNCTION("""COMPUTED_VALUE"""),"")</f>
        <v/>
      </c>
      <c r="J78" s="17" t="str">
        <f ca="1">IFERROR(__xludf.DUMMYFUNCTION("""COMPUTED_VALUE"""),"")</f>
        <v/>
      </c>
      <c r="K78" s="18" t="str">
        <f ca="1">IFERROR(__xludf.DUMMYFUNCTION("""COMPUTED_VALUE"""),"")</f>
        <v/>
      </c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20"/>
      <c r="W78" s="20"/>
      <c r="X78" s="20"/>
      <c r="Y78" s="20"/>
      <c r="Z78" s="21"/>
      <c r="AA78" s="22"/>
      <c r="AB78" s="23"/>
    </row>
    <row r="79" spans="1:28" ht="13.5" customHeight="1" x14ac:dyDescent="0.35">
      <c r="A79" s="24" t="str">
        <f ca="1">IFERROR(__xludf.DUMMYFUNCTION("""COMPUTED_VALUE"""),"")</f>
        <v/>
      </c>
      <c r="B79" s="28" t="str">
        <f ca="1">IFERROR(__xludf.DUMMYFUNCTION("""COMPUTED_VALUE"""),"")</f>
        <v/>
      </c>
      <c r="C79" s="27" t="str">
        <f ca="1">IFERROR(__xludf.DUMMYFUNCTION("""COMPUTED_VALUE"""),"")</f>
        <v/>
      </c>
      <c r="D79" s="27" t="str">
        <f ca="1">IFERROR(__xludf.DUMMYFUNCTION("""COMPUTED_VALUE"""),"")</f>
        <v/>
      </c>
      <c r="E79" s="15" t="str">
        <f ca="1">IFERROR(__xludf.DUMMYFUNCTION("""COMPUTED_VALUE"""),"")</f>
        <v/>
      </c>
      <c r="F79" s="51" t="str">
        <f ca="1">IFERROR(__xludf.DUMMYFUNCTION("""COMPUTED_VALUE"""),"")</f>
        <v/>
      </c>
      <c r="G79" s="16" t="str">
        <f ca="1">IFERROR(__xludf.DUMMYFUNCTION("""COMPUTED_VALUE"""),"")</f>
        <v/>
      </c>
      <c r="H79" s="17" t="str">
        <f ca="1">IFERROR(__xludf.DUMMYFUNCTION("""COMPUTED_VALUE"""),"")</f>
        <v/>
      </c>
      <c r="I79" s="17" t="str">
        <f ca="1">IFERROR(__xludf.DUMMYFUNCTION("""COMPUTED_VALUE"""),"")</f>
        <v/>
      </c>
      <c r="J79" s="17" t="str">
        <f ca="1">IFERROR(__xludf.DUMMYFUNCTION("""COMPUTED_VALUE"""),"")</f>
        <v/>
      </c>
      <c r="K79" s="18" t="str">
        <f ca="1">IFERROR(__xludf.DUMMYFUNCTION("""COMPUTED_VALUE"""),"")</f>
        <v/>
      </c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20"/>
      <c r="W79" s="20"/>
      <c r="X79" s="20"/>
      <c r="Y79" s="20"/>
      <c r="Z79" s="21"/>
      <c r="AA79" s="22"/>
      <c r="AB79" s="23"/>
    </row>
    <row r="80" spans="1:28" ht="13.5" customHeight="1" x14ac:dyDescent="0.35">
      <c r="A80" s="24" t="str">
        <f ca="1">IFERROR(__xludf.DUMMYFUNCTION("""COMPUTED_VALUE"""),"")</f>
        <v/>
      </c>
      <c r="B80" s="28" t="str">
        <f ca="1">IFERROR(__xludf.DUMMYFUNCTION("""COMPUTED_VALUE"""),"")</f>
        <v/>
      </c>
      <c r="C80" s="27" t="str">
        <f ca="1">IFERROR(__xludf.DUMMYFUNCTION("""COMPUTED_VALUE"""),"")</f>
        <v/>
      </c>
      <c r="D80" s="27" t="str">
        <f ca="1">IFERROR(__xludf.DUMMYFUNCTION("""COMPUTED_VALUE"""),"")</f>
        <v/>
      </c>
      <c r="E80" s="15" t="str">
        <f ca="1">IFERROR(__xludf.DUMMYFUNCTION("""COMPUTED_VALUE"""),"")</f>
        <v/>
      </c>
      <c r="F80" s="51" t="str">
        <f ca="1">IFERROR(__xludf.DUMMYFUNCTION("""COMPUTED_VALUE"""),"")</f>
        <v/>
      </c>
      <c r="G80" s="16" t="str">
        <f ca="1">IFERROR(__xludf.DUMMYFUNCTION("""COMPUTED_VALUE"""),"")</f>
        <v/>
      </c>
      <c r="H80" s="17" t="str">
        <f ca="1">IFERROR(__xludf.DUMMYFUNCTION("""COMPUTED_VALUE"""),"")</f>
        <v/>
      </c>
      <c r="I80" s="17" t="str">
        <f ca="1">IFERROR(__xludf.DUMMYFUNCTION("""COMPUTED_VALUE"""),"")</f>
        <v/>
      </c>
      <c r="J80" s="17" t="str">
        <f ca="1">IFERROR(__xludf.DUMMYFUNCTION("""COMPUTED_VALUE"""),"")</f>
        <v/>
      </c>
      <c r="K80" s="18" t="str">
        <f ca="1">IFERROR(__xludf.DUMMYFUNCTION("""COMPUTED_VALUE"""),"")</f>
        <v/>
      </c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20"/>
      <c r="W80" s="20"/>
      <c r="X80" s="20"/>
      <c r="Y80" s="20"/>
      <c r="Z80" s="21"/>
      <c r="AA80" s="22"/>
      <c r="AB80" s="23"/>
    </row>
    <row r="81" spans="1:28" ht="13.5" customHeight="1" x14ac:dyDescent="0.35">
      <c r="A81" s="24" t="str">
        <f ca="1">IFERROR(__xludf.DUMMYFUNCTION("""COMPUTED_VALUE"""),"")</f>
        <v/>
      </c>
      <c r="B81" s="28" t="str">
        <f ca="1">IFERROR(__xludf.DUMMYFUNCTION("""COMPUTED_VALUE"""),"")</f>
        <v/>
      </c>
      <c r="C81" s="27" t="str">
        <f ca="1">IFERROR(__xludf.DUMMYFUNCTION("""COMPUTED_VALUE"""),"")</f>
        <v/>
      </c>
      <c r="D81" s="27" t="str">
        <f ca="1">IFERROR(__xludf.DUMMYFUNCTION("""COMPUTED_VALUE"""),"")</f>
        <v/>
      </c>
      <c r="E81" s="15" t="str">
        <f ca="1">IFERROR(__xludf.DUMMYFUNCTION("""COMPUTED_VALUE"""),"")</f>
        <v/>
      </c>
      <c r="F81" s="51" t="str">
        <f ca="1">IFERROR(__xludf.DUMMYFUNCTION("""COMPUTED_VALUE"""),"")</f>
        <v/>
      </c>
      <c r="G81" s="16" t="str">
        <f ca="1">IFERROR(__xludf.DUMMYFUNCTION("""COMPUTED_VALUE"""),"")</f>
        <v/>
      </c>
      <c r="H81" s="17" t="str">
        <f ca="1">IFERROR(__xludf.DUMMYFUNCTION("""COMPUTED_VALUE"""),"")</f>
        <v/>
      </c>
      <c r="I81" s="17" t="str">
        <f ca="1">IFERROR(__xludf.DUMMYFUNCTION("""COMPUTED_VALUE"""),"")</f>
        <v/>
      </c>
      <c r="J81" s="17" t="str">
        <f ca="1">IFERROR(__xludf.DUMMYFUNCTION("""COMPUTED_VALUE"""),"")</f>
        <v/>
      </c>
      <c r="K81" s="18" t="str">
        <f ca="1">IFERROR(__xludf.DUMMYFUNCTION("""COMPUTED_VALUE"""),"")</f>
        <v/>
      </c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20"/>
      <c r="W81" s="20"/>
      <c r="X81" s="20"/>
      <c r="Y81" s="20"/>
      <c r="Z81" s="21"/>
      <c r="AA81" s="22"/>
      <c r="AB81" s="23"/>
    </row>
    <row r="82" spans="1:28" ht="13.5" customHeight="1" x14ac:dyDescent="0.35">
      <c r="A82" s="24" t="str">
        <f ca="1">IFERROR(__xludf.DUMMYFUNCTION("""COMPUTED_VALUE"""),"")</f>
        <v/>
      </c>
      <c r="B82" s="28" t="str">
        <f ca="1">IFERROR(__xludf.DUMMYFUNCTION("""COMPUTED_VALUE"""),"")</f>
        <v/>
      </c>
      <c r="C82" s="27" t="str">
        <f ca="1">IFERROR(__xludf.DUMMYFUNCTION("""COMPUTED_VALUE"""),"")</f>
        <v/>
      </c>
      <c r="D82" s="27" t="str">
        <f ca="1">IFERROR(__xludf.DUMMYFUNCTION("""COMPUTED_VALUE"""),"")</f>
        <v/>
      </c>
      <c r="E82" s="15" t="str">
        <f ca="1">IFERROR(__xludf.DUMMYFUNCTION("""COMPUTED_VALUE"""),"")</f>
        <v/>
      </c>
      <c r="F82" s="51" t="str">
        <f ca="1">IFERROR(__xludf.DUMMYFUNCTION("""COMPUTED_VALUE"""),"")</f>
        <v/>
      </c>
      <c r="G82" s="16" t="str">
        <f ca="1">IFERROR(__xludf.DUMMYFUNCTION("""COMPUTED_VALUE"""),"")</f>
        <v/>
      </c>
      <c r="H82" s="17" t="str">
        <f ca="1">IFERROR(__xludf.DUMMYFUNCTION("""COMPUTED_VALUE"""),"")</f>
        <v/>
      </c>
      <c r="I82" s="17" t="str">
        <f ca="1">IFERROR(__xludf.DUMMYFUNCTION("""COMPUTED_VALUE"""),"")</f>
        <v/>
      </c>
      <c r="J82" s="17" t="str">
        <f ca="1">IFERROR(__xludf.DUMMYFUNCTION("""COMPUTED_VALUE"""),"")</f>
        <v/>
      </c>
      <c r="K82" s="18" t="str">
        <f ca="1">IFERROR(__xludf.DUMMYFUNCTION("""COMPUTED_VALUE"""),"")</f>
        <v/>
      </c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20"/>
      <c r="W82" s="20"/>
      <c r="X82" s="20"/>
      <c r="Y82" s="20"/>
      <c r="Z82" s="21"/>
      <c r="AA82" s="22"/>
      <c r="AB82" s="23"/>
    </row>
    <row r="83" spans="1:28" ht="13.5" customHeight="1" x14ac:dyDescent="0.35">
      <c r="A83" s="24" t="str">
        <f ca="1">IFERROR(__xludf.DUMMYFUNCTION("""COMPUTED_VALUE"""),"")</f>
        <v/>
      </c>
      <c r="B83" s="28" t="str">
        <f ca="1">IFERROR(__xludf.DUMMYFUNCTION("""COMPUTED_VALUE"""),"")</f>
        <v/>
      </c>
      <c r="C83" s="27" t="str">
        <f ca="1">IFERROR(__xludf.DUMMYFUNCTION("""COMPUTED_VALUE"""),"")</f>
        <v/>
      </c>
      <c r="D83" s="27" t="str">
        <f ca="1">IFERROR(__xludf.DUMMYFUNCTION("""COMPUTED_VALUE"""),"")</f>
        <v/>
      </c>
      <c r="E83" s="15" t="str">
        <f ca="1">IFERROR(__xludf.DUMMYFUNCTION("""COMPUTED_VALUE"""),"")</f>
        <v/>
      </c>
      <c r="F83" s="51" t="str">
        <f ca="1">IFERROR(__xludf.DUMMYFUNCTION("""COMPUTED_VALUE"""),"")</f>
        <v/>
      </c>
      <c r="G83" s="16" t="str">
        <f ca="1">IFERROR(__xludf.DUMMYFUNCTION("""COMPUTED_VALUE"""),"")</f>
        <v/>
      </c>
      <c r="H83" s="17" t="str">
        <f ca="1">IFERROR(__xludf.DUMMYFUNCTION("""COMPUTED_VALUE"""),"")</f>
        <v/>
      </c>
      <c r="I83" s="17" t="str">
        <f ca="1">IFERROR(__xludf.DUMMYFUNCTION("""COMPUTED_VALUE"""),"")</f>
        <v/>
      </c>
      <c r="J83" s="17" t="str">
        <f ca="1">IFERROR(__xludf.DUMMYFUNCTION("""COMPUTED_VALUE"""),"")</f>
        <v/>
      </c>
      <c r="K83" s="18" t="str">
        <f ca="1">IFERROR(__xludf.DUMMYFUNCTION("""COMPUTED_VALUE"""),"")</f>
        <v/>
      </c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20"/>
      <c r="W83" s="20"/>
      <c r="X83" s="20"/>
      <c r="Y83" s="20"/>
      <c r="Z83" s="21"/>
      <c r="AA83" s="22"/>
      <c r="AB83" s="23"/>
    </row>
    <row r="84" spans="1:28" ht="13.5" customHeight="1" x14ac:dyDescent="0.35">
      <c r="A84" s="24" t="str">
        <f ca="1">IFERROR(__xludf.DUMMYFUNCTION("""COMPUTED_VALUE"""),"")</f>
        <v/>
      </c>
      <c r="B84" s="28" t="str">
        <f ca="1">IFERROR(__xludf.DUMMYFUNCTION("""COMPUTED_VALUE"""),"")</f>
        <v/>
      </c>
      <c r="C84" s="27" t="str">
        <f ca="1">IFERROR(__xludf.DUMMYFUNCTION("""COMPUTED_VALUE"""),"")</f>
        <v/>
      </c>
      <c r="D84" s="27" t="str">
        <f ca="1">IFERROR(__xludf.DUMMYFUNCTION("""COMPUTED_VALUE"""),"")</f>
        <v/>
      </c>
      <c r="E84" s="15" t="str">
        <f ca="1">IFERROR(__xludf.DUMMYFUNCTION("""COMPUTED_VALUE"""),"")</f>
        <v/>
      </c>
      <c r="F84" s="51" t="str">
        <f ca="1">IFERROR(__xludf.DUMMYFUNCTION("""COMPUTED_VALUE"""),"")</f>
        <v/>
      </c>
      <c r="G84" s="16" t="str">
        <f ca="1">IFERROR(__xludf.DUMMYFUNCTION("""COMPUTED_VALUE"""),"")</f>
        <v/>
      </c>
      <c r="H84" s="17" t="str">
        <f ca="1">IFERROR(__xludf.DUMMYFUNCTION("""COMPUTED_VALUE"""),"")</f>
        <v/>
      </c>
      <c r="I84" s="17" t="str">
        <f ca="1">IFERROR(__xludf.DUMMYFUNCTION("""COMPUTED_VALUE"""),"")</f>
        <v/>
      </c>
      <c r="J84" s="17" t="str">
        <f ca="1">IFERROR(__xludf.DUMMYFUNCTION("""COMPUTED_VALUE"""),"")</f>
        <v/>
      </c>
      <c r="K84" s="18" t="str">
        <f ca="1">IFERROR(__xludf.DUMMYFUNCTION("""COMPUTED_VALUE"""),"")</f>
        <v/>
      </c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20"/>
      <c r="W84" s="20"/>
      <c r="X84" s="20"/>
      <c r="Y84" s="20"/>
      <c r="Z84" s="21"/>
      <c r="AA84" s="22"/>
      <c r="AB84" s="23"/>
    </row>
    <row r="85" spans="1:28" ht="13.5" customHeight="1" x14ac:dyDescent="0.35">
      <c r="A85" s="24" t="str">
        <f ca="1">IFERROR(__xludf.DUMMYFUNCTION("""COMPUTED_VALUE"""),"")</f>
        <v/>
      </c>
      <c r="B85" s="28" t="str">
        <f ca="1">IFERROR(__xludf.DUMMYFUNCTION("""COMPUTED_VALUE"""),"")</f>
        <v/>
      </c>
      <c r="C85" s="27" t="str">
        <f ca="1">IFERROR(__xludf.DUMMYFUNCTION("""COMPUTED_VALUE"""),"")</f>
        <v/>
      </c>
      <c r="D85" s="27" t="str">
        <f ca="1">IFERROR(__xludf.DUMMYFUNCTION("""COMPUTED_VALUE"""),"")</f>
        <v/>
      </c>
      <c r="E85" s="15" t="str">
        <f ca="1">IFERROR(__xludf.DUMMYFUNCTION("""COMPUTED_VALUE"""),"")</f>
        <v/>
      </c>
      <c r="F85" s="51" t="str">
        <f ca="1">IFERROR(__xludf.DUMMYFUNCTION("""COMPUTED_VALUE"""),"")</f>
        <v/>
      </c>
      <c r="G85" s="16" t="str">
        <f ca="1">IFERROR(__xludf.DUMMYFUNCTION("""COMPUTED_VALUE"""),"")</f>
        <v/>
      </c>
      <c r="H85" s="17" t="str">
        <f ca="1">IFERROR(__xludf.DUMMYFUNCTION("""COMPUTED_VALUE"""),"")</f>
        <v/>
      </c>
      <c r="I85" s="17" t="str">
        <f ca="1">IFERROR(__xludf.DUMMYFUNCTION("""COMPUTED_VALUE"""),"")</f>
        <v/>
      </c>
      <c r="J85" s="17" t="str">
        <f ca="1">IFERROR(__xludf.DUMMYFUNCTION("""COMPUTED_VALUE"""),"")</f>
        <v/>
      </c>
      <c r="K85" s="18" t="str">
        <f ca="1">IFERROR(__xludf.DUMMYFUNCTION("""COMPUTED_VALUE"""),"")</f>
        <v/>
      </c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20"/>
      <c r="W85" s="20"/>
      <c r="X85" s="20"/>
      <c r="Y85" s="20"/>
      <c r="Z85" s="21"/>
      <c r="AA85" s="22"/>
      <c r="AB85" s="23"/>
    </row>
    <row r="86" spans="1:28" ht="13.5" customHeight="1" x14ac:dyDescent="0.35">
      <c r="A86" s="24" t="str">
        <f ca="1">IFERROR(__xludf.DUMMYFUNCTION("""COMPUTED_VALUE"""),"")</f>
        <v/>
      </c>
      <c r="B86" s="28" t="str">
        <f ca="1">IFERROR(__xludf.DUMMYFUNCTION("""COMPUTED_VALUE"""),"")</f>
        <v/>
      </c>
      <c r="C86" s="27" t="str">
        <f ca="1">IFERROR(__xludf.DUMMYFUNCTION("""COMPUTED_VALUE"""),"")</f>
        <v/>
      </c>
      <c r="D86" s="27" t="str">
        <f ca="1">IFERROR(__xludf.DUMMYFUNCTION("""COMPUTED_VALUE"""),"")</f>
        <v/>
      </c>
      <c r="E86" s="15" t="str">
        <f ca="1">IFERROR(__xludf.DUMMYFUNCTION("""COMPUTED_VALUE"""),"")</f>
        <v/>
      </c>
      <c r="F86" s="51" t="str">
        <f ca="1">IFERROR(__xludf.DUMMYFUNCTION("""COMPUTED_VALUE"""),"")</f>
        <v/>
      </c>
      <c r="G86" s="16" t="str">
        <f ca="1">IFERROR(__xludf.DUMMYFUNCTION("""COMPUTED_VALUE"""),"")</f>
        <v/>
      </c>
      <c r="H86" s="17" t="str">
        <f ca="1">IFERROR(__xludf.DUMMYFUNCTION("""COMPUTED_VALUE"""),"")</f>
        <v/>
      </c>
      <c r="I86" s="17" t="str">
        <f ca="1">IFERROR(__xludf.DUMMYFUNCTION("""COMPUTED_VALUE"""),"")</f>
        <v/>
      </c>
      <c r="J86" s="17" t="str">
        <f ca="1">IFERROR(__xludf.DUMMYFUNCTION("""COMPUTED_VALUE"""),"")</f>
        <v/>
      </c>
      <c r="K86" s="18" t="str">
        <f ca="1">IFERROR(__xludf.DUMMYFUNCTION("""COMPUTED_VALUE"""),"")</f>
        <v/>
      </c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20"/>
      <c r="W86" s="20"/>
      <c r="X86" s="20"/>
      <c r="Y86" s="20"/>
      <c r="Z86" s="21"/>
      <c r="AA86" s="22"/>
      <c r="AB86" s="23"/>
    </row>
    <row r="87" spans="1:28" ht="13.5" customHeight="1" x14ac:dyDescent="0.35">
      <c r="A87" s="24" t="str">
        <f ca="1">IFERROR(__xludf.DUMMYFUNCTION("""COMPUTED_VALUE"""),"")</f>
        <v/>
      </c>
      <c r="B87" s="28" t="str">
        <f ca="1">IFERROR(__xludf.DUMMYFUNCTION("""COMPUTED_VALUE"""),"")</f>
        <v/>
      </c>
      <c r="C87" s="27" t="str">
        <f ca="1">IFERROR(__xludf.DUMMYFUNCTION("""COMPUTED_VALUE"""),"")</f>
        <v/>
      </c>
      <c r="D87" s="27" t="str">
        <f ca="1">IFERROR(__xludf.DUMMYFUNCTION("""COMPUTED_VALUE"""),"")</f>
        <v/>
      </c>
      <c r="E87" s="15" t="str">
        <f ca="1">IFERROR(__xludf.DUMMYFUNCTION("""COMPUTED_VALUE"""),"")</f>
        <v/>
      </c>
      <c r="F87" s="51" t="str">
        <f ca="1">IFERROR(__xludf.DUMMYFUNCTION("""COMPUTED_VALUE"""),"")</f>
        <v/>
      </c>
      <c r="G87" s="16" t="str">
        <f ca="1">IFERROR(__xludf.DUMMYFUNCTION("""COMPUTED_VALUE"""),"")</f>
        <v/>
      </c>
      <c r="H87" s="17" t="str">
        <f ca="1">IFERROR(__xludf.DUMMYFUNCTION("""COMPUTED_VALUE"""),"")</f>
        <v/>
      </c>
      <c r="I87" s="17" t="str">
        <f ca="1">IFERROR(__xludf.DUMMYFUNCTION("""COMPUTED_VALUE"""),"")</f>
        <v/>
      </c>
      <c r="J87" s="17" t="str">
        <f ca="1">IFERROR(__xludf.DUMMYFUNCTION("""COMPUTED_VALUE"""),"")</f>
        <v/>
      </c>
      <c r="K87" s="18" t="str">
        <f ca="1">IFERROR(__xludf.DUMMYFUNCTION("""COMPUTED_VALUE"""),"")</f>
        <v/>
      </c>
      <c r="L87" s="19"/>
      <c r="M87" s="19"/>
      <c r="N87" s="19"/>
      <c r="O87" s="19"/>
      <c r="P87" s="19"/>
      <c r="Q87" s="19"/>
      <c r="R87" s="19"/>
      <c r="S87" s="19"/>
      <c r="T87" s="19"/>
      <c r="U87" s="19"/>
      <c r="V87" s="20"/>
      <c r="W87" s="20"/>
      <c r="X87" s="20"/>
      <c r="Y87" s="20"/>
      <c r="Z87" s="21"/>
      <c r="AA87" s="22"/>
      <c r="AB87" s="23"/>
    </row>
    <row r="88" spans="1:28" ht="13.5" customHeight="1" x14ac:dyDescent="0.35">
      <c r="A88" s="24" t="str">
        <f ca="1">IFERROR(__xludf.DUMMYFUNCTION("""COMPUTED_VALUE"""),"")</f>
        <v/>
      </c>
      <c r="B88" s="28" t="str">
        <f ca="1">IFERROR(__xludf.DUMMYFUNCTION("""COMPUTED_VALUE"""),"")</f>
        <v/>
      </c>
      <c r="C88" s="27" t="str">
        <f ca="1">IFERROR(__xludf.DUMMYFUNCTION("""COMPUTED_VALUE"""),"")</f>
        <v/>
      </c>
      <c r="D88" s="27" t="str">
        <f ca="1">IFERROR(__xludf.DUMMYFUNCTION("""COMPUTED_VALUE"""),"")</f>
        <v/>
      </c>
      <c r="E88" s="15" t="str">
        <f ca="1">IFERROR(__xludf.DUMMYFUNCTION("""COMPUTED_VALUE"""),"")</f>
        <v/>
      </c>
      <c r="F88" s="51" t="str">
        <f ca="1">IFERROR(__xludf.DUMMYFUNCTION("""COMPUTED_VALUE"""),"")</f>
        <v/>
      </c>
      <c r="G88" s="16" t="str">
        <f ca="1">IFERROR(__xludf.DUMMYFUNCTION("""COMPUTED_VALUE"""),"")</f>
        <v/>
      </c>
      <c r="H88" s="17" t="str">
        <f ca="1">IFERROR(__xludf.DUMMYFUNCTION("""COMPUTED_VALUE"""),"")</f>
        <v/>
      </c>
      <c r="I88" s="17" t="str">
        <f ca="1">IFERROR(__xludf.DUMMYFUNCTION("""COMPUTED_VALUE"""),"")</f>
        <v/>
      </c>
      <c r="J88" s="17" t="str">
        <f ca="1">IFERROR(__xludf.DUMMYFUNCTION("""COMPUTED_VALUE"""),"")</f>
        <v/>
      </c>
      <c r="K88" s="18" t="str">
        <f ca="1">IFERROR(__xludf.DUMMYFUNCTION("""COMPUTED_VALUE"""),"")</f>
        <v/>
      </c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20"/>
      <c r="W88" s="20"/>
      <c r="X88" s="20"/>
      <c r="Y88" s="20"/>
      <c r="Z88" s="21"/>
      <c r="AA88" s="22"/>
      <c r="AB88" s="23"/>
    </row>
    <row r="89" spans="1:28" ht="13.5" customHeight="1" x14ac:dyDescent="0.35">
      <c r="A89" s="24" t="str">
        <f ca="1">IFERROR(__xludf.DUMMYFUNCTION("""COMPUTED_VALUE"""),"")</f>
        <v/>
      </c>
      <c r="B89" s="28" t="str">
        <f ca="1">IFERROR(__xludf.DUMMYFUNCTION("""COMPUTED_VALUE"""),"")</f>
        <v/>
      </c>
      <c r="C89" s="27" t="str">
        <f ca="1">IFERROR(__xludf.DUMMYFUNCTION("""COMPUTED_VALUE"""),"")</f>
        <v/>
      </c>
      <c r="D89" s="27" t="str">
        <f ca="1">IFERROR(__xludf.DUMMYFUNCTION("""COMPUTED_VALUE"""),"")</f>
        <v/>
      </c>
      <c r="E89" s="15" t="str">
        <f ca="1">IFERROR(__xludf.DUMMYFUNCTION("""COMPUTED_VALUE"""),"")</f>
        <v/>
      </c>
      <c r="F89" s="51" t="str">
        <f ca="1">IFERROR(__xludf.DUMMYFUNCTION("""COMPUTED_VALUE"""),"")</f>
        <v/>
      </c>
      <c r="G89" s="16" t="str">
        <f ca="1">IFERROR(__xludf.DUMMYFUNCTION("""COMPUTED_VALUE"""),"")</f>
        <v/>
      </c>
      <c r="H89" s="17" t="str">
        <f ca="1">IFERROR(__xludf.DUMMYFUNCTION("""COMPUTED_VALUE"""),"")</f>
        <v/>
      </c>
      <c r="I89" s="17" t="str">
        <f ca="1">IFERROR(__xludf.DUMMYFUNCTION("""COMPUTED_VALUE"""),"")</f>
        <v/>
      </c>
      <c r="J89" s="17" t="str">
        <f ca="1">IFERROR(__xludf.DUMMYFUNCTION("""COMPUTED_VALUE"""),"")</f>
        <v/>
      </c>
      <c r="K89" s="18" t="str">
        <f ca="1">IFERROR(__xludf.DUMMYFUNCTION("""COMPUTED_VALUE"""),"")</f>
        <v/>
      </c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20"/>
      <c r="W89" s="20"/>
      <c r="X89" s="20"/>
      <c r="Y89" s="20"/>
      <c r="Z89" s="21"/>
      <c r="AA89" s="22"/>
      <c r="AB89" s="23"/>
    </row>
    <row r="90" spans="1:28" ht="13.5" customHeight="1" x14ac:dyDescent="0.35">
      <c r="A90" s="24" t="str">
        <f ca="1">IFERROR(__xludf.DUMMYFUNCTION("""COMPUTED_VALUE"""),"")</f>
        <v/>
      </c>
      <c r="B90" s="28" t="str">
        <f ca="1">IFERROR(__xludf.DUMMYFUNCTION("""COMPUTED_VALUE"""),"")</f>
        <v/>
      </c>
      <c r="C90" s="27" t="str">
        <f ca="1">IFERROR(__xludf.DUMMYFUNCTION("""COMPUTED_VALUE"""),"")</f>
        <v/>
      </c>
      <c r="D90" s="27" t="str">
        <f ca="1">IFERROR(__xludf.DUMMYFUNCTION("""COMPUTED_VALUE"""),"")</f>
        <v/>
      </c>
      <c r="E90" s="15" t="str">
        <f ca="1">IFERROR(__xludf.DUMMYFUNCTION("""COMPUTED_VALUE"""),"")</f>
        <v/>
      </c>
      <c r="F90" s="51" t="str">
        <f ca="1">IFERROR(__xludf.DUMMYFUNCTION("""COMPUTED_VALUE"""),"")</f>
        <v/>
      </c>
      <c r="G90" s="16" t="str">
        <f ca="1">IFERROR(__xludf.DUMMYFUNCTION("""COMPUTED_VALUE"""),"")</f>
        <v/>
      </c>
      <c r="H90" s="17" t="str">
        <f ca="1">IFERROR(__xludf.DUMMYFUNCTION("""COMPUTED_VALUE"""),"")</f>
        <v/>
      </c>
      <c r="I90" s="17" t="str">
        <f ca="1">IFERROR(__xludf.DUMMYFUNCTION("""COMPUTED_VALUE"""),"")</f>
        <v/>
      </c>
      <c r="J90" s="17" t="str">
        <f ca="1">IFERROR(__xludf.DUMMYFUNCTION("""COMPUTED_VALUE"""),"")</f>
        <v/>
      </c>
      <c r="K90" s="18" t="str">
        <f ca="1">IFERROR(__xludf.DUMMYFUNCTION("""COMPUTED_VALUE"""),"")</f>
        <v/>
      </c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20"/>
      <c r="W90" s="20"/>
      <c r="X90" s="20"/>
      <c r="Y90" s="20"/>
      <c r="Z90" s="21"/>
      <c r="AA90" s="22"/>
      <c r="AB90" s="23"/>
    </row>
    <row r="91" spans="1:28" ht="13.5" customHeight="1" x14ac:dyDescent="0.35">
      <c r="A91" s="24" t="str">
        <f ca="1">IFERROR(__xludf.DUMMYFUNCTION("""COMPUTED_VALUE"""),"")</f>
        <v/>
      </c>
      <c r="B91" s="28" t="str">
        <f ca="1">IFERROR(__xludf.DUMMYFUNCTION("""COMPUTED_VALUE"""),"")</f>
        <v/>
      </c>
      <c r="C91" s="27" t="str">
        <f ca="1">IFERROR(__xludf.DUMMYFUNCTION("""COMPUTED_VALUE"""),"")</f>
        <v/>
      </c>
      <c r="D91" s="27" t="str">
        <f ca="1">IFERROR(__xludf.DUMMYFUNCTION("""COMPUTED_VALUE"""),"")</f>
        <v/>
      </c>
      <c r="E91" s="15" t="str">
        <f ca="1">IFERROR(__xludf.DUMMYFUNCTION("""COMPUTED_VALUE"""),"")</f>
        <v/>
      </c>
      <c r="F91" s="51" t="str">
        <f ca="1">IFERROR(__xludf.DUMMYFUNCTION("""COMPUTED_VALUE"""),"")</f>
        <v/>
      </c>
      <c r="G91" s="16" t="str">
        <f ca="1">IFERROR(__xludf.DUMMYFUNCTION("""COMPUTED_VALUE"""),"")</f>
        <v/>
      </c>
      <c r="H91" s="17" t="str">
        <f ca="1">IFERROR(__xludf.DUMMYFUNCTION("""COMPUTED_VALUE"""),"")</f>
        <v/>
      </c>
      <c r="I91" s="17" t="str">
        <f ca="1">IFERROR(__xludf.DUMMYFUNCTION("""COMPUTED_VALUE"""),"")</f>
        <v/>
      </c>
      <c r="J91" s="17" t="str">
        <f ca="1">IFERROR(__xludf.DUMMYFUNCTION("""COMPUTED_VALUE"""),"")</f>
        <v/>
      </c>
      <c r="K91" s="18" t="str">
        <f ca="1">IFERROR(__xludf.DUMMYFUNCTION("""COMPUTED_VALUE"""),"")</f>
        <v/>
      </c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20"/>
      <c r="W91" s="20"/>
      <c r="X91" s="20"/>
      <c r="Y91" s="20"/>
      <c r="Z91" s="21"/>
      <c r="AA91" s="22"/>
      <c r="AB91" s="23"/>
    </row>
    <row r="92" spans="1:28" ht="13.5" customHeight="1" x14ac:dyDescent="0.35">
      <c r="A92" s="24" t="str">
        <f ca="1">IFERROR(__xludf.DUMMYFUNCTION("""COMPUTED_VALUE"""),"")</f>
        <v/>
      </c>
      <c r="B92" s="28" t="str">
        <f ca="1">IFERROR(__xludf.DUMMYFUNCTION("""COMPUTED_VALUE"""),"")</f>
        <v/>
      </c>
      <c r="C92" s="27" t="str">
        <f ca="1">IFERROR(__xludf.DUMMYFUNCTION("""COMPUTED_VALUE"""),"")</f>
        <v/>
      </c>
      <c r="D92" s="27" t="str">
        <f ca="1">IFERROR(__xludf.DUMMYFUNCTION("""COMPUTED_VALUE"""),"")</f>
        <v/>
      </c>
      <c r="E92" s="15" t="str">
        <f ca="1">IFERROR(__xludf.DUMMYFUNCTION("""COMPUTED_VALUE"""),"")</f>
        <v/>
      </c>
      <c r="F92" s="51" t="str">
        <f ca="1">IFERROR(__xludf.DUMMYFUNCTION("""COMPUTED_VALUE"""),"")</f>
        <v/>
      </c>
      <c r="G92" s="16" t="str">
        <f ca="1">IFERROR(__xludf.DUMMYFUNCTION("""COMPUTED_VALUE"""),"")</f>
        <v/>
      </c>
      <c r="H92" s="17" t="str">
        <f ca="1">IFERROR(__xludf.DUMMYFUNCTION("""COMPUTED_VALUE"""),"")</f>
        <v/>
      </c>
      <c r="I92" s="17" t="str">
        <f ca="1">IFERROR(__xludf.DUMMYFUNCTION("""COMPUTED_VALUE"""),"")</f>
        <v/>
      </c>
      <c r="J92" s="17" t="str">
        <f ca="1">IFERROR(__xludf.DUMMYFUNCTION("""COMPUTED_VALUE"""),"")</f>
        <v/>
      </c>
      <c r="K92" s="18" t="str">
        <f ca="1">IFERROR(__xludf.DUMMYFUNCTION("""COMPUTED_VALUE"""),"")</f>
        <v/>
      </c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20"/>
      <c r="W92" s="20"/>
      <c r="X92" s="20"/>
      <c r="Y92" s="20"/>
      <c r="Z92" s="21"/>
      <c r="AA92" s="22"/>
      <c r="AB92" s="23"/>
    </row>
    <row r="93" spans="1:28" ht="13.5" customHeight="1" x14ac:dyDescent="0.35">
      <c r="A93" s="24" t="str">
        <f ca="1">IFERROR(__xludf.DUMMYFUNCTION("""COMPUTED_VALUE"""),"")</f>
        <v/>
      </c>
      <c r="B93" s="28" t="str">
        <f ca="1">IFERROR(__xludf.DUMMYFUNCTION("""COMPUTED_VALUE"""),"")</f>
        <v/>
      </c>
      <c r="C93" s="27" t="str">
        <f ca="1">IFERROR(__xludf.DUMMYFUNCTION("""COMPUTED_VALUE"""),"")</f>
        <v/>
      </c>
      <c r="D93" s="27" t="str">
        <f ca="1">IFERROR(__xludf.DUMMYFUNCTION("""COMPUTED_VALUE"""),"")</f>
        <v/>
      </c>
      <c r="E93" s="15" t="str">
        <f ca="1">IFERROR(__xludf.DUMMYFUNCTION("""COMPUTED_VALUE"""),"")</f>
        <v/>
      </c>
      <c r="F93" s="51" t="str">
        <f ca="1">IFERROR(__xludf.DUMMYFUNCTION("""COMPUTED_VALUE"""),"")</f>
        <v/>
      </c>
      <c r="G93" s="16" t="str">
        <f ca="1">IFERROR(__xludf.DUMMYFUNCTION("""COMPUTED_VALUE"""),"")</f>
        <v/>
      </c>
      <c r="H93" s="17" t="str">
        <f ca="1">IFERROR(__xludf.DUMMYFUNCTION("""COMPUTED_VALUE"""),"")</f>
        <v/>
      </c>
      <c r="I93" s="17" t="str">
        <f ca="1">IFERROR(__xludf.DUMMYFUNCTION("""COMPUTED_VALUE"""),"")</f>
        <v/>
      </c>
      <c r="J93" s="17" t="str">
        <f ca="1">IFERROR(__xludf.DUMMYFUNCTION("""COMPUTED_VALUE"""),"")</f>
        <v/>
      </c>
      <c r="K93" s="18" t="str">
        <f ca="1">IFERROR(__xludf.DUMMYFUNCTION("""COMPUTED_VALUE"""),"")</f>
        <v/>
      </c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20"/>
      <c r="W93" s="20"/>
      <c r="X93" s="20"/>
      <c r="Y93" s="20"/>
      <c r="Z93" s="21"/>
      <c r="AA93" s="22"/>
      <c r="AB93" s="23"/>
    </row>
    <row r="94" spans="1:28" ht="13.5" customHeight="1" x14ac:dyDescent="0.35">
      <c r="A94" s="24" t="str">
        <f ca="1">IFERROR(__xludf.DUMMYFUNCTION("""COMPUTED_VALUE"""),"")</f>
        <v/>
      </c>
      <c r="B94" s="28" t="str">
        <f ca="1">IFERROR(__xludf.DUMMYFUNCTION("""COMPUTED_VALUE"""),"")</f>
        <v/>
      </c>
      <c r="C94" s="27" t="str">
        <f ca="1">IFERROR(__xludf.DUMMYFUNCTION("""COMPUTED_VALUE"""),"")</f>
        <v/>
      </c>
      <c r="D94" s="27" t="str">
        <f ca="1">IFERROR(__xludf.DUMMYFUNCTION("""COMPUTED_VALUE"""),"")</f>
        <v/>
      </c>
      <c r="E94" s="15" t="str">
        <f ca="1">IFERROR(__xludf.DUMMYFUNCTION("""COMPUTED_VALUE"""),"")</f>
        <v/>
      </c>
      <c r="F94" s="51" t="str">
        <f ca="1">IFERROR(__xludf.DUMMYFUNCTION("""COMPUTED_VALUE"""),"")</f>
        <v/>
      </c>
      <c r="G94" s="16" t="str">
        <f ca="1">IFERROR(__xludf.DUMMYFUNCTION("""COMPUTED_VALUE"""),"")</f>
        <v/>
      </c>
      <c r="H94" s="17" t="str">
        <f ca="1">IFERROR(__xludf.DUMMYFUNCTION("""COMPUTED_VALUE"""),"")</f>
        <v/>
      </c>
      <c r="I94" s="17" t="str">
        <f ca="1">IFERROR(__xludf.DUMMYFUNCTION("""COMPUTED_VALUE"""),"")</f>
        <v/>
      </c>
      <c r="J94" s="17" t="str">
        <f ca="1">IFERROR(__xludf.DUMMYFUNCTION("""COMPUTED_VALUE"""),"")</f>
        <v/>
      </c>
      <c r="K94" s="18" t="str">
        <f ca="1">IFERROR(__xludf.DUMMYFUNCTION("""COMPUTED_VALUE"""),"")</f>
        <v/>
      </c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20"/>
      <c r="W94" s="20"/>
      <c r="X94" s="20"/>
      <c r="Y94" s="20"/>
      <c r="Z94" s="21"/>
      <c r="AA94" s="22"/>
      <c r="AB94" s="23"/>
    </row>
    <row r="95" spans="1:28" ht="13.5" customHeight="1" x14ac:dyDescent="0.35">
      <c r="A95" s="24" t="str">
        <f ca="1">IFERROR(__xludf.DUMMYFUNCTION("""COMPUTED_VALUE"""),"")</f>
        <v/>
      </c>
      <c r="B95" s="28" t="str">
        <f ca="1">IFERROR(__xludf.DUMMYFUNCTION("""COMPUTED_VALUE"""),"")</f>
        <v/>
      </c>
      <c r="C95" s="27" t="str">
        <f ca="1">IFERROR(__xludf.DUMMYFUNCTION("""COMPUTED_VALUE"""),"")</f>
        <v/>
      </c>
      <c r="D95" s="27" t="str">
        <f ca="1">IFERROR(__xludf.DUMMYFUNCTION("""COMPUTED_VALUE"""),"")</f>
        <v/>
      </c>
      <c r="E95" s="15" t="str">
        <f ca="1">IFERROR(__xludf.DUMMYFUNCTION("""COMPUTED_VALUE"""),"")</f>
        <v/>
      </c>
      <c r="F95" s="51" t="str">
        <f ca="1">IFERROR(__xludf.DUMMYFUNCTION("""COMPUTED_VALUE"""),"")</f>
        <v/>
      </c>
      <c r="G95" s="16" t="str">
        <f ca="1">IFERROR(__xludf.DUMMYFUNCTION("""COMPUTED_VALUE"""),"")</f>
        <v/>
      </c>
      <c r="H95" s="17" t="str">
        <f ca="1">IFERROR(__xludf.DUMMYFUNCTION("""COMPUTED_VALUE"""),"")</f>
        <v/>
      </c>
      <c r="I95" s="17" t="str">
        <f ca="1">IFERROR(__xludf.DUMMYFUNCTION("""COMPUTED_VALUE"""),"")</f>
        <v/>
      </c>
      <c r="J95" s="17" t="str">
        <f ca="1">IFERROR(__xludf.DUMMYFUNCTION("""COMPUTED_VALUE"""),"")</f>
        <v/>
      </c>
      <c r="K95" s="18" t="str">
        <f ca="1">IFERROR(__xludf.DUMMYFUNCTION("""COMPUTED_VALUE"""),"")</f>
        <v/>
      </c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20"/>
      <c r="W95" s="20"/>
      <c r="X95" s="20"/>
      <c r="Y95" s="20"/>
      <c r="Z95" s="21"/>
      <c r="AA95" s="22"/>
      <c r="AB95" s="23"/>
    </row>
    <row r="96" spans="1:28" ht="13.5" customHeight="1" x14ac:dyDescent="0.35">
      <c r="A96" s="24" t="str">
        <f ca="1">IFERROR(__xludf.DUMMYFUNCTION("""COMPUTED_VALUE"""),"")</f>
        <v/>
      </c>
      <c r="B96" s="28" t="str">
        <f ca="1">IFERROR(__xludf.DUMMYFUNCTION("""COMPUTED_VALUE"""),"")</f>
        <v/>
      </c>
      <c r="C96" s="27" t="str">
        <f ca="1">IFERROR(__xludf.DUMMYFUNCTION("""COMPUTED_VALUE"""),"")</f>
        <v/>
      </c>
      <c r="D96" s="27" t="str">
        <f ca="1">IFERROR(__xludf.DUMMYFUNCTION("""COMPUTED_VALUE"""),"")</f>
        <v/>
      </c>
      <c r="E96" s="15" t="str">
        <f ca="1">IFERROR(__xludf.DUMMYFUNCTION("""COMPUTED_VALUE"""),"")</f>
        <v/>
      </c>
      <c r="F96" s="51" t="str">
        <f ca="1">IFERROR(__xludf.DUMMYFUNCTION("""COMPUTED_VALUE"""),"")</f>
        <v/>
      </c>
      <c r="G96" s="16" t="str">
        <f ca="1">IFERROR(__xludf.DUMMYFUNCTION("""COMPUTED_VALUE"""),"")</f>
        <v/>
      </c>
      <c r="H96" s="17" t="str">
        <f ca="1">IFERROR(__xludf.DUMMYFUNCTION("""COMPUTED_VALUE"""),"")</f>
        <v/>
      </c>
      <c r="I96" s="17" t="str">
        <f ca="1">IFERROR(__xludf.DUMMYFUNCTION("""COMPUTED_VALUE"""),"")</f>
        <v/>
      </c>
      <c r="J96" s="17" t="str">
        <f ca="1">IFERROR(__xludf.DUMMYFUNCTION("""COMPUTED_VALUE"""),"")</f>
        <v/>
      </c>
      <c r="K96" s="18" t="str">
        <f ca="1">IFERROR(__xludf.DUMMYFUNCTION("""COMPUTED_VALUE"""),"")</f>
        <v/>
      </c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20"/>
      <c r="W96" s="20"/>
      <c r="X96" s="20"/>
      <c r="Y96" s="20"/>
      <c r="Z96" s="21"/>
      <c r="AA96" s="22"/>
      <c r="AB96" s="23"/>
    </row>
    <row r="97" spans="1:28" ht="13.5" customHeight="1" x14ac:dyDescent="0.35">
      <c r="A97" s="24" t="str">
        <f ca="1">IFERROR(__xludf.DUMMYFUNCTION("""COMPUTED_VALUE"""),"")</f>
        <v/>
      </c>
      <c r="B97" s="28" t="str">
        <f ca="1">IFERROR(__xludf.DUMMYFUNCTION("""COMPUTED_VALUE"""),"")</f>
        <v/>
      </c>
      <c r="C97" s="27" t="str">
        <f ca="1">IFERROR(__xludf.DUMMYFUNCTION("""COMPUTED_VALUE"""),"")</f>
        <v/>
      </c>
      <c r="D97" s="27" t="str">
        <f ca="1">IFERROR(__xludf.DUMMYFUNCTION("""COMPUTED_VALUE"""),"")</f>
        <v/>
      </c>
      <c r="E97" s="15" t="str">
        <f ca="1">IFERROR(__xludf.DUMMYFUNCTION("""COMPUTED_VALUE"""),"")</f>
        <v/>
      </c>
      <c r="F97" s="51" t="str">
        <f ca="1">IFERROR(__xludf.DUMMYFUNCTION("""COMPUTED_VALUE"""),"")</f>
        <v/>
      </c>
      <c r="G97" s="16" t="str">
        <f ca="1">IFERROR(__xludf.DUMMYFUNCTION("""COMPUTED_VALUE"""),"")</f>
        <v/>
      </c>
      <c r="H97" s="17" t="str">
        <f ca="1">IFERROR(__xludf.DUMMYFUNCTION("""COMPUTED_VALUE"""),"")</f>
        <v/>
      </c>
      <c r="I97" s="17" t="str">
        <f ca="1">IFERROR(__xludf.DUMMYFUNCTION("""COMPUTED_VALUE"""),"")</f>
        <v/>
      </c>
      <c r="J97" s="17" t="str">
        <f ca="1">IFERROR(__xludf.DUMMYFUNCTION("""COMPUTED_VALUE"""),"")</f>
        <v/>
      </c>
      <c r="K97" s="18" t="str">
        <f ca="1">IFERROR(__xludf.DUMMYFUNCTION("""COMPUTED_VALUE"""),"")</f>
        <v/>
      </c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20"/>
      <c r="W97" s="20"/>
      <c r="X97" s="20"/>
      <c r="Y97" s="20"/>
      <c r="Z97" s="21"/>
      <c r="AA97" s="22"/>
      <c r="AB97" s="23"/>
    </row>
    <row r="98" spans="1:28" ht="13.5" customHeight="1" x14ac:dyDescent="0.35">
      <c r="A98" s="24" t="str">
        <f ca="1">IFERROR(__xludf.DUMMYFUNCTION("""COMPUTED_VALUE"""),"")</f>
        <v/>
      </c>
      <c r="B98" s="28" t="str">
        <f ca="1">IFERROR(__xludf.DUMMYFUNCTION("""COMPUTED_VALUE"""),"")</f>
        <v/>
      </c>
      <c r="C98" s="27" t="str">
        <f ca="1">IFERROR(__xludf.DUMMYFUNCTION("""COMPUTED_VALUE"""),"")</f>
        <v/>
      </c>
      <c r="D98" s="27" t="str">
        <f ca="1">IFERROR(__xludf.DUMMYFUNCTION("""COMPUTED_VALUE"""),"")</f>
        <v/>
      </c>
      <c r="E98" s="15" t="str">
        <f ca="1">IFERROR(__xludf.DUMMYFUNCTION("""COMPUTED_VALUE"""),"")</f>
        <v/>
      </c>
      <c r="F98" s="51" t="str">
        <f ca="1">IFERROR(__xludf.DUMMYFUNCTION("""COMPUTED_VALUE"""),"")</f>
        <v/>
      </c>
      <c r="G98" s="16" t="str">
        <f ca="1">IFERROR(__xludf.DUMMYFUNCTION("""COMPUTED_VALUE"""),"")</f>
        <v/>
      </c>
      <c r="H98" s="17" t="str">
        <f ca="1">IFERROR(__xludf.DUMMYFUNCTION("""COMPUTED_VALUE"""),"")</f>
        <v/>
      </c>
      <c r="I98" s="17" t="str">
        <f ca="1">IFERROR(__xludf.DUMMYFUNCTION("""COMPUTED_VALUE"""),"")</f>
        <v/>
      </c>
      <c r="J98" s="17" t="str">
        <f ca="1">IFERROR(__xludf.DUMMYFUNCTION("""COMPUTED_VALUE"""),"")</f>
        <v/>
      </c>
      <c r="K98" s="18" t="str">
        <f ca="1">IFERROR(__xludf.DUMMYFUNCTION("""COMPUTED_VALUE"""),"")</f>
        <v/>
      </c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20"/>
      <c r="W98" s="20"/>
      <c r="X98" s="20"/>
      <c r="Y98" s="20"/>
      <c r="Z98" s="21"/>
      <c r="AA98" s="22"/>
      <c r="AB98" s="23"/>
    </row>
    <row r="99" spans="1:28" ht="13.5" customHeight="1" x14ac:dyDescent="0.35">
      <c r="A99" s="24" t="str">
        <f ca="1">IFERROR(__xludf.DUMMYFUNCTION("""COMPUTED_VALUE"""),"")</f>
        <v/>
      </c>
      <c r="B99" s="28" t="str">
        <f ca="1">IFERROR(__xludf.DUMMYFUNCTION("""COMPUTED_VALUE"""),"")</f>
        <v/>
      </c>
      <c r="C99" s="27" t="str">
        <f ca="1">IFERROR(__xludf.DUMMYFUNCTION("""COMPUTED_VALUE"""),"")</f>
        <v/>
      </c>
      <c r="D99" s="27" t="str">
        <f ca="1">IFERROR(__xludf.DUMMYFUNCTION("""COMPUTED_VALUE"""),"")</f>
        <v/>
      </c>
      <c r="E99" s="15" t="str">
        <f ca="1">IFERROR(__xludf.DUMMYFUNCTION("""COMPUTED_VALUE"""),"")</f>
        <v/>
      </c>
      <c r="F99" s="51" t="str">
        <f ca="1">IFERROR(__xludf.DUMMYFUNCTION("""COMPUTED_VALUE"""),"")</f>
        <v/>
      </c>
      <c r="G99" s="16" t="str">
        <f ca="1">IFERROR(__xludf.DUMMYFUNCTION("""COMPUTED_VALUE"""),"")</f>
        <v/>
      </c>
      <c r="H99" s="17" t="str">
        <f ca="1">IFERROR(__xludf.DUMMYFUNCTION("""COMPUTED_VALUE"""),"")</f>
        <v/>
      </c>
      <c r="I99" s="17" t="str">
        <f ca="1">IFERROR(__xludf.DUMMYFUNCTION("""COMPUTED_VALUE"""),"")</f>
        <v/>
      </c>
      <c r="J99" s="17" t="str">
        <f ca="1">IFERROR(__xludf.DUMMYFUNCTION("""COMPUTED_VALUE"""),"")</f>
        <v/>
      </c>
      <c r="K99" s="18" t="str">
        <f ca="1">IFERROR(__xludf.DUMMYFUNCTION("""COMPUTED_VALUE"""),"")</f>
        <v/>
      </c>
      <c r="L99" s="19"/>
      <c r="M99" s="19"/>
      <c r="N99" s="19"/>
      <c r="O99" s="19"/>
      <c r="P99" s="19"/>
      <c r="Q99" s="19"/>
      <c r="R99" s="19"/>
      <c r="S99" s="19"/>
      <c r="T99" s="19"/>
      <c r="U99" s="19"/>
      <c r="V99" s="20"/>
      <c r="W99" s="20"/>
      <c r="X99" s="20"/>
      <c r="Y99" s="20"/>
      <c r="Z99" s="21"/>
      <c r="AA99" s="22"/>
      <c r="AB99" s="23"/>
    </row>
    <row r="100" spans="1:28" ht="13.5" customHeight="1" x14ac:dyDescent="0.35">
      <c r="A100" s="24" t="str">
        <f ca="1">IFERROR(__xludf.DUMMYFUNCTION("""COMPUTED_VALUE"""),"")</f>
        <v/>
      </c>
      <c r="B100" s="28" t="str">
        <f ca="1">IFERROR(__xludf.DUMMYFUNCTION("""COMPUTED_VALUE"""),"")</f>
        <v/>
      </c>
      <c r="C100" s="27" t="str">
        <f ca="1">IFERROR(__xludf.DUMMYFUNCTION("""COMPUTED_VALUE"""),"")</f>
        <v/>
      </c>
      <c r="D100" s="27" t="str">
        <f ca="1">IFERROR(__xludf.DUMMYFUNCTION("""COMPUTED_VALUE"""),"")</f>
        <v/>
      </c>
      <c r="E100" s="15" t="str">
        <f ca="1">IFERROR(__xludf.DUMMYFUNCTION("""COMPUTED_VALUE"""),"")</f>
        <v/>
      </c>
      <c r="F100" s="51" t="str">
        <f ca="1">IFERROR(__xludf.DUMMYFUNCTION("""COMPUTED_VALUE"""),"")</f>
        <v/>
      </c>
      <c r="G100" s="16" t="str">
        <f ca="1">IFERROR(__xludf.DUMMYFUNCTION("""COMPUTED_VALUE"""),"")</f>
        <v/>
      </c>
      <c r="H100" s="17" t="str">
        <f ca="1">IFERROR(__xludf.DUMMYFUNCTION("""COMPUTED_VALUE"""),"")</f>
        <v/>
      </c>
      <c r="I100" s="17" t="str">
        <f ca="1">IFERROR(__xludf.DUMMYFUNCTION("""COMPUTED_VALUE"""),"")</f>
        <v/>
      </c>
      <c r="J100" s="17" t="str">
        <f ca="1">IFERROR(__xludf.DUMMYFUNCTION("""COMPUTED_VALUE"""),"")</f>
        <v/>
      </c>
      <c r="K100" s="18" t="str">
        <f ca="1">IFERROR(__xludf.DUMMYFUNCTION("""COMPUTED_VALUE"""),"")</f>
        <v/>
      </c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20"/>
      <c r="W100" s="20"/>
      <c r="X100" s="20"/>
      <c r="Y100" s="20"/>
      <c r="Z100" s="21"/>
      <c r="AA100" s="22"/>
      <c r="AB100" s="23"/>
    </row>
    <row r="101" spans="1:28" ht="13.5" customHeight="1" x14ac:dyDescent="0.35">
      <c r="A101" s="24" t="str">
        <f ca="1">IFERROR(__xludf.DUMMYFUNCTION("""COMPUTED_VALUE"""),"")</f>
        <v/>
      </c>
      <c r="B101" s="28" t="str">
        <f ca="1">IFERROR(__xludf.DUMMYFUNCTION("""COMPUTED_VALUE"""),"")</f>
        <v/>
      </c>
      <c r="C101" s="27" t="str">
        <f ca="1">IFERROR(__xludf.DUMMYFUNCTION("""COMPUTED_VALUE"""),"")</f>
        <v/>
      </c>
      <c r="D101" s="27" t="str">
        <f ca="1">IFERROR(__xludf.DUMMYFUNCTION("""COMPUTED_VALUE"""),"")</f>
        <v/>
      </c>
      <c r="E101" s="15" t="str">
        <f ca="1">IFERROR(__xludf.DUMMYFUNCTION("""COMPUTED_VALUE"""),"")</f>
        <v/>
      </c>
      <c r="F101" s="51" t="str">
        <f ca="1">IFERROR(__xludf.DUMMYFUNCTION("""COMPUTED_VALUE"""),"")</f>
        <v/>
      </c>
      <c r="G101" s="16" t="str">
        <f ca="1">IFERROR(__xludf.DUMMYFUNCTION("""COMPUTED_VALUE"""),"")</f>
        <v/>
      </c>
      <c r="H101" s="17" t="str">
        <f ca="1">IFERROR(__xludf.DUMMYFUNCTION("""COMPUTED_VALUE"""),"")</f>
        <v/>
      </c>
      <c r="I101" s="17" t="str">
        <f ca="1">IFERROR(__xludf.DUMMYFUNCTION("""COMPUTED_VALUE"""),"")</f>
        <v/>
      </c>
      <c r="J101" s="17" t="str">
        <f ca="1">IFERROR(__xludf.DUMMYFUNCTION("""COMPUTED_VALUE"""),"")</f>
        <v/>
      </c>
      <c r="K101" s="18" t="str">
        <f ca="1">IFERROR(__xludf.DUMMYFUNCTION("""COMPUTED_VALUE"""),"")</f>
        <v/>
      </c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20"/>
      <c r="W101" s="20"/>
      <c r="X101" s="20"/>
      <c r="Y101" s="20"/>
      <c r="Z101" s="21"/>
      <c r="AA101" s="22"/>
      <c r="AB101" s="23"/>
    </row>
    <row r="102" spans="1:28" ht="13.5" customHeight="1" x14ac:dyDescent="0.35">
      <c r="A102" s="24" t="str">
        <f ca="1">IFERROR(__xludf.DUMMYFUNCTION("""COMPUTED_VALUE"""),"")</f>
        <v/>
      </c>
      <c r="B102" s="28" t="str">
        <f ca="1">IFERROR(__xludf.DUMMYFUNCTION("""COMPUTED_VALUE"""),"")</f>
        <v/>
      </c>
      <c r="C102" s="27" t="str">
        <f ca="1">IFERROR(__xludf.DUMMYFUNCTION("""COMPUTED_VALUE"""),"")</f>
        <v/>
      </c>
      <c r="D102" s="27" t="str">
        <f ca="1">IFERROR(__xludf.DUMMYFUNCTION("""COMPUTED_VALUE"""),"")</f>
        <v/>
      </c>
      <c r="E102" s="15" t="str">
        <f ca="1">IFERROR(__xludf.DUMMYFUNCTION("""COMPUTED_VALUE"""),"")</f>
        <v/>
      </c>
      <c r="F102" s="51" t="str">
        <f ca="1">IFERROR(__xludf.DUMMYFUNCTION("""COMPUTED_VALUE"""),"")</f>
        <v/>
      </c>
      <c r="G102" s="16" t="str">
        <f ca="1">IFERROR(__xludf.DUMMYFUNCTION("""COMPUTED_VALUE"""),"")</f>
        <v/>
      </c>
      <c r="H102" s="17" t="str">
        <f ca="1">IFERROR(__xludf.DUMMYFUNCTION("""COMPUTED_VALUE"""),"")</f>
        <v/>
      </c>
      <c r="I102" s="17" t="str">
        <f ca="1">IFERROR(__xludf.DUMMYFUNCTION("""COMPUTED_VALUE"""),"")</f>
        <v/>
      </c>
      <c r="J102" s="17" t="str">
        <f ca="1">IFERROR(__xludf.DUMMYFUNCTION("""COMPUTED_VALUE"""),"")</f>
        <v/>
      </c>
      <c r="K102" s="18" t="str">
        <f ca="1">IFERROR(__xludf.DUMMYFUNCTION("""COMPUTED_VALUE"""),"")</f>
        <v/>
      </c>
      <c r="L102" s="19"/>
      <c r="M102" s="19"/>
      <c r="N102" s="19"/>
      <c r="O102" s="19"/>
      <c r="P102" s="19"/>
      <c r="Q102" s="19"/>
      <c r="R102" s="19"/>
      <c r="S102" s="19"/>
      <c r="T102" s="19"/>
      <c r="U102" s="19"/>
      <c r="V102" s="20"/>
      <c r="W102" s="20"/>
      <c r="X102" s="20"/>
      <c r="Y102" s="20"/>
      <c r="Z102" s="21"/>
      <c r="AA102" s="22"/>
      <c r="AB102" s="23"/>
    </row>
    <row r="103" spans="1:28" ht="13.5" customHeight="1" x14ac:dyDescent="0.35">
      <c r="A103" s="24" t="str">
        <f ca="1">IFERROR(__xludf.DUMMYFUNCTION("""COMPUTED_VALUE"""),"")</f>
        <v/>
      </c>
      <c r="B103" s="28" t="str">
        <f ca="1">IFERROR(__xludf.DUMMYFUNCTION("""COMPUTED_VALUE"""),"")</f>
        <v/>
      </c>
      <c r="C103" s="27" t="str">
        <f ca="1">IFERROR(__xludf.DUMMYFUNCTION("""COMPUTED_VALUE"""),"")</f>
        <v/>
      </c>
      <c r="D103" s="27" t="str">
        <f ca="1">IFERROR(__xludf.DUMMYFUNCTION("""COMPUTED_VALUE"""),"")</f>
        <v/>
      </c>
      <c r="E103" s="15" t="str">
        <f ca="1">IFERROR(__xludf.DUMMYFUNCTION("""COMPUTED_VALUE"""),"")</f>
        <v/>
      </c>
      <c r="F103" s="51" t="str">
        <f ca="1">IFERROR(__xludf.DUMMYFUNCTION("""COMPUTED_VALUE"""),"")</f>
        <v/>
      </c>
      <c r="G103" s="16" t="str">
        <f ca="1">IFERROR(__xludf.DUMMYFUNCTION("""COMPUTED_VALUE"""),"")</f>
        <v/>
      </c>
      <c r="H103" s="17" t="str">
        <f ca="1">IFERROR(__xludf.DUMMYFUNCTION("""COMPUTED_VALUE"""),"")</f>
        <v/>
      </c>
      <c r="I103" s="17" t="str">
        <f ca="1">IFERROR(__xludf.DUMMYFUNCTION("""COMPUTED_VALUE"""),"")</f>
        <v/>
      </c>
      <c r="J103" s="17" t="str">
        <f ca="1">IFERROR(__xludf.DUMMYFUNCTION("""COMPUTED_VALUE"""),"")</f>
        <v/>
      </c>
      <c r="K103" s="18" t="str">
        <f ca="1">IFERROR(__xludf.DUMMYFUNCTION("""COMPUTED_VALUE"""),"")</f>
        <v/>
      </c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20"/>
      <c r="W103" s="20"/>
      <c r="X103" s="20"/>
      <c r="Y103" s="20"/>
      <c r="Z103" s="21"/>
      <c r="AA103" s="22"/>
      <c r="AB103" s="23"/>
    </row>
    <row r="104" spans="1:28" ht="13.5" customHeight="1" x14ac:dyDescent="0.35">
      <c r="A104" s="24" t="str">
        <f ca="1">IFERROR(__xludf.DUMMYFUNCTION("""COMPUTED_VALUE"""),"")</f>
        <v/>
      </c>
      <c r="B104" s="28" t="str">
        <f ca="1">IFERROR(__xludf.DUMMYFUNCTION("""COMPUTED_VALUE"""),"")</f>
        <v/>
      </c>
      <c r="C104" s="27" t="str">
        <f ca="1">IFERROR(__xludf.DUMMYFUNCTION("""COMPUTED_VALUE"""),"")</f>
        <v/>
      </c>
      <c r="D104" s="27" t="str">
        <f ca="1">IFERROR(__xludf.DUMMYFUNCTION("""COMPUTED_VALUE"""),"")</f>
        <v/>
      </c>
      <c r="E104" s="15" t="str">
        <f ca="1">IFERROR(__xludf.DUMMYFUNCTION("""COMPUTED_VALUE"""),"")</f>
        <v/>
      </c>
      <c r="F104" s="51" t="str">
        <f ca="1">IFERROR(__xludf.DUMMYFUNCTION("""COMPUTED_VALUE"""),"")</f>
        <v/>
      </c>
      <c r="G104" s="16" t="str">
        <f ca="1">IFERROR(__xludf.DUMMYFUNCTION("""COMPUTED_VALUE"""),"")</f>
        <v/>
      </c>
      <c r="H104" s="17" t="str">
        <f ca="1">IFERROR(__xludf.DUMMYFUNCTION("""COMPUTED_VALUE"""),"")</f>
        <v/>
      </c>
      <c r="I104" s="17" t="str">
        <f ca="1">IFERROR(__xludf.DUMMYFUNCTION("""COMPUTED_VALUE"""),"")</f>
        <v/>
      </c>
      <c r="J104" s="17" t="str">
        <f ca="1">IFERROR(__xludf.DUMMYFUNCTION("""COMPUTED_VALUE"""),"")</f>
        <v/>
      </c>
      <c r="K104" s="18" t="str">
        <f ca="1">IFERROR(__xludf.DUMMYFUNCTION("""COMPUTED_VALUE"""),"")</f>
        <v/>
      </c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20"/>
      <c r="W104" s="20"/>
      <c r="X104" s="20"/>
      <c r="Y104" s="20"/>
      <c r="Z104" s="21"/>
      <c r="AA104" s="22"/>
      <c r="AB104" s="23"/>
    </row>
    <row r="105" spans="1:28" ht="13.5" customHeight="1" x14ac:dyDescent="0.35">
      <c r="A105" s="24" t="str">
        <f ca="1">IFERROR(__xludf.DUMMYFUNCTION("""COMPUTED_VALUE"""),"")</f>
        <v/>
      </c>
      <c r="B105" s="28" t="str">
        <f ca="1">IFERROR(__xludf.DUMMYFUNCTION("""COMPUTED_VALUE"""),"")</f>
        <v/>
      </c>
      <c r="C105" s="27" t="str">
        <f ca="1">IFERROR(__xludf.DUMMYFUNCTION("""COMPUTED_VALUE"""),"")</f>
        <v/>
      </c>
      <c r="D105" s="27" t="str">
        <f ca="1">IFERROR(__xludf.DUMMYFUNCTION("""COMPUTED_VALUE"""),"")</f>
        <v/>
      </c>
      <c r="E105" s="15" t="str">
        <f ca="1">IFERROR(__xludf.DUMMYFUNCTION("""COMPUTED_VALUE"""),"")</f>
        <v/>
      </c>
      <c r="F105" s="51" t="str">
        <f ca="1">IFERROR(__xludf.DUMMYFUNCTION("""COMPUTED_VALUE"""),"")</f>
        <v/>
      </c>
      <c r="G105" s="16" t="str">
        <f ca="1">IFERROR(__xludf.DUMMYFUNCTION("""COMPUTED_VALUE"""),"")</f>
        <v/>
      </c>
      <c r="H105" s="17" t="str">
        <f ca="1">IFERROR(__xludf.DUMMYFUNCTION("""COMPUTED_VALUE"""),"")</f>
        <v/>
      </c>
      <c r="I105" s="17" t="str">
        <f ca="1">IFERROR(__xludf.DUMMYFUNCTION("""COMPUTED_VALUE"""),"")</f>
        <v/>
      </c>
      <c r="J105" s="17" t="str">
        <f ca="1">IFERROR(__xludf.DUMMYFUNCTION("""COMPUTED_VALUE"""),"")</f>
        <v/>
      </c>
      <c r="K105" s="18" t="str">
        <f ca="1">IFERROR(__xludf.DUMMYFUNCTION("""COMPUTED_VALUE"""),"")</f>
        <v/>
      </c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V105" s="20"/>
      <c r="W105" s="20"/>
      <c r="X105" s="20"/>
      <c r="Y105" s="20"/>
      <c r="Z105" s="21"/>
      <c r="AA105" s="22"/>
      <c r="AB105" s="23"/>
    </row>
    <row r="106" spans="1:28" ht="13.5" customHeight="1" x14ac:dyDescent="0.35">
      <c r="A106" s="24" t="str">
        <f ca="1">IFERROR(__xludf.DUMMYFUNCTION("""COMPUTED_VALUE"""),"")</f>
        <v/>
      </c>
      <c r="B106" s="28" t="str">
        <f ca="1">IFERROR(__xludf.DUMMYFUNCTION("""COMPUTED_VALUE"""),"")</f>
        <v/>
      </c>
      <c r="C106" s="27" t="str">
        <f ca="1">IFERROR(__xludf.DUMMYFUNCTION("""COMPUTED_VALUE"""),"")</f>
        <v/>
      </c>
      <c r="D106" s="27" t="str">
        <f ca="1">IFERROR(__xludf.DUMMYFUNCTION("""COMPUTED_VALUE"""),"")</f>
        <v/>
      </c>
      <c r="E106" s="15" t="str">
        <f ca="1">IFERROR(__xludf.DUMMYFUNCTION("""COMPUTED_VALUE"""),"")</f>
        <v/>
      </c>
      <c r="F106" s="51" t="str">
        <f ca="1">IFERROR(__xludf.DUMMYFUNCTION("""COMPUTED_VALUE"""),"")</f>
        <v/>
      </c>
      <c r="G106" s="16" t="str">
        <f ca="1">IFERROR(__xludf.DUMMYFUNCTION("""COMPUTED_VALUE"""),"")</f>
        <v/>
      </c>
      <c r="H106" s="17" t="str">
        <f ca="1">IFERROR(__xludf.DUMMYFUNCTION("""COMPUTED_VALUE"""),"")</f>
        <v/>
      </c>
      <c r="I106" s="17" t="str">
        <f ca="1">IFERROR(__xludf.DUMMYFUNCTION("""COMPUTED_VALUE"""),"")</f>
        <v/>
      </c>
      <c r="J106" s="17" t="str">
        <f ca="1">IFERROR(__xludf.DUMMYFUNCTION("""COMPUTED_VALUE"""),"")</f>
        <v/>
      </c>
      <c r="K106" s="18" t="str">
        <f ca="1">IFERROR(__xludf.DUMMYFUNCTION("""COMPUTED_VALUE"""),"")</f>
        <v/>
      </c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20"/>
      <c r="W106" s="20"/>
      <c r="X106" s="20"/>
      <c r="Y106" s="20"/>
      <c r="Z106" s="21"/>
      <c r="AA106" s="22"/>
      <c r="AB106" s="23"/>
    </row>
    <row r="107" spans="1:28" ht="13.5" customHeight="1" x14ac:dyDescent="0.35">
      <c r="A107" s="24" t="str">
        <f ca="1">IFERROR(__xludf.DUMMYFUNCTION("""COMPUTED_VALUE"""),"")</f>
        <v/>
      </c>
      <c r="B107" s="28" t="str">
        <f ca="1">IFERROR(__xludf.DUMMYFUNCTION("""COMPUTED_VALUE"""),"")</f>
        <v/>
      </c>
      <c r="C107" s="27" t="str">
        <f ca="1">IFERROR(__xludf.DUMMYFUNCTION("""COMPUTED_VALUE"""),"")</f>
        <v/>
      </c>
      <c r="D107" s="27" t="str">
        <f ca="1">IFERROR(__xludf.DUMMYFUNCTION("""COMPUTED_VALUE"""),"")</f>
        <v/>
      </c>
      <c r="E107" s="15" t="str">
        <f ca="1">IFERROR(__xludf.DUMMYFUNCTION("""COMPUTED_VALUE"""),"")</f>
        <v/>
      </c>
      <c r="F107" s="51" t="str">
        <f ca="1">IFERROR(__xludf.DUMMYFUNCTION("""COMPUTED_VALUE"""),"")</f>
        <v/>
      </c>
      <c r="G107" s="16" t="str">
        <f ca="1">IFERROR(__xludf.DUMMYFUNCTION("""COMPUTED_VALUE"""),"")</f>
        <v/>
      </c>
      <c r="H107" s="17" t="str">
        <f ca="1">IFERROR(__xludf.DUMMYFUNCTION("""COMPUTED_VALUE"""),"")</f>
        <v/>
      </c>
      <c r="I107" s="17" t="str">
        <f ca="1">IFERROR(__xludf.DUMMYFUNCTION("""COMPUTED_VALUE"""),"")</f>
        <v/>
      </c>
      <c r="J107" s="17" t="str">
        <f ca="1">IFERROR(__xludf.DUMMYFUNCTION("""COMPUTED_VALUE"""),"")</f>
        <v/>
      </c>
      <c r="K107" s="18" t="str">
        <f ca="1">IFERROR(__xludf.DUMMYFUNCTION("""COMPUTED_VALUE"""),"")</f>
        <v/>
      </c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20"/>
      <c r="W107" s="20"/>
      <c r="X107" s="20"/>
      <c r="Y107" s="20"/>
      <c r="Z107" s="21"/>
      <c r="AA107" s="22"/>
      <c r="AB107" s="23"/>
    </row>
    <row r="108" spans="1:28" ht="13.5" customHeight="1" x14ac:dyDescent="0.35">
      <c r="A108" s="24" t="str">
        <f ca="1">IFERROR(__xludf.DUMMYFUNCTION("""COMPUTED_VALUE"""),"")</f>
        <v/>
      </c>
      <c r="B108" s="28" t="str">
        <f ca="1">IFERROR(__xludf.DUMMYFUNCTION("""COMPUTED_VALUE"""),"")</f>
        <v/>
      </c>
      <c r="C108" s="27" t="str">
        <f ca="1">IFERROR(__xludf.DUMMYFUNCTION("""COMPUTED_VALUE"""),"")</f>
        <v/>
      </c>
      <c r="D108" s="27" t="str">
        <f ca="1">IFERROR(__xludf.DUMMYFUNCTION("""COMPUTED_VALUE"""),"")</f>
        <v/>
      </c>
      <c r="E108" s="15" t="str">
        <f ca="1">IFERROR(__xludf.DUMMYFUNCTION("""COMPUTED_VALUE"""),"")</f>
        <v/>
      </c>
      <c r="F108" s="51" t="str">
        <f ca="1">IFERROR(__xludf.DUMMYFUNCTION("""COMPUTED_VALUE"""),"")</f>
        <v/>
      </c>
      <c r="G108" s="16" t="str">
        <f ca="1">IFERROR(__xludf.DUMMYFUNCTION("""COMPUTED_VALUE"""),"")</f>
        <v/>
      </c>
      <c r="H108" s="17" t="str">
        <f ca="1">IFERROR(__xludf.DUMMYFUNCTION("""COMPUTED_VALUE"""),"")</f>
        <v/>
      </c>
      <c r="I108" s="17" t="str">
        <f ca="1">IFERROR(__xludf.DUMMYFUNCTION("""COMPUTED_VALUE"""),"")</f>
        <v/>
      </c>
      <c r="J108" s="17" t="str">
        <f ca="1">IFERROR(__xludf.DUMMYFUNCTION("""COMPUTED_VALUE"""),"")</f>
        <v/>
      </c>
      <c r="K108" s="18" t="str">
        <f ca="1">IFERROR(__xludf.DUMMYFUNCTION("""COMPUTED_VALUE"""),"")</f>
        <v/>
      </c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20"/>
      <c r="W108" s="20"/>
      <c r="X108" s="20"/>
      <c r="Y108" s="20"/>
      <c r="Z108" s="21"/>
      <c r="AA108" s="22"/>
      <c r="AB108" s="23"/>
    </row>
    <row r="109" spans="1:28" ht="13.5" customHeight="1" x14ac:dyDescent="0.35">
      <c r="A109" s="24" t="str">
        <f ca="1">IFERROR(__xludf.DUMMYFUNCTION("""COMPUTED_VALUE"""),"")</f>
        <v/>
      </c>
      <c r="B109" s="28" t="str">
        <f ca="1">IFERROR(__xludf.DUMMYFUNCTION("""COMPUTED_VALUE"""),"")</f>
        <v/>
      </c>
      <c r="C109" s="27" t="str">
        <f ca="1">IFERROR(__xludf.DUMMYFUNCTION("""COMPUTED_VALUE"""),"")</f>
        <v/>
      </c>
      <c r="D109" s="27" t="str">
        <f ca="1">IFERROR(__xludf.DUMMYFUNCTION("""COMPUTED_VALUE"""),"")</f>
        <v/>
      </c>
      <c r="E109" s="15" t="str">
        <f ca="1">IFERROR(__xludf.DUMMYFUNCTION("""COMPUTED_VALUE"""),"")</f>
        <v/>
      </c>
      <c r="F109" s="51" t="str">
        <f ca="1">IFERROR(__xludf.DUMMYFUNCTION("""COMPUTED_VALUE"""),"")</f>
        <v/>
      </c>
      <c r="G109" s="16" t="str">
        <f ca="1">IFERROR(__xludf.DUMMYFUNCTION("""COMPUTED_VALUE"""),"")</f>
        <v/>
      </c>
      <c r="H109" s="17" t="str">
        <f ca="1">IFERROR(__xludf.DUMMYFUNCTION("""COMPUTED_VALUE"""),"")</f>
        <v/>
      </c>
      <c r="I109" s="17" t="str">
        <f ca="1">IFERROR(__xludf.DUMMYFUNCTION("""COMPUTED_VALUE"""),"")</f>
        <v/>
      </c>
      <c r="J109" s="17" t="str">
        <f ca="1">IFERROR(__xludf.DUMMYFUNCTION("""COMPUTED_VALUE"""),"")</f>
        <v/>
      </c>
      <c r="K109" s="18" t="str">
        <f ca="1">IFERROR(__xludf.DUMMYFUNCTION("""COMPUTED_VALUE"""),"")</f>
        <v/>
      </c>
      <c r="L109" s="19"/>
      <c r="M109" s="19"/>
      <c r="N109" s="19"/>
      <c r="O109" s="19"/>
      <c r="P109" s="19"/>
      <c r="Q109" s="19"/>
      <c r="R109" s="19"/>
      <c r="S109" s="19"/>
      <c r="T109" s="19"/>
      <c r="U109" s="19"/>
      <c r="V109" s="20"/>
      <c r="W109" s="20"/>
      <c r="X109" s="20"/>
      <c r="Y109" s="20"/>
      <c r="Z109" s="21"/>
      <c r="AA109" s="22"/>
      <c r="AB109" s="23"/>
    </row>
    <row r="110" spans="1:28" ht="13.5" customHeight="1" x14ac:dyDescent="0.35">
      <c r="A110" s="24" t="str">
        <f ca="1">IFERROR(__xludf.DUMMYFUNCTION("""COMPUTED_VALUE"""),"")</f>
        <v/>
      </c>
      <c r="B110" s="28" t="str">
        <f ca="1">IFERROR(__xludf.DUMMYFUNCTION("""COMPUTED_VALUE"""),"")</f>
        <v/>
      </c>
      <c r="C110" s="27" t="str">
        <f ca="1">IFERROR(__xludf.DUMMYFUNCTION("""COMPUTED_VALUE"""),"")</f>
        <v/>
      </c>
      <c r="D110" s="27" t="str">
        <f ca="1">IFERROR(__xludf.DUMMYFUNCTION("""COMPUTED_VALUE"""),"")</f>
        <v/>
      </c>
      <c r="E110" s="15" t="str">
        <f ca="1">IFERROR(__xludf.DUMMYFUNCTION("""COMPUTED_VALUE"""),"")</f>
        <v/>
      </c>
      <c r="F110" s="51" t="str">
        <f ca="1">IFERROR(__xludf.DUMMYFUNCTION("""COMPUTED_VALUE"""),"")</f>
        <v/>
      </c>
      <c r="G110" s="16" t="str">
        <f ca="1">IFERROR(__xludf.DUMMYFUNCTION("""COMPUTED_VALUE"""),"")</f>
        <v/>
      </c>
      <c r="H110" s="17" t="str">
        <f ca="1">IFERROR(__xludf.DUMMYFUNCTION("""COMPUTED_VALUE"""),"")</f>
        <v/>
      </c>
      <c r="I110" s="17" t="str">
        <f ca="1">IFERROR(__xludf.DUMMYFUNCTION("""COMPUTED_VALUE"""),"")</f>
        <v/>
      </c>
      <c r="J110" s="17" t="str">
        <f ca="1">IFERROR(__xludf.DUMMYFUNCTION("""COMPUTED_VALUE"""),"")</f>
        <v/>
      </c>
      <c r="K110" s="18" t="str">
        <f ca="1">IFERROR(__xludf.DUMMYFUNCTION("""COMPUTED_VALUE"""),"")</f>
        <v/>
      </c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20"/>
      <c r="W110" s="20"/>
      <c r="X110" s="20"/>
      <c r="Y110" s="20"/>
      <c r="Z110" s="21"/>
      <c r="AA110" s="22"/>
      <c r="AB110" s="23"/>
    </row>
    <row r="111" spans="1:28" ht="13.5" customHeight="1" x14ac:dyDescent="0.35">
      <c r="A111" s="24" t="str">
        <f ca="1">IFERROR(__xludf.DUMMYFUNCTION("""COMPUTED_VALUE"""),"")</f>
        <v/>
      </c>
      <c r="B111" s="28" t="str">
        <f ca="1">IFERROR(__xludf.DUMMYFUNCTION("""COMPUTED_VALUE"""),"")</f>
        <v/>
      </c>
      <c r="C111" s="27" t="str">
        <f ca="1">IFERROR(__xludf.DUMMYFUNCTION("""COMPUTED_VALUE"""),"")</f>
        <v/>
      </c>
      <c r="D111" s="27" t="str">
        <f ca="1">IFERROR(__xludf.DUMMYFUNCTION("""COMPUTED_VALUE"""),"")</f>
        <v/>
      </c>
      <c r="E111" s="15" t="str">
        <f ca="1">IFERROR(__xludf.DUMMYFUNCTION("""COMPUTED_VALUE"""),"")</f>
        <v/>
      </c>
      <c r="F111" s="51" t="str">
        <f ca="1">IFERROR(__xludf.DUMMYFUNCTION("""COMPUTED_VALUE"""),"")</f>
        <v/>
      </c>
      <c r="G111" s="16" t="str">
        <f ca="1">IFERROR(__xludf.DUMMYFUNCTION("""COMPUTED_VALUE"""),"")</f>
        <v/>
      </c>
      <c r="H111" s="17" t="str">
        <f ca="1">IFERROR(__xludf.DUMMYFUNCTION("""COMPUTED_VALUE"""),"")</f>
        <v/>
      </c>
      <c r="I111" s="17" t="str">
        <f ca="1">IFERROR(__xludf.DUMMYFUNCTION("""COMPUTED_VALUE"""),"")</f>
        <v/>
      </c>
      <c r="J111" s="17" t="str">
        <f ca="1">IFERROR(__xludf.DUMMYFUNCTION("""COMPUTED_VALUE"""),"")</f>
        <v/>
      </c>
      <c r="K111" s="18" t="str">
        <f ca="1">IFERROR(__xludf.DUMMYFUNCTION("""COMPUTED_VALUE"""),"")</f>
        <v/>
      </c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V111" s="20"/>
      <c r="W111" s="20"/>
      <c r="X111" s="20"/>
      <c r="Y111" s="20"/>
      <c r="Z111" s="21"/>
      <c r="AA111" s="22"/>
      <c r="AB111" s="23"/>
    </row>
    <row r="112" spans="1:28" ht="13.5" customHeight="1" x14ac:dyDescent="0.35">
      <c r="A112" s="24" t="str">
        <f ca="1">IFERROR(__xludf.DUMMYFUNCTION("""COMPUTED_VALUE"""),"")</f>
        <v/>
      </c>
      <c r="B112" s="28" t="str">
        <f ca="1">IFERROR(__xludf.DUMMYFUNCTION("""COMPUTED_VALUE"""),"")</f>
        <v/>
      </c>
      <c r="C112" s="27" t="str">
        <f ca="1">IFERROR(__xludf.DUMMYFUNCTION("""COMPUTED_VALUE"""),"")</f>
        <v/>
      </c>
      <c r="D112" s="27" t="str">
        <f ca="1">IFERROR(__xludf.DUMMYFUNCTION("""COMPUTED_VALUE"""),"")</f>
        <v/>
      </c>
      <c r="E112" s="15" t="str">
        <f ca="1">IFERROR(__xludf.DUMMYFUNCTION("""COMPUTED_VALUE"""),"")</f>
        <v/>
      </c>
      <c r="F112" s="51" t="str">
        <f ca="1">IFERROR(__xludf.DUMMYFUNCTION("""COMPUTED_VALUE"""),"")</f>
        <v/>
      </c>
      <c r="G112" s="16" t="str">
        <f ca="1">IFERROR(__xludf.DUMMYFUNCTION("""COMPUTED_VALUE"""),"")</f>
        <v/>
      </c>
      <c r="H112" s="17" t="str">
        <f ca="1">IFERROR(__xludf.DUMMYFUNCTION("""COMPUTED_VALUE"""),"")</f>
        <v/>
      </c>
      <c r="I112" s="17" t="str">
        <f ca="1">IFERROR(__xludf.DUMMYFUNCTION("""COMPUTED_VALUE"""),"")</f>
        <v/>
      </c>
      <c r="J112" s="17" t="str">
        <f ca="1">IFERROR(__xludf.DUMMYFUNCTION("""COMPUTED_VALUE"""),"")</f>
        <v/>
      </c>
      <c r="K112" s="18" t="str">
        <f ca="1">IFERROR(__xludf.DUMMYFUNCTION("""COMPUTED_VALUE"""),"")</f>
        <v/>
      </c>
      <c r="L112" s="19"/>
      <c r="M112" s="19"/>
      <c r="N112" s="19"/>
      <c r="O112" s="19"/>
      <c r="P112" s="19"/>
      <c r="Q112" s="19"/>
      <c r="R112" s="19"/>
      <c r="S112" s="19"/>
      <c r="T112" s="19"/>
      <c r="U112" s="19"/>
      <c r="V112" s="20"/>
      <c r="W112" s="20"/>
      <c r="X112" s="20"/>
      <c r="Y112" s="20"/>
      <c r="Z112" s="21"/>
      <c r="AA112" s="22"/>
      <c r="AB112" s="23"/>
    </row>
    <row r="113" spans="1:28" ht="13.5" customHeight="1" x14ac:dyDescent="0.35">
      <c r="A113" s="24" t="str">
        <f ca="1">IFERROR(__xludf.DUMMYFUNCTION("""COMPUTED_VALUE"""),"")</f>
        <v/>
      </c>
      <c r="B113" s="28" t="str">
        <f ca="1">IFERROR(__xludf.DUMMYFUNCTION("""COMPUTED_VALUE"""),"")</f>
        <v/>
      </c>
      <c r="C113" s="27" t="str">
        <f ca="1">IFERROR(__xludf.DUMMYFUNCTION("""COMPUTED_VALUE"""),"")</f>
        <v/>
      </c>
      <c r="D113" s="27" t="str">
        <f ca="1">IFERROR(__xludf.DUMMYFUNCTION("""COMPUTED_VALUE"""),"")</f>
        <v/>
      </c>
      <c r="E113" s="15" t="str">
        <f ca="1">IFERROR(__xludf.DUMMYFUNCTION("""COMPUTED_VALUE"""),"")</f>
        <v/>
      </c>
      <c r="F113" s="51" t="str">
        <f ca="1">IFERROR(__xludf.DUMMYFUNCTION("""COMPUTED_VALUE"""),"")</f>
        <v/>
      </c>
      <c r="G113" s="16" t="str">
        <f ca="1">IFERROR(__xludf.DUMMYFUNCTION("""COMPUTED_VALUE"""),"")</f>
        <v/>
      </c>
      <c r="H113" s="17" t="str">
        <f ca="1">IFERROR(__xludf.DUMMYFUNCTION("""COMPUTED_VALUE"""),"")</f>
        <v/>
      </c>
      <c r="I113" s="17" t="str">
        <f ca="1">IFERROR(__xludf.DUMMYFUNCTION("""COMPUTED_VALUE"""),"")</f>
        <v/>
      </c>
      <c r="J113" s="17" t="str">
        <f ca="1">IFERROR(__xludf.DUMMYFUNCTION("""COMPUTED_VALUE"""),"")</f>
        <v/>
      </c>
      <c r="K113" s="18" t="str">
        <f ca="1">IFERROR(__xludf.DUMMYFUNCTION("""COMPUTED_VALUE"""),"")</f>
        <v/>
      </c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20"/>
      <c r="W113" s="20"/>
      <c r="X113" s="20"/>
      <c r="Y113" s="20"/>
      <c r="Z113" s="21"/>
      <c r="AA113" s="22"/>
      <c r="AB113" s="23"/>
    </row>
    <row r="114" spans="1:28" ht="13.5" customHeight="1" x14ac:dyDescent="0.35">
      <c r="A114" s="24" t="str">
        <f ca="1">IFERROR(__xludf.DUMMYFUNCTION("""COMPUTED_VALUE"""),"")</f>
        <v/>
      </c>
      <c r="B114" s="28" t="str">
        <f ca="1">IFERROR(__xludf.DUMMYFUNCTION("""COMPUTED_VALUE"""),"")</f>
        <v/>
      </c>
      <c r="C114" s="27" t="str">
        <f ca="1">IFERROR(__xludf.DUMMYFUNCTION("""COMPUTED_VALUE"""),"")</f>
        <v/>
      </c>
      <c r="D114" s="27" t="str">
        <f ca="1">IFERROR(__xludf.DUMMYFUNCTION("""COMPUTED_VALUE"""),"")</f>
        <v/>
      </c>
      <c r="E114" s="15" t="str">
        <f ca="1">IFERROR(__xludf.DUMMYFUNCTION("""COMPUTED_VALUE"""),"")</f>
        <v/>
      </c>
      <c r="F114" s="51" t="str">
        <f ca="1">IFERROR(__xludf.DUMMYFUNCTION("""COMPUTED_VALUE"""),"")</f>
        <v/>
      </c>
      <c r="G114" s="16" t="str">
        <f ca="1">IFERROR(__xludf.DUMMYFUNCTION("""COMPUTED_VALUE"""),"")</f>
        <v/>
      </c>
      <c r="H114" s="17" t="str">
        <f ca="1">IFERROR(__xludf.DUMMYFUNCTION("""COMPUTED_VALUE"""),"")</f>
        <v/>
      </c>
      <c r="I114" s="17" t="str">
        <f ca="1">IFERROR(__xludf.DUMMYFUNCTION("""COMPUTED_VALUE"""),"")</f>
        <v/>
      </c>
      <c r="J114" s="17" t="str">
        <f ca="1">IFERROR(__xludf.DUMMYFUNCTION("""COMPUTED_VALUE"""),"")</f>
        <v/>
      </c>
      <c r="K114" s="18" t="str">
        <f ca="1">IFERROR(__xludf.DUMMYFUNCTION("""COMPUTED_VALUE"""),"")</f>
        <v/>
      </c>
      <c r="L114" s="19"/>
      <c r="M114" s="19"/>
      <c r="N114" s="19"/>
      <c r="O114" s="19"/>
      <c r="P114" s="19"/>
      <c r="Q114" s="19"/>
      <c r="R114" s="19"/>
      <c r="S114" s="19"/>
      <c r="T114" s="19"/>
      <c r="U114" s="19"/>
      <c r="V114" s="20"/>
      <c r="W114" s="20"/>
      <c r="X114" s="20"/>
      <c r="Y114" s="20"/>
      <c r="Z114" s="21"/>
      <c r="AA114" s="22"/>
      <c r="AB114" s="23"/>
    </row>
    <row r="115" spans="1:28" ht="13.5" customHeight="1" x14ac:dyDescent="0.35">
      <c r="A115" s="24" t="str">
        <f ca="1">IFERROR(__xludf.DUMMYFUNCTION("""COMPUTED_VALUE"""),"")</f>
        <v/>
      </c>
      <c r="B115" s="28" t="str">
        <f ca="1">IFERROR(__xludf.DUMMYFUNCTION("""COMPUTED_VALUE"""),"")</f>
        <v/>
      </c>
      <c r="C115" s="27" t="str">
        <f ca="1">IFERROR(__xludf.DUMMYFUNCTION("""COMPUTED_VALUE"""),"")</f>
        <v/>
      </c>
      <c r="D115" s="27" t="str">
        <f ca="1">IFERROR(__xludf.DUMMYFUNCTION("""COMPUTED_VALUE"""),"")</f>
        <v/>
      </c>
      <c r="E115" s="15" t="str">
        <f ca="1">IFERROR(__xludf.DUMMYFUNCTION("""COMPUTED_VALUE"""),"")</f>
        <v/>
      </c>
      <c r="F115" s="51" t="str">
        <f ca="1">IFERROR(__xludf.DUMMYFUNCTION("""COMPUTED_VALUE"""),"")</f>
        <v/>
      </c>
      <c r="G115" s="16" t="str">
        <f ca="1">IFERROR(__xludf.DUMMYFUNCTION("""COMPUTED_VALUE"""),"")</f>
        <v/>
      </c>
      <c r="H115" s="17" t="str">
        <f ca="1">IFERROR(__xludf.DUMMYFUNCTION("""COMPUTED_VALUE"""),"")</f>
        <v/>
      </c>
      <c r="I115" s="17" t="str">
        <f ca="1">IFERROR(__xludf.DUMMYFUNCTION("""COMPUTED_VALUE"""),"")</f>
        <v/>
      </c>
      <c r="J115" s="17" t="str">
        <f ca="1">IFERROR(__xludf.DUMMYFUNCTION("""COMPUTED_VALUE"""),"")</f>
        <v/>
      </c>
      <c r="K115" s="18" t="str">
        <f ca="1">IFERROR(__xludf.DUMMYFUNCTION("""COMPUTED_VALUE"""),"")</f>
        <v/>
      </c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20"/>
      <c r="W115" s="20"/>
      <c r="X115" s="20"/>
      <c r="Y115" s="20"/>
      <c r="Z115" s="21"/>
      <c r="AA115" s="22"/>
      <c r="AB115" s="23"/>
    </row>
    <row r="116" spans="1:28" ht="13.5" customHeight="1" x14ac:dyDescent="0.35">
      <c r="A116" s="24" t="str">
        <f ca="1">IFERROR(__xludf.DUMMYFUNCTION("""COMPUTED_VALUE"""),"")</f>
        <v/>
      </c>
      <c r="B116" s="28" t="str">
        <f ca="1">IFERROR(__xludf.DUMMYFUNCTION("""COMPUTED_VALUE"""),"")</f>
        <v/>
      </c>
      <c r="C116" s="27" t="str">
        <f ca="1">IFERROR(__xludf.DUMMYFUNCTION("""COMPUTED_VALUE"""),"")</f>
        <v/>
      </c>
      <c r="D116" s="27" t="str">
        <f ca="1">IFERROR(__xludf.DUMMYFUNCTION("""COMPUTED_VALUE"""),"")</f>
        <v/>
      </c>
      <c r="E116" s="15" t="str">
        <f ca="1">IFERROR(__xludf.DUMMYFUNCTION("""COMPUTED_VALUE"""),"")</f>
        <v/>
      </c>
      <c r="F116" s="51" t="str">
        <f ca="1">IFERROR(__xludf.DUMMYFUNCTION("""COMPUTED_VALUE"""),"")</f>
        <v/>
      </c>
      <c r="G116" s="16" t="str">
        <f ca="1">IFERROR(__xludf.DUMMYFUNCTION("""COMPUTED_VALUE"""),"")</f>
        <v/>
      </c>
      <c r="H116" s="17" t="str">
        <f ca="1">IFERROR(__xludf.DUMMYFUNCTION("""COMPUTED_VALUE"""),"")</f>
        <v/>
      </c>
      <c r="I116" s="17" t="str">
        <f ca="1">IFERROR(__xludf.DUMMYFUNCTION("""COMPUTED_VALUE"""),"")</f>
        <v/>
      </c>
      <c r="J116" s="17" t="str">
        <f ca="1">IFERROR(__xludf.DUMMYFUNCTION("""COMPUTED_VALUE"""),"")</f>
        <v/>
      </c>
      <c r="K116" s="18" t="str">
        <f ca="1">IFERROR(__xludf.DUMMYFUNCTION("""COMPUTED_VALUE"""),"")</f>
        <v/>
      </c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20"/>
      <c r="W116" s="20"/>
      <c r="X116" s="20"/>
      <c r="Y116" s="20"/>
      <c r="Z116" s="21"/>
      <c r="AA116" s="22"/>
      <c r="AB116" s="23"/>
    </row>
    <row r="117" spans="1:28" ht="13.5" customHeight="1" x14ac:dyDescent="0.35">
      <c r="A117" s="24" t="str">
        <f ca="1">IFERROR(__xludf.DUMMYFUNCTION("""COMPUTED_VALUE"""),"")</f>
        <v/>
      </c>
      <c r="B117" s="28" t="str">
        <f ca="1">IFERROR(__xludf.DUMMYFUNCTION("""COMPUTED_VALUE"""),"")</f>
        <v/>
      </c>
      <c r="C117" s="27" t="str">
        <f ca="1">IFERROR(__xludf.DUMMYFUNCTION("""COMPUTED_VALUE"""),"")</f>
        <v/>
      </c>
      <c r="D117" s="27" t="str">
        <f ca="1">IFERROR(__xludf.DUMMYFUNCTION("""COMPUTED_VALUE"""),"")</f>
        <v/>
      </c>
      <c r="E117" s="15" t="str">
        <f ca="1">IFERROR(__xludf.DUMMYFUNCTION("""COMPUTED_VALUE"""),"")</f>
        <v/>
      </c>
      <c r="F117" s="51" t="str">
        <f ca="1">IFERROR(__xludf.DUMMYFUNCTION("""COMPUTED_VALUE"""),"")</f>
        <v/>
      </c>
      <c r="G117" s="16" t="str">
        <f ca="1">IFERROR(__xludf.DUMMYFUNCTION("""COMPUTED_VALUE"""),"")</f>
        <v/>
      </c>
      <c r="H117" s="17" t="str">
        <f ca="1">IFERROR(__xludf.DUMMYFUNCTION("""COMPUTED_VALUE"""),"")</f>
        <v/>
      </c>
      <c r="I117" s="17" t="str">
        <f ca="1">IFERROR(__xludf.DUMMYFUNCTION("""COMPUTED_VALUE"""),"")</f>
        <v/>
      </c>
      <c r="J117" s="17" t="str">
        <f ca="1">IFERROR(__xludf.DUMMYFUNCTION("""COMPUTED_VALUE"""),"")</f>
        <v/>
      </c>
      <c r="K117" s="18" t="str">
        <f ca="1">IFERROR(__xludf.DUMMYFUNCTION("""COMPUTED_VALUE"""),"")</f>
        <v/>
      </c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20"/>
      <c r="W117" s="20"/>
      <c r="X117" s="20"/>
      <c r="Y117" s="20"/>
      <c r="Z117" s="21"/>
      <c r="AA117" s="22"/>
      <c r="AB117" s="23"/>
    </row>
    <row r="118" spans="1:28" ht="13.5" customHeight="1" x14ac:dyDescent="0.35">
      <c r="A118" s="24" t="str">
        <f ca="1">IFERROR(__xludf.DUMMYFUNCTION("""COMPUTED_VALUE"""),"")</f>
        <v/>
      </c>
      <c r="B118" s="28" t="str">
        <f ca="1">IFERROR(__xludf.DUMMYFUNCTION("""COMPUTED_VALUE"""),"")</f>
        <v/>
      </c>
      <c r="C118" s="27" t="str">
        <f ca="1">IFERROR(__xludf.DUMMYFUNCTION("""COMPUTED_VALUE"""),"")</f>
        <v/>
      </c>
      <c r="D118" s="27" t="str">
        <f ca="1">IFERROR(__xludf.DUMMYFUNCTION("""COMPUTED_VALUE"""),"")</f>
        <v/>
      </c>
      <c r="E118" s="15" t="str">
        <f ca="1">IFERROR(__xludf.DUMMYFUNCTION("""COMPUTED_VALUE"""),"")</f>
        <v/>
      </c>
      <c r="F118" s="51" t="str">
        <f ca="1">IFERROR(__xludf.DUMMYFUNCTION("""COMPUTED_VALUE"""),"")</f>
        <v/>
      </c>
      <c r="G118" s="16" t="str">
        <f ca="1">IFERROR(__xludf.DUMMYFUNCTION("""COMPUTED_VALUE"""),"")</f>
        <v/>
      </c>
      <c r="H118" s="17" t="str">
        <f ca="1">IFERROR(__xludf.DUMMYFUNCTION("""COMPUTED_VALUE"""),"")</f>
        <v/>
      </c>
      <c r="I118" s="17" t="str">
        <f ca="1">IFERROR(__xludf.DUMMYFUNCTION("""COMPUTED_VALUE"""),"")</f>
        <v/>
      </c>
      <c r="J118" s="17" t="str">
        <f ca="1">IFERROR(__xludf.DUMMYFUNCTION("""COMPUTED_VALUE"""),"")</f>
        <v/>
      </c>
      <c r="K118" s="18" t="str">
        <f ca="1">IFERROR(__xludf.DUMMYFUNCTION("""COMPUTED_VALUE"""),"")</f>
        <v/>
      </c>
      <c r="L118" s="19"/>
      <c r="M118" s="19"/>
      <c r="N118" s="19"/>
      <c r="O118" s="19"/>
      <c r="P118" s="19"/>
      <c r="Q118" s="19"/>
      <c r="R118" s="19"/>
      <c r="S118" s="19"/>
      <c r="T118" s="19"/>
      <c r="U118" s="19"/>
      <c r="V118" s="20"/>
      <c r="W118" s="20"/>
      <c r="X118" s="20"/>
      <c r="Y118" s="20"/>
      <c r="Z118" s="21"/>
      <c r="AA118" s="22"/>
      <c r="AB118" s="23"/>
    </row>
    <row r="119" spans="1:28" ht="13.5" customHeight="1" x14ac:dyDescent="0.35">
      <c r="A119" s="24" t="str">
        <f ca="1">IFERROR(__xludf.DUMMYFUNCTION("""COMPUTED_VALUE"""),"")</f>
        <v/>
      </c>
      <c r="B119" s="28" t="str">
        <f ca="1">IFERROR(__xludf.DUMMYFUNCTION("""COMPUTED_VALUE"""),"")</f>
        <v/>
      </c>
      <c r="C119" s="27" t="str">
        <f ca="1">IFERROR(__xludf.DUMMYFUNCTION("""COMPUTED_VALUE"""),"")</f>
        <v/>
      </c>
      <c r="D119" s="27" t="str">
        <f ca="1">IFERROR(__xludf.DUMMYFUNCTION("""COMPUTED_VALUE"""),"")</f>
        <v/>
      </c>
      <c r="E119" s="15" t="str">
        <f ca="1">IFERROR(__xludf.DUMMYFUNCTION("""COMPUTED_VALUE"""),"")</f>
        <v/>
      </c>
      <c r="F119" s="51" t="str">
        <f ca="1">IFERROR(__xludf.DUMMYFUNCTION("""COMPUTED_VALUE"""),"")</f>
        <v/>
      </c>
      <c r="G119" s="16" t="str">
        <f ca="1">IFERROR(__xludf.DUMMYFUNCTION("""COMPUTED_VALUE"""),"")</f>
        <v/>
      </c>
      <c r="H119" s="17" t="str">
        <f ca="1">IFERROR(__xludf.DUMMYFUNCTION("""COMPUTED_VALUE"""),"")</f>
        <v/>
      </c>
      <c r="I119" s="17" t="str">
        <f ca="1">IFERROR(__xludf.DUMMYFUNCTION("""COMPUTED_VALUE"""),"")</f>
        <v/>
      </c>
      <c r="J119" s="17" t="str">
        <f ca="1">IFERROR(__xludf.DUMMYFUNCTION("""COMPUTED_VALUE"""),"")</f>
        <v/>
      </c>
      <c r="K119" s="18" t="str">
        <f ca="1">IFERROR(__xludf.DUMMYFUNCTION("""COMPUTED_VALUE"""),"")</f>
        <v/>
      </c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20"/>
      <c r="W119" s="20"/>
      <c r="X119" s="20"/>
      <c r="Y119" s="20"/>
      <c r="Z119" s="21"/>
      <c r="AA119" s="22"/>
      <c r="AB119" s="23"/>
    </row>
    <row r="120" spans="1:28" ht="13.5" customHeight="1" x14ac:dyDescent="0.35">
      <c r="A120" s="24" t="str">
        <f ca="1">IFERROR(__xludf.DUMMYFUNCTION("""COMPUTED_VALUE"""),"")</f>
        <v/>
      </c>
      <c r="B120" s="28" t="str">
        <f ca="1">IFERROR(__xludf.DUMMYFUNCTION("""COMPUTED_VALUE"""),"")</f>
        <v/>
      </c>
      <c r="C120" s="27" t="str">
        <f ca="1">IFERROR(__xludf.DUMMYFUNCTION("""COMPUTED_VALUE"""),"")</f>
        <v/>
      </c>
      <c r="D120" s="27" t="str">
        <f ca="1">IFERROR(__xludf.DUMMYFUNCTION("""COMPUTED_VALUE"""),"")</f>
        <v/>
      </c>
      <c r="E120" s="15" t="str">
        <f ca="1">IFERROR(__xludf.DUMMYFUNCTION("""COMPUTED_VALUE"""),"")</f>
        <v/>
      </c>
      <c r="F120" s="51" t="str">
        <f ca="1">IFERROR(__xludf.DUMMYFUNCTION("""COMPUTED_VALUE"""),"")</f>
        <v/>
      </c>
      <c r="G120" s="16" t="str">
        <f ca="1">IFERROR(__xludf.DUMMYFUNCTION("""COMPUTED_VALUE"""),"")</f>
        <v/>
      </c>
      <c r="H120" s="17" t="str">
        <f ca="1">IFERROR(__xludf.DUMMYFUNCTION("""COMPUTED_VALUE"""),"")</f>
        <v/>
      </c>
      <c r="I120" s="17" t="str">
        <f ca="1">IFERROR(__xludf.DUMMYFUNCTION("""COMPUTED_VALUE"""),"")</f>
        <v/>
      </c>
      <c r="J120" s="17" t="str">
        <f ca="1">IFERROR(__xludf.DUMMYFUNCTION("""COMPUTED_VALUE"""),"")</f>
        <v/>
      </c>
      <c r="K120" s="18" t="str">
        <f ca="1">IFERROR(__xludf.DUMMYFUNCTION("""COMPUTED_VALUE"""),"")</f>
        <v/>
      </c>
      <c r="L120" s="19"/>
      <c r="M120" s="19"/>
      <c r="N120" s="19"/>
      <c r="O120" s="19"/>
      <c r="P120" s="19"/>
      <c r="Q120" s="19"/>
      <c r="R120" s="19"/>
      <c r="S120" s="19"/>
      <c r="T120" s="19"/>
      <c r="U120" s="19"/>
      <c r="V120" s="20"/>
      <c r="W120" s="20"/>
      <c r="X120" s="20"/>
      <c r="Y120" s="20"/>
      <c r="Z120" s="21"/>
      <c r="AA120" s="22"/>
      <c r="AB120" s="23"/>
    </row>
    <row r="121" spans="1:28" ht="13.5" customHeight="1" x14ac:dyDescent="0.35">
      <c r="A121" s="24" t="str">
        <f ca="1">IFERROR(__xludf.DUMMYFUNCTION("""COMPUTED_VALUE"""),"")</f>
        <v/>
      </c>
      <c r="B121" s="28" t="str">
        <f ca="1">IFERROR(__xludf.DUMMYFUNCTION("""COMPUTED_VALUE"""),"")</f>
        <v/>
      </c>
      <c r="C121" s="27" t="str">
        <f ca="1">IFERROR(__xludf.DUMMYFUNCTION("""COMPUTED_VALUE"""),"")</f>
        <v/>
      </c>
      <c r="D121" s="27" t="str">
        <f ca="1">IFERROR(__xludf.DUMMYFUNCTION("""COMPUTED_VALUE"""),"")</f>
        <v/>
      </c>
      <c r="E121" s="15" t="str">
        <f ca="1">IFERROR(__xludf.DUMMYFUNCTION("""COMPUTED_VALUE"""),"")</f>
        <v/>
      </c>
      <c r="F121" s="51" t="str">
        <f ca="1">IFERROR(__xludf.DUMMYFUNCTION("""COMPUTED_VALUE"""),"")</f>
        <v/>
      </c>
      <c r="G121" s="16" t="str">
        <f ca="1">IFERROR(__xludf.DUMMYFUNCTION("""COMPUTED_VALUE"""),"")</f>
        <v/>
      </c>
      <c r="H121" s="17" t="str">
        <f ca="1">IFERROR(__xludf.DUMMYFUNCTION("""COMPUTED_VALUE"""),"")</f>
        <v/>
      </c>
      <c r="I121" s="17" t="str">
        <f ca="1">IFERROR(__xludf.DUMMYFUNCTION("""COMPUTED_VALUE"""),"")</f>
        <v/>
      </c>
      <c r="J121" s="17" t="str">
        <f ca="1">IFERROR(__xludf.DUMMYFUNCTION("""COMPUTED_VALUE"""),"")</f>
        <v/>
      </c>
      <c r="K121" s="18" t="str">
        <f ca="1">IFERROR(__xludf.DUMMYFUNCTION("""COMPUTED_VALUE"""),"")</f>
        <v/>
      </c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20"/>
      <c r="W121" s="20"/>
      <c r="X121" s="20"/>
      <c r="Y121" s="20"/>
      <c r="Z121" s="21"/>
      <c r="AA121" s="22"/>
      <c r="AB121" s="23"/>
    </row>
    <row r="122" spans="1:28" ht="13.5" customHeight="1" x14ac:dyDescent="0.35">
      <c r="A122" s="24" t="str">
        <f ca="1">IFERROR(__xludf.DUMMYFUNCTION("""COMPUTED_VALUE"""),"")</f>
        <v/>
      </c>
      <c r="B122" s="28" t="str">
        <f ca="1">IFERROR(__xludf.DUMMYFUNCTION("""COMPUTED_VALUE"""),"")</f>
        <v/>
      </c>
      <c r="C122" s="27" t="str">
        <f ca="1">IFERROR(__xludf.DUMMYFUNCTION("""COMPUTED_VALUE"""),"")</f>
        <v/>
      </c>
      <c r="D122" s="27" t="str">
        <f ca="1">IFERROR(__xludf.DUMMYFUNCTION("""COMPUTED_VALUE"""),"")</f>
        <v/>
      </c>
      <c r="E122" s="15" t="str">
        <f ca="1">IFERROR(__xludf.DUMMYFUNCTION("""COMPUTED_VALUE"""),"")</f>
        <v/>
      </c>
      <c r="F122" s="51" t="str">
        <f ca="1">IFERROR(__xludf.DUMMYFUNCTION("""COMPUTED_VALUE"""),"")</f>
        <v/>
      </c>
      <c r="G122" s="16" t="str">
        <f ca="1">IFERROR(__xludf.DUMMYFUNCTION("""COMPUTED_VALUE"""),"")</f>
        <v/>
      </c>
      <c r="H122" s="17" t="str">
        <f ca="1">IFERROR(__xludf.DUMMYFUNCTION("""COMPUTED_VALUE"""),"")</f>
        <v/>
      </c>
      <c r="I122" s="17" t="str">
        <f ca="1">IFERROR(__xludf.DUMMYFUNCTION("""COMPUTED_VALUE"""),"")</f>
        <v/>
      </c>
      <c r="J122" s="17" t="str">
        <f ca="1">IFERROR(__xludf.DUMMYFUNCTION("""COMPUTED_VALUE"""),"")</f>
        <v/>
      </c>
      <c r="K122" s="18" t="str">
        <f ca="1">IFERROR(__xludf.DUMMYFUNCTION("""COMPUTED_VALUE"""),"")</f>
        <v/>
      </c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20"/>
      <c r="W122" s="20"/>
      <c r="X122" s="20"/>
      <c r="Y122" s="20"/>
      <c r="Z122" s="21"/>
      <c r="AA122" s="22"/>
      <c r="AB122" s="23"/>
    </row>
    <row r="123" spans="1:28" ht="13.5" customHeight="1" x14ac:dyDescent="0.35">
      <c r="A123" s="24" t="str">
        <f ca="1">IFERROR(__xludf.DUMMYFUNCTION("""COMPUTED_VALUE"""),"")</f>
        <v/>
      </c>
      <c r="B123" s="28" t="str">
        <f ca="1">IFERROR(__xludf.DUMMYFUNCTION("""COMPUTED_VALUE"""),"")</f>
        <v/>
      </c>
      <c r="C123" s="27" t="str">
        <f ca="1">IFERROR(__xludf.DUMMYFUNCTION("""COMPUTED_VALUE"""),"")</f>
        <v/>
      </c>
      <c r="D123" s="27" t="str">
        <f ca="1">IFERROR(__xludf.DUMMYFUNCTION("""COMPUTED_VALUE"""),"")</f>
        <v/>
      </c>
      <c r="E123" s="15" t="str">
        <f ca="1">IFERROR(__xludf.DUMMYFUNCTION("""COMPUTED_VALUE"""),"")</f>
        <v/>
      </c>
      <c r="F123" s="51" t="str">
        <f ca="1">IFERROR(__xludf.DUMMYFUNCTION("""COMPUTED_VALUE"""),"")</f>
        <v/>
      </c>
      <c r="G123" s="16" t="str">
        <f ca="1">IFERROR(__xludf.DUMMYFUNCTION("""COMPUTED_VALUE"""),"")</f>
        <v/>
      </c>
      <c r="H123" s="17" t="str">
        <f ca="1">IFERROR(__xludf.DUMMYFUNCTION("""COMPUTED_VALUE"""),"")</f>
        <v/>
      </c>
      <c r="I123" s="17" t="str">
        <f ca="1">IFERROR(__xludf.DUMMYFUNCTION("""COMPUTED_VALUE"""),"")</f>
        <v/>
      </c>
      <c r="J123" s="17" t="str">
        <f ca="1">IFERROR(__xludf.DUMMYFUNCTION("""COMPUTED_VALUE"""),"")</f>
        <v/>
      </c>
      <c r="K123" s="18" t="str">
        <f ca="1">IFERROR(__xludf.DUMMYFUNCTION("""COMPUTED_VALUE"""),"")</f>
        <v/>
      </c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V123" s="20"/>
      <c r="W123" s="20"/>
      <c r="X123" s="20"/>
      <c r="Y123" s="20"/>
      <c r="Z123" s="21"/>
      <c r="AA123" s="22"/>
      <c r="AB123" s="23"/>
    </row>
    <row r="124" spans="1:28" ht="13.5" customHeight="1" x14ac:dyDescent="0.35">
      <c r="A124" s="24" t="str">
        <f ca="1">IFERROR(__xludf.DUMMYFUNCTION("""COMPUTED_VALUE"""),"")</f>
        <v/>
      </c>
      <c r="B124" s="28" t="str">
        <f ca="1">IFERROR(__xludf.DUMMYFUNCTION("""COMPUTED_VALUE"""),"")</f>
        <v/>
      </c>
      <c r="C124" s="27" t="str">
        <f ca="1">IFERROR(__xludf.DUMMYFUNCTION("""COMPUTED_VALUE"""),"")</f>
        <v/>
      </c>
      <c r="D124" s="27" t="str">
        <f ca="1">IFERROR(__xludf.DUMMYFUNCTION("""COMPUTED_VALUE"""),"")</f>
        <v/>
      </c>
      <c r="E124" s="15" t="str">
        <f ca="1">IFERROR(__xludf.DUMMYFUNCTION("""COMPUTED_VALUE"""),"")</f>
        <v/>
      </c>
      <c r="F124" s="51" t="str">
        <f ca="1">IFERROR(__xludf.DUMMYFUNCTION("""COMPUTED_VALUE"""),"")</f>
        <v/>
      </c>
      <c r="G124" s="16" t="str">
        <f ca="1">IFERROR(__xludf.DUMMYFUNCTION("""COMPUTED_VALUE"""),"")</f>
        <v/>
      </c>
      <c r="H124" s="17" t="str">
        <f ca="1">IFERROR(__xludf.DUMMYFUNCTION("""COMPUTED_VALUE"""),"")</f>
        <v/>
      </c>
      <c r="I124" s="17" t="str">
        <f ca="1">IFERROR(__xludf.DUMMYFUNCTION("""COMPUTED_VALUE"""),"")</f>
        <v/>
      </c>
      <c r="J124" s="17" t="str">
        <f ca="1">IFERROR(__xludf.DUMMYFUNCTION("""COMPUTED_VALUE"""),"")</f>
        <v/>
      </c>
      <c r="K124" s="18" t="str">
        <f ca="1">IFERROR(__xludf.DUMMYFUNCTION("""COMPUTED_VALUE"""),"")</f>
        <v/>
      </c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20"/>
      <c r="W124" s="20"/>
      <c r="X124" s="20"/>
      <c r="Y124" s="20"/>
      <c r="Z124" s="21"/>
      <c r="AA124" s="22"/>
      <c r="AB124" s="23"/>
    </row>
    <row r="125" spans="1:28" ht="13.5" customHeight="1" x14ac:dyDescent="0.35">
      <c r="A125" s="24" t="str">
        <f ca="1">IFERROR(__xludf.DUMMYFUNCTION("""COMPUTED_VALUE"""),"")</f>
        <v/>
      </c>
      <c r="B125" s="28" t="str">
        <f ca="1">IFERROR(__xludf.DUMMYFUNCTION("""COMPUTED_VALUE"""),"")</f>
        <v/>
      </c>
      <c r="C125" s="27" t="str">
        <f ca="1">IFERROR(__xludf.DUMMYFUNCTION("""COMPUTED_VALUE"""),"")</f>
        <v/>
      </c>
      <c r="D125" s="27" t="str">
        <f ca="1">IFERROR(__xludf.DUMMYFUNCTION("""COMPUTED_VALUE"""),"")</f>
        <v/>
      </c>
      <c r="E125" s="15" t="str">
        <f ca="1">IFERROR(__xludf.DUMMYFUNCTION("""COMPUTED_VALUE"""),"")</f>
        <v/>
      </c>
      <c r="F125" s="51" t="str">
        <f ca="1">IFERROR(__xludf.DUMMYFUNCTION("""COMPUTED_VALUE"""),"")</f>
        <v/>
      </c>
      <c r="G125" s="16" t="str">
        <f ca="1">IFERROR(__xludf.DUMMYFUNCTION("""COMPUTED_VALUE"""),"")</f>
        <v/>
      </c>
      <c r="H125" s="17" t="str">
        <f ca="1">IFERROR(__xludf.DUMMYFUNCTION("""COMPUTED_VALUE"""),"")</f>
        <v/>
      </c>
      <c r="I125" s="17" t="str">
        <f ca="1">IFERROR(__xludf.DUMMYFUNCTION("""COMPUTED_VALUE"""),"")</f>
        <v/>
      </c>
      <c r="J125" s="17" t="str">
        <f ca="1">IFERROR(__xludf.DUMMYFUNCTION("""COMPUTED_VALUE"""),"")</f>
        <v/>
      </c>
      <c r="K125" s="18" t="str">
        <f ca="1">IFERROR(__xludf.DUMMYFUNCTION("""COMPUTED_VALUE"""),"")</f>
        <v/>
      </c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20"/>
      <c r="W125" s="20"/>
      <c r="X125" s="20"/>
      <c r="Y125" s="20"/>
      <c r="Z125" s="21"/>
      <c r="AA125" s="22"/>
      <c r="AB125" s="23"/>
    </row>
    <row r="126" spans="1:28" ht="13.5" customHeight="1" x14ac:dyDescent="0.35">
      <c r="A126" s="24" t="str">
        <f ca="1">IFERROR(__xludf.DUMMYFUNCTION("""COMPUTED_VALUE"""),"")</f>
        <v/>
      </c>
      <c r="B126" s="28" t="str">
        <f ca="1">IFERROR(__xludf.DUMMYFUNCTION("""COMPUTED_VALUE"""),"")</f>
        <v/>
      </c>
      <c r="C126" s="27" t="str">
        <f ca="1">IFERROR(__xludf.DUMMYFUNCTION("""COMPUTED_VALUE"""),"")</f>
        <v/>
      </c>
      <c r="D126" s="27" t="str">
        <f ca="1">IFERROR(__xludf.DUMMYFUNCTION("""COMPUTED_VALUE"""),"")</f>
        <v/>
      </c>
      <c r="E126" s="15" t="str">
        <f ca="1">IFERROR(__xludf.DUMMYFUNCTION("""COMPUTED_VALUE"""),"")</f>
        <v/>
      </c>
      <c r="F126" s="51" t="str">
        <f ca="1">IFERROR(__xludf.DUMMYFUNCTION("""COMPUTED_VALUE"""),"")</f>
        <v/>
      </c>
      <c r="G126" s="16" t="str">
        <f ca="1">IFERROR(__xludf.DUMMYFUNCTION("""COMPUTED_VALUE"""),"")</f>
        <v/>
      </c>
      <c r="H126" s="17" t="str">
        <f ca="1">IFERROR(__xludf.DUMMYFUNCTION("""COMPUTED_VALUE"""),"")</f>
        <v/>
      </c>
      <c r="I126" s="17" t="str">
        <f ca="1">IFERROR(__xludf.DUMMYFUNCTION("""COMPUTED_VALUE"""),"")</f>
        <v/>
      </c>
      <c r="J126" s="17" t="str">
        <f ca="1">IFERROR(__xludf.DUMMYFUNCTION("""COMPUTED_VALUE"""),"")</f>
        <v/>
      </c>
      <c r="K126" s="18" t="str">
        <f ca="1">IFERROR(__xludf.DUMMYFUNCTION("""COMPUTED_VALUE"""),"")</f>
        <v/>
      </c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20"/>
      <c r="W126" s="20"/>
      <c r="X126" s="20"/>
      <c r="Y126" s="20"/>
      <c r="Z126" s="21"/>
      <c r="AA126" s="22"/>
      <c r="AB126" s="23"/>
    </row>
    <row r="127" spans="1:28" ht="13.5" customHeight="1" x14ac:dyDescent="0.35">
      <c r="A127" s="24" t="str">
        <f ca="1">IFERROR(__xludf.DUMMYFUNCTION("""COMPUTED_VALUE"""),"")</f>
        <v/>
      </c>
      <c r="B127" s="28" t="str">
        <f ca="1">IFERROR(__xludf.DUMMYFUNCTION("""COMPUTED_VALUE"""),"")</f>
        <v/>
      </c>
      <c r="C127" s="27" t="str">
        <f ca="1">IFERROR(__xludf.DUMMYFUNCTION("""COMPUTED_VALUE"""),"")</f>
        <v/>
      </c>
      <c r="D127" s="27" t="str">
        <f ca="1">IFERROR(__xludf.DUMMYFUNCTION("""COMPUTED_VALUE"""),"")</f>
        <v/>
      </c>
      <c r="E127" s="15" t="str">
        <f ca="1">IFERROR(__xludf.DUMMYFUNCTION("""COMPUTED_VALUE"""),"")</f>
        <v/>
      </c>
      <c r="F127" s="51" t="str">
        <f ca="1">IFERROR(__xludf.DUMMYFUNCTION("""COMPUTED_VALUE"""),"")</f>
        <v/>
      </c>
      <c r="G127" s="16" t="str">
        <f ca="1">IFERROR(__xludf.DUMMYFUNCTION("""COMPUTED_VALUE"""),"")</f>
        <v/>
      </c>
      <c r="H127" s="17" t="str">
        <f ca="1">IFERROR(__xludf.DUMMYFUNCTION("""COMPUTED_VALUE"""),"")</f>
        <v/>
      </c>
      <c r="I127" s="17" t="str">
        <f ca="1">IFERROR(__xludf.DUMMYFUNCTION("""COMPUTED_VALUE"""),"")</f>
        <v/>
      </c>
      <c r="J127" s="17" t="str">
        <f ca="1">IFERROR(__xludf.DUMMYFUNCTION("""COMPUTED_VALUE"""),"")</f>
        <v/>
      </c>
      <c r="K127" s="18" t="str">
        <f ca="1">IFERROR(__xludf.DUMMYFUNCTION("""COMPUTED_VALUE"""),"")</f>
        <v/>
      </c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20"/>
      <c r="W127" s="20"/>
      <c r="X127" s="20"/>
      <c r="Y127" s="20"/>
      <c r="Z127" s="21"/>
      <c r="AA127" s="22"/>
      <c r="AB127" s="23"/>
    </row>
    <row r="128" spans="1:28" ht="13.5" customHeight="1" x14ac:dyDescent="0.35">
      <c r="A128" s="24" t="str">
        <f ca="1">IFERROR(__xludf.DUMMYFUNCTION("""COMPUTED_VALUE"""),"")</f>
        <v/>
      </c>
      <c r="B128" s="28" t="str">
        <f ca="1">IFERROR(__xludf.DUMMYFUNCTION("""COMPUTED_VALUE"""),"")</f>
        <v/>
      </c>
      <c r="C128" s="27" t="str">
        <f ca="1">IFERROR(__xludf.DUMMYFUNCTION("""COMPUTED_VALUE"""),"")</f>
        <v/>
      </c>
      <c r="D128" s="27" t="str">
        <f ca="1">IFERROR(__xludf.DUMMYFUNCTION("""COMPUTED_VALUE"""),"")</f>
        <v/>
      </c>
      <c r="E128" s="15" t="str">
        <f ca="1">IFERROR(__xludf.DUMMYFUNCTION("""COMPUTED_VALUE"""),"")</f>
        <v/>
      </c>
      <c r="F128" s="51" t="str">
        <f ca="1">IFERROR(__xludf.DUMMYFUNCTION("""COMPUTED_VALUE"""),"")</f>
        <v/>
      </c>
      <c r="G128" s="16" t="str">
        <f ca="1">IFERROR(__xludf.DUMMYFUNCTION("""COMPUTED_VALUE"""),"")</f>
        <v/>
      </c>
      <c r="H128" s="17" t="str">
        <f ca="1">IFERROR(__xludf.DUMMYFUNCTION("""COMPUTED_VALUE"""),"")</f>
        <v/>
      </c>
      <c r="I128" s="17" t="str">
        <f ca="1">IFERROR(__xludf.DUMMYFUNCTION("""COMPUTED_VALUE"""),"")</f>
        <v/>
      </c>
      <c r="J128" s="17" t="str">
        <f ca="1">IFERROR(__xludf.DUMMYFUNCTION("""COMPUTED_VALUE"""),"")</f>
        <v/>
      </c>
      <c r="K128" s="18" t="str">
        <f ca="1">IFERROR(__xludf.DUMMYFUNCTION("""COMPUTED_VALUE"""),"")</f>
        <v/>
      </c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20"/>
      <c r="W128" s="20"/>
      <c r="X128" s="20"/>
      <c r="Y128" s="20"/>
      <c r="Z128" s="21"/>
      <c r="AA128" s="22"/>
      <c r="AB128" s="23"/>
    </row>
    <row r="129" spans="1:28" ht="13.5" customHeight="1" x14ac:dyDescent="0.35">
      <c r="A129" s="24" t="str">
        <f ca="1">IFERROR(__xludf.DUMMYFUNCTION("""COMPUTED_VALUE"""),"")</f>
        <v/>
      </c>
      <c r="B129" s="28" t="str">
        <f ca="1">IFERROR(__xludf.DUMMYFUNCTION("""COMPUTED_VALUE"""),"")</f>
        <v/>
      </c>
      <c r="C129" s="27" t="str">
        <f ca="1">IFERROR(__xludf.DUMMYFUNCTION("""COMPUTED_VALUE"""),"")</f>
        <v/>
      </c>
      <c r="D129" s="27" t="str">
        <f ca="1">IFERROR(__xludf.DUMMYFUNCTION("""COMPUTED_VALUE"""),"")</f>
        <v/>
      </c>
      <c r="E129" s="15" t="str">
        <f ca="1">IFERROR(__xludf.DUMMYFUNCTION("""COMPUTED_VALUE"""),"")</f>
        <v/>
      </c>
      <c r="F129" s="51" t="str">
        <f ca="1">IFERROR(__xludf.DUMMYFUNCTION("""COMPUTED_VALUE"""),"")</f>
        <v/>
      </c>
      <c r="G129" s="16" t="str">
        <f ca="1">IFERROR(__xludf.DUMMYFUNCTION("""COMPUTED_VALUE"""),"")</f>
        <v/>
      </c>
      <c r="H129" s="17" t="str">
        <f ca="1">IFERROR(__xludf.DUMMYFUNCTION("""COMPUTED_VALUE"""),"")</f>
        <v/>
      </c>
      <c r="I129" s="17" t="str">
        <f ca="1">IFERROR(__xludf.DUMMYFUNCTION("""COMPUTED_VALUE"""),"")</f>
        <v/>
      </c>
      <c r="J129" s="17" t="str">
        <f ca="1">IFERROR(__xludf.DUMMYFUNCTION("""COMPUTED_VALUE"""),"")</f>
        <v/>
      </c>
      <c r="K129" s="18" t="str">
        <f ca="1">IFERROR(__xludf.DUMMYFUNCTION("""COMPUTED_VALUE"""),"")</f>
        <v/>
      </c>
      <c r="L129" s="19"/>
      <c r="M129" s="19"/>
      <c r="N129" s="19"/>
      <c r="O129" s="19"/>
      <c r="P129" s="19"/>
      <c r="Q129" s="19"/>
      <c r="R129" s="19"/>
      <c r="S129" s="19"/>
      <c r="T129" s="19"/>
      <c r="U129" s="19"/>
      <c r="V129" s="20"/>
      <c r="W129" s="20"/>
      <c r="X129" s="20"/>
      <c r="Y129" s="20"/>
      <c r="Z129" s="21"/>
      <c r="AA129" s="22"/>
      <c r="AB129" s="23"/>
    </row>
    <row r="130" spans="1:28" ht="13.5" customHeight="1" x14ac:dyDescent="0.35">
      <c r="A130" s="24" t="str">
        <f ca="1">IFERROR(__xludf.DUMMYFUNCTION("""COMPUTED_VALUE"""),"")</f>
        <v/>
      </c>
      <c r="B130" s="28" t="str">
        <f ca="1">IFERROR(__xludf.DUMMYFUNCTION("""COMPUTED_VALUE"""),"")</f>
        <v/>
      </c>
      <c r="C130" s="27" t="str">
        <f ca="1">IFERROR(__xludf.DUMMYFUNCTION("""COMPUTED_VALUE"""),"")</f>
        <v/>
      </c>
      <c r="D130" s="27" t="str">
        <f ca="1">IFERROR(__xludf.DUMMYFUNCTION("""COMPUTED_VALUE"""),"")</f>
        <v/>
      </c>
      <c r="E130" s="15" t="str">
        <f ca="1">IFERROR(__xludf.DUMMYFUNCTION("""COMPUTED_VALUE"""),"")</f>
        <v/>
      </c>
      <c r="F130" s="51" t="str">
        <f ca="1">IFERROR(__xludf.DUMMYFUNCTION("""COMPUTED_VALUE"""),"")</f>
        <v/>
      </c>
      <c r="G130" s="16" t="str">
        <f ca="1">IFERROR(__xludf.DUMMYFUNCTION("""COMPUTED_VALUE"""),"")</f>
        <v/>
      </c>
      <c r="H130" s="17" t="str">
        <f ca="1">IFERROR(__xludf.DUMMYFUNCTION("""COMPUTED_VALUE"""),"")</f>
        <v/>
      </c>
      <c r="I130" s="17" t="str">
        <f ca="1">IFERROR(__xludf.DUMMYFUNCTION("""COMPUTED_VALUE"""),"")</f>
        <v/>
      </c>
      <c r="J130" s="17" t="str">
        <f ca="1">IFERROR(__xludf.DUMMYFUNCTION("""COMPUTED_VALUE"""),"")</f>
        <v/>
      </c>
      <c r="K130" s="18" t="str">
        <f ca="1">IFERROR(__xludf.DUMMYFUNCTION("""COMPUTED_VALUE"""),"")</f>
        <v/>
      </c>
      <c r="L130" s="19"/>
      <c r="M130" s="19"/>
      <c r="N130" s="19"/>
      <c r="O130" s="19"/>
      <c r="P130" s="19"/>
      <c r="Q130" s="19"/>
      <c r="R130" s="19"/>
      <c r="S130" s="19"/>
      <c r="T130" s="19"/>
      <c r="U130" s="19"/>
      <c r="V130" s="20"/>
      <c r="W130" s="20"/>
      <c r="X130" s="20"/>
      <c r="Y130" s="20"/>
      <c r="Z130" s="21"/>
      <c r="AA130" s="22"/>
      <c r="AB130" s="23"/>
    </row>
    <row r="131" spans="1:28" ht="13.5" customHeight="1" x14ac:dyDescent="0.35">
      <c r="A131" s="24" t="str">
        <f ca="1">IFERROR(__xludf.DUMMYFUNCTION("""COMPUTED_VALUE"""),"")</f>
        <v/>
      </c>
      <c r="B131" s="28" t="str">
        <f ca="1">IFERROR(__xludf.DUMMYFUNCTION("""COMPUTED_VALUE"""),"")</f>
        <v/>
      </c>
      <c r="C131" s="27" t="str">
        <f ca="1">IFERROR(__xludf.DUMMYFUNCTION("""COMPUTED_VALUE"""),"")</f>
        <v/>
      </c>
      <c r="D131" s="27" t="str">
        <f ca="1">IFERROR(__xludf.DUMMYFUNCTION("""COMPUTED_VALUE"""),"")</f>
        <v/>
      </c>
      <c r="E131" s="15" t="str">
        <f ca="1">IFERROR(__xludf.DUMMYFUNCTION("""COMPUTED_VALUE"""),"")</f>
        <v/>
      </c>
      <c r="F131" s="51" t="str">
        <f ca="1">IFERROR(__xludf.DUMMYFUNCTION("""COMPUTED_VALUE"""),"")</f>
        <v/>
      </c>
      <c r="G131" s="16" t="str">
        <f ca="1">IFERROR(__xludf.DUMMYFUNCTION("""COMPUTED_VALUE"""),"")</f>
        <v/>
      </c>
      <c r="H131" s="17" t="str">
        <f ca="1">IFERROR(__xludf.DUMMYFUNCTION("""COMPUTED_VALUE"""),"")</f>
        <v/>
      </c>
      <c r="I131" s="17" t="str">
        <f ca="1">IFERROR(__xludf.DUMMYFUNCTION("""COMPUTED_VALUE"""),"")</f>
        <v/>
      </c>
      <c r="J131" s="17" t="str">
        <f ca="1">IFERROR(__xludf.DUMMYFUNCTION("""COMPUTED_VALUE"""),"")</f>
        <v/>
      </c>
      <c r="K131" s="18" t="str">
        <f ca="1">IFERROR(__xludf.DUMMYFUNCTION("""COMPUTED_VALUE"""),"")</f>
        <v/>
      </c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20"/>
      <c r="W131" s="20"/>
      <c r="X131" s="20"/>
      <c r="Y131" s="20"/>
      <c r="Z131" s="21"/>
      <c r="AA131" s="22"/>
      <c r="AB131" s="23"/>
    </row>
    <row r="132" spans="1:28" ht="13.5" customHeight="1" x14ac:dyDescent="0.35">
      <c r="A132" s="24" t="str">
        <f ca="1">IFERROR(__xludf.DUMMYFUNCTION("""COMPUTED_VALUE"""),"")</f>
        <v/>
      </c>
      <c r="B132" s="28" t="str">
        <f ca="1">IFERROR(__xludf.DUMMYFUNCTION("""COMPUTED_VALUE"""),"")</f>
        <v/>
      </c>
      <c r="C132" s="27" t="str">
        <f ca="1">IFERROR(__xludf.DUMMYFUNCTION("""COMPUTED_VALUE"""),"")</f>
        <v/>
      </c>
      <c r="D132" s="27" t="str">
        <f ca="1">IFERROR(__xludf.DUMMYFUNCTION("""COMPUTED_VALUE"""),"")</f>
        <v/>
      </c>
      <c r="E132" s="15" t="str">
        <f ca="1">IFERROR(__xludf.DUMMYFUNCTION("""COMPUTED_VALUE"""),"")</f>
        <v/>
      </c>
      <c r="F132" s="51" t="str">
        <f ca="1">IFERROR(__xludf.DUMMYFUNCTION("""COMPUTED_VALUE"""),"")</f>
        <v/>
      </c>
      <c r="G132" s="16" t="str">
        <f ca="1">IFERROR(__xludf.DUMMYFUNCTION("""COMPUTED_VALUE"""),"")</f>
        <v/>
      </c>
      <c r="H132" s="17" t="str">
        <f ca="1">IFERROR(__xludf.DUMMYFUNCTION("""COMPUTED_VALUE"""),"")</f>
        <v/>
      </c>
      <c r="I132" s="17" t="str">
        <f ca="1">IFERROR(__xludf.DUMMYFUNCTION("""COMPUTED_VALUE"""),"")</f>
        <v/>
      </c>
      <c r="J132" s="17" t="str">
        <f ca="1">IFERROR(__xludf.DUMMYFUNCTION("""COMPUTED_VALUE"""),"")</f>
        <v/>
      </c>
      <c r="K132" s="18" t="str">
        <f ca="1">IFERROR(__xludf.DUMMYFUNCTION("""COMPUTED_VALUE"""),"")</f>
        <v/>
      </c>
      <c r="L132" s="19"/>
      <c r="M132" s="19"/>
      <c r="N132" s="19"/>
      <c r="O132" s="19"/>
      <c r="P132" s="19"/>
      <c r="Q132" s="19"/>
      <c r="R132" s="19"/>
      <c r="S132" s="19"/>
      <c r="T132" s="19"/>
      <c r="U132" s="19"/>
      <c r="V132" s="20"/>
      <c r="W132" s="20"/>
      <c r="X132" s="20"/>
      <c r="Y132" s="20"/>
      <c r="Z132" s="21"/>
      <c r="AA132" s="22"/>
      <c r="AB132" s="23"/>
    </row>
    <row r="133" spans="1:28" ht="13.5" customHeight="1" x14ac:dyDescent="0.35">
      <c r="A133" s="24" t="str">
        <f ca="1">IFERROR(__xludf.DUMMYFUNCTION("""COMPUTED_VALUE"""),"")</f>
        <v/>
      </c>
      <c r="B133" s="28" t="str">
        <f ca="1">IFERROR(__xludf.DUMMYFUNCTION("""COMPUTED_VALUE"""),"")</f>
        <v/>
      </c>
      <c r="C133" s="27" t="str">
        <f ca="1">IFERROR(__xludf.DUMMYFUNCTION("""COMPUTED_VALUE"""),"")</f>
        <v/>
      </c>
      <c r="D133" s="27" t="str">
        <f ca="1">IFERROR(__xludf.DUMMYFUNCTION("""COMPUTED_VALUE"""),"")</f>
        <v/>
      </c>
      <c r="E133" s="15" t="str">
        <f ca="1">IFERROR(__xludf.DUMMYFUNCTION("""COMPUTED_VALUE"""),"")</f>
        <v/>
      </c>
      <c r="F133" s="51" t="str">
        <f ca="1">IFERROR(__xludf.DUMMYFUNCTION("""COMPUTED_VALUE"""),"")</f>
        <v/>
      </c>
      <c r="G133" s="16" t="str">
        <f ca="1">IFERROR(__xludf.DUMMYFUNCTION("""COMPUTED_VALUE"""),"")</f>
        <v/>
      </c>
      <c r="H133" s="17" t="str">
        <f ca="1">IFERROR(__xludf.DUMMYFUNCTION("""COMPUTED_VALUE"""),"")</f>
        <v/>
      </c>
      <c r="I133" s="17" t="str">
        <f ca="1">IFERROR(__xludf.DUMMYFUNCTION("""COMPUTED_VALUE"""),"")</f>
        <v/>
      </c>
      <c r="J133" s="17" t="str">
        <f ca="1">IFERROR(__xludf.DUMMYFUNCTION("""COMPUTED_VALUE"""),"")</f>
        <v/>
      </c>
      <c r="K133" s="18" t="str">
        <f ca="1">IFERROR(__xludf.DUMMYFUNCTION("""COMPUTED_VALUE"""),"")</f>
        <v/>
      </c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20"/>
      <c r="W133" s="20"/>
      <c r="X133" s="20"/>
      <c r="Y133" s="20"/>
      <c r="Z133" s="21"/>
      <c r="AA133" s="22"/>
      <c r="AB133" s="23"/>
    </row>
    <row r="134" spans="1:28" ht="13.5" customHeight="1" x14ac:dyDescent="0.35">
      <c r="A134" s="24" t="str">
        <f ca="1">IFERROR(__xludf.DUMMYFUNCTION("""COMPUTED_VALUE"""),"")</f>
        <v/>
      </c>
      <c r="B134" s="28" t="str">
        <f ca="1">IFERROR(__xludf.DUMMYFUNCTION("""COMPUTED_VALUE"""),"")</f>
        <v/>
      </c>
      <c r="C134" s="27" t="str">
        <f ca="1">IFERROR(__xludf.DUMMYFUNCTION("""COMPUTED_VALUE"""),"")</f>
        <v/>
      </c>
      <c r="D134" s="27" t="str">
        <f ca="1">IFERROR(__xludf.DUMMYFUNCTION("""COMPUTED_VALUE"""),"")</f>
        <v/>
      </c>
      <c r="E134" s="15" t="str">
        <f ca="1">IFERROR(__xludf.DUMMYFUNCTION("""COMPUTED_VALUE"""),"")</f>
        <v/>
      </c>
      <c r="F134" s="51" t="str">
        <f ca="1">IFERROR(__xludf.DUMMYFUNCTION("""COMPUTED_VALUE"""),"")</f>
        <v/>
      </c>
      <c r="G134" s="16" t="str">
        <f ca="1">IFERROR(__xludf.DUMMYFUNCTION("""COMPUTED_VALUE"""),"")</f>
        <v/>
      </c>
      <c r="H134" s="17" t="str">
        <f ca="1">IFERROR(__xludf.DUMMYFUNCTION("""COMPUTED_VALUE"""),"")</f>
        <v/>
      </c>
      <c r="I134" s="17" t="str">
        <f ca="1">IFERROR(__xludf.DUMMYFUNCTION("""COMPUTED_VALUE"""),"")</f>
        <v/>
      </c>
      <c r="J134" s="17" t="str">
        <f ca="1">IFERROR(__xludf.DUMMYFUNCTION("""COMPUTED_VALUE"""),"")</f>
        <v/>
      </c>
      <c r="K134" s="18" t="str">
        <f ca="1">IFERROR(__xludf.DUMMYFUNCTION("""COMPUTED_VALUE"""),"")</f>
        <v/>
      </c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20"/>
      <c r="W134" s="20"/>
      <c r="X134" s="20"/>
      <c r="Y134" s="20"/>
      <c r="Z134" s="21"/>
      <c r="AA134" s="22"/>
      <c r="AB134" s="23"/>
    </row>
    <row r="135" spans="1:28" ht="13.5" customHeight="1" x14ac:dyDescent="0.35">
      <c r="A135" s="24" t="str">
        <f ca="1">IFERROR(__xludf.DUMMYFUNCTION("""COMPUTED_VALUE"""),"")</f>
        <v/>
      </c>
      <c r="B135" s="28" t="str">
        <f ca="1">IFERROR(__xludf.DUMMYFUNCTION("""COMPUTED_VALUE"""),"")</f>
        <v/>
      </c>
      <c r="C135" s="27" t="str">
        <f ca="1">IFERROR(__xludf.DUMMYFUNCTION("""COMPUTED_VALUE"""),"")</f>
        <v/>
      </c>
      <c r="D135" s="27" t="str">
        <f ca="1">IFERROR(__xludf.DUMMYFUNCTION("""COMPUTED_VALUE"""),"")</f>
        <v/>
      </c>
      <c r="E135" s="15" t="str">
        <f ca="1">IFERROR(__xludf.DUMMYFUNCTION("""COMPUTED_VALUE"""),"")</f>
        <v/>
      </c>
      <c r="F135" s="51" t="str">
        <f ca="1">IFERROR(__xludf.DUMMYFUNCTION("""COMPUTED_VALUE"""),"")</f>
        <v/>
      </c>
      <c r="G135" s="16" t="str">
        <f ca="1">IFERROR(__xludf.DUMMYFUNCTION("""COMPUTED_VALUE"""),"")</f>
        <v/>
      </c>
      <c r="H135" s="17" t="str">
        <f ca="1">IFERROR(__xludf.DUMMYFUNCTION("""COMPUTED_VALUE"""),"")</f>
        <v/>
      </c>
      <c r="I135" s="17" t="str">
        <f ca="1">IFERROR(__xludf.DUMMYFUNCTION("""COMPUTED_VALUE"""),"")</f>
        <v/>
      </c>
      <c r="J135" s="17" t="str">
        <f ca="1">IFERROR(__xludf.DUMMYFUNCTION("""COMPUTED_VALUE"""),"")</f>
        <v/>
      </c>
      <c r="K135" s="18" t="str">
        <f ca="1">IFERROR(__xludf.DUMMYFUNCTION("""COMPUTED_VALUE"""),"")</f>
        <v/>
      </c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20"/>
      <c r="W135" s="20"/>
      <c r="X135" s="20"/>
      <c r="Y135" s="20"/>
      <c r="Z135" s="21"/>
      <c r="AA135" s="22"/>
      <c r="AB135" s="23"/>
    </row>
    <row r="136" spans="1:28" ht="13.5" customHeight="1" x14ac:dyDescent="0.35">
      <c r="A136" s="24" t="str">
        <f ca="1">IFERROR(__xludf.DUMMYFUNCTION("""COMPUTED_VALUE"""),"")</f>
        <v/>
      </c>
      <c r="B136" s="28" t="str">
        <f ca="1">IFERROR(__xludf.DUMMYFUNCTION("""COMPUTED_VALUE"""),"")</f>
        <v/>
      </c>
      <c r="C136" s="27" t="str">
        <f ca="1">IFERROR(__xludf.DUMMYFUNCTION("""COMPUTED_VALUE"""),"")</f>
        <v/>
      </c>
      <c r="D136" s="27" t="str">
        <f ca="1">IFERROR(__xludf.DUMMYFUNCTION("""COMPUTED_VALUE"""),"")</f>
        <v/>
      </c>
      <c r="E136" s="15" t="str">
        <f ca="1">IFERROR(__xludf.DUMMYFUNCTION("""COMPUTED_VALUE"""),"")</f>
        <v/>
      </c>
      <c r="F136" s="51" t="str">
        <f ca="1">IFERROR(__xludf.DUMMYFUNCTION("""COMPUTED_VALUE"""),"")</f>
        <v/>
      </c>
      <c r="G136" s="16" t="str">
        <f ca="1">IFERROR(__xludf.DUMMYFUNCTION("""COMPUTED_VALUE"""),"")</f>
        <v/>
      </c>
      <c r="H136" s="17" t="str">
        <f ca="1">IFERROR(__xludf.DUMMYFUNCTION("""COMPUTED_VALUE"""),"")</f>
        <v/>
      </c>
      <c r="I136" s="17" t="str">
        <f ca="1">IFERROR(__xludf.DUMMYFUNCTION("""COMPUTED_VALUE"""),"")</f>
        <v/>
      </c>
      <c r="J136" s="17" t="str">
        <f ca="1">IFERROR(__xludf.DUMMYFUNCTION("""COMPUTED_VALUE"""),"")</f>
        <v/>
      </c>
      <c r="K136" s="18" t="str">
        <f ca="1">IFERROR(__xludf.DUMMYFUNCTION("""COMPUTED_VALUE"""),"")</f>
        <v/>
      </c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20"/>
      <c r="W136" s="20"/>
      <c r="X136" s="20"/>
      <c r="Y136" s="20"/>
      <c r="Z136" s="21"/>
      <c r="AA136" s="22"/>
      <c r="AB136" s="23"/>
    </row>
    <row r="137" spans="1:28" ht="13.5" customHeight="1" x14ac:dyDescent="0.35">
      <c r="A137" s="24" t="str">
        <f ca="1">IFERROR(__xludf.DUMMYFUNCTION("""COMPUTED_VALUE"""),"")</f>
        <v/>
      </c>
      <c r="B137" s="28" t="str">
        <f ca="1">IFERROR(__xludf.DUMMYFUNCTION("""COMPUTED_VALUE"""),"")</f>
        <v/>
      </c>
      <c r="C137" s="27" t="str">
        <f ca="1">IFERROR(__xludf.DUMMYFUNCTION("""COMPUTED_VALUE"""),"")</f>
        <v/>
      </c>
      <c r="D137" s="27" t="str">
        <f ca="1">IFERROR(__xludf.DUMMYFUNCTION("""COMPUTED_VALUE"""),"")</f>
        <v/>
      </c>
      <c r="E137" s="15" t="str">
        <f ca="1">IFERROR(__xludf.DUMMYFUNCTION("""COMPUTED_VALUE"""),"")</f>
        <v/>
      </c>
      <c r="F137" s="51" t="str">
        <f ca="1">IFERROR(__xludf.DUMMYFUNCTION("""COMPUTED_VALUE"""),"")</f>
        <v/>
      </c>
      <c r="G137" s="16" t="str">
        <f ca="1">IFERROR(__xludf.DUMMYFUNCTION("""COMPUTED_VALUE"""),"")</f>
        <v/>
      </c>
      <c r="H137" s="17" t="str">
        <f ca="1">IFERROR(__xludf.DUMMYFUNCTION("""COMPUTED_VALUE"""),"")</f>
        <v/>
      </c>
      <c r="I137" s="17" t="str">
        <f ca="1">IFERROR(__xludf.DUMMYFUNCTION("""COMPUTED_VALUE"""),"")</f>
        <v/>
      </c>
      <c r="J137" s="17" t="str">
        <f ca="1">IFERROR(__xludf.DUMMYFUNCTION("""COMPUTED_VALUE"""),"")</f>
        <v/>
      </c>
      <c r="K137" s="18" t="str">
        <f ca="1">IFERROR(__xludf.DUMMYFUNCTION("""COMPUTED_VALUE"""),"")</f>
        <v/>
      </c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20"/>
      <c r="W137" s="20"/>
      <c r="X137" s="20"/>
      <c r="Y137" s="20"/>
      <c r="Z137" s="21"/>
      <c r="AA137" s="22"/>
      <c r="AB137" s="23"/>
    </row>
    <row r="138" spans="1:28" ht="13.5" customHeight="1" x14ac:dyDescent="0.35">
      <c r="A138" s="24" t="str">
        <f ca="1">IFERROR(__xludf.DUMMYFUNCTION("""COMPUTED_VALUE"""),"")</f>
        <v/>
      </c>
      <c r="B138" s="28" t="str">
        <f ca="1">IFERROR(__xludf.DUMMYFUNCTION("""COMPUTED_VALUE"""),"")</f>
        <v/>
      </c>
      <c r="C138" s="27" t="str">
        <f ca="1">IFERROR(__xludf.DUMMYFUNCTION("""COMPUTED_VALUE"""),"")</f>
        <v/>
      </c>
      <c r="D138" s="27" t="str">
        <f ca="1">IFERROR(__xludf.DUMMYFUNCTION("""COMPUTED_VALUE"""),"")</f>
        <v/>
      </c>
      <c r="E138" s="15" t="str">
        <f ca="1">IFERROR(__xludf.DUMMYFUNCTION("""COMPUTED_VALUE"""),"")</f>
        <v/>
      </c>
      <c r="F138" s="51" t="str">
        <f ca="1">IFERROR(__xludf.DUMMYFUNCTION("""COMPUTED_VALUE"""),"")</f>
        <v/>
      </c>
      <c r="G138" s="16" t="str">
        <f ca="1">IFERROR(__xludf.DUMMYFUNCTION("""COMPUTED_VALUE"""),"")</f>
        <v/>
      </c>
      <c r="H138" s="17" t="str">
        <f ca="1">IFERROR(__xludf.DUMMYFUNCTION("""COMPUTED_VALUE"""),"")</f>
        <v/>
      </c>
      <c r="I138" s="17" t="str">
        <f ca="1">IFERROR(__xludf.DUMMYFUNCTION("""COMPUTED_VALUE"""),"")</f>
        <v/>
      </c>
      <c r="J138" s="17" t="str">
        <f ca="1">IFERROR(__xludf.DUMMYFUNCTION("""COMPUTED_VALUE"""),"")</f>
        <v/>
      </c>
      <c r="K138" s="18" t="str">
        <f ca="1">IFERROR(__xludf.DUMMYFUNCTION("""COMPUTED_VALUE"""),"")</f>
        <v/>
      </c>
      <c r="L138" s="19"/>
      <c r="M138" s="19"/>
      <c r="N138" s="19"/>
      <c r="O138" s="19"/>
      <c r="P138" s="19"/>
      <c r="Q138" s="19"/>
      <c r="R138" s="19"/>
      <c r="S138" s="19"/>
      <c r="T138" s="19"/>
      <c r="U138" s="19"/>
      <c r="V138" s="20"/>
      <c r="W138" s="20"/>
      <c r="X138" s="20"/>
      <c r="Y138" s="20"/>
      <c r="Z138" s="21"/>
      <c r="AA138" s="22"/>
      <c r="AB138" s="23"/>
    </row>
    <row r="139" spans="1:28" ht="13.5" customHeight="1" x14ac:dyDescent="0.35">
      <c r="A139" s="24" t="str">
        <f ca="1">IFERROR(__xludf.DUMMYFUNCTION("""COMPUTED_VALUE"""),"")</f>
        <v/>
      </c>
      <c r="B139" s="28" t="str">
        <f ca="1">IFERROR(__xludf.DUMMYFUNCTION("""COMPUTED_VALUE"""),"")</f>
        <v/>
      </c>
      <c r="C139" s="27" t="str">
        <f ca="1">IFERROR(__xludf.DUMMYFUNCTION("""COMPUTED_VALUE"""),"")</f>
        <v/>
      </c>
      <c r="D139" s="27" t="str">
        <f ca="1">IFERROR(__xludf.DUMMYFUNCTION("""COMPUTED_VALUE"""),"")</f>
        <v/>
      </c>
      <c r="E139" s="15" t="str">
        <f ca="1">IFERROR(__xludf.DUMMYFUNCTION("""COMPUTED_VALUE"""),"")</f>
        <v/>
      </c>
      <c r="F139" s="51" t="str">
        <f ca="1">IFERROR(__xludf.DUMMYFUNCTION("""COMPUTED_VALUE"""),"")</f>
        <v/>
      </c>
      <c r="G139" s="16" t="str">
        <f ca="1">IFERROR(__xludf.DUMMYFUNCTION("""COMPUTED_VALUE"""),"")</f>
        <v/>
      </c>
      <c r="H139" s="17" t="str">
        <f ca="1">IFERROR(__xludf.DUMMYFUNCTION("""COMPUTED_VALUE"""),"")</f>
        <v/>
      </c>
      <c r="I139" s="17" t="str">
        <f ca="1">IFERROR(__xludf.DUMMYFUNCTION("""COMPUTED_VALUE"""),"")</f>
        <v/>
      </c>
      <c r="J139" s="17" t="str">
        <f ca="1">IFERROR(__xludf.DUMMYFUNCTION("""COMPUTED_VALUE"""),"")</f>
        <v/>
      </c>
      <c r="K139" s="18" t="str">
        <f ca="1">IFERROR(__xludf.DUMMYFUNCTION("""COMPUTED_VALUE"""),"")</f>
        <v/>
      </c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20"/>
      <c r="W139" s="20"/>
      <c r="X139" s="20"/>
      <c r="Y139" s="20"/>
      <c r="Z139" s="21"/>
      <c r="AA139" s="22"/>
      <c r="AB139" s="23"/>
    </row>
    <row r="140" spans="1:28" ht="13.5" customHeight="1" x14ac:dyDescent="0.35">
      <c r="A140" s="24" t="str">
        <f ca="1">IFERROR(__xludf.DUMMYFUNCTION("""COMPUTED_VALUE"""),"")</f>
        <v/>
      </c>
      <c r="B140" s="28" t="str">
        <f ca="1">IFERROR(__xludf.DUMMYFUNCTION("""COMPUTED_VALUE"""),"")</f>
        <v/>
      </c>
      <c r="C140" s="27" t="str">
        <f ca="1">IFERROR(__xludf.DUMMYFUNCTION("""COMPUTED_VALUE"""),"")</f>
        <v/>
      </c>
      <c r="D140" s="27" t="str">
        <f ca="1">IFERROR(__xludf.DUMMYFUNCTION("""COMPUTED_VALUE"""),"")</f>
        <v/>
      </c>
      <c r="E140" s="15" t="str">
        <f ca="1">IFERROR(__xludf.DUMMYFUNCTION("""COMPUTED_VALUE"""),"")</f>
        <v/>
      </c>
      <c r="F140" s="51" t="str">
        <f ca="1">IFERROR(__xludf.DUMMYFUNCTION("""COMPUTED_VALUE"""),"")</f>
        <v/>
      </c>
      <c r="G140" s="16" t="str">
        <f ca="1">IFERROR(__xludf.DUMMYFUNCTION("""COMPUTED_VALUE"""),"")</f>
        <v/>
      </c>
      <c r="H140" s="17" t="str">
        <f ca="1">IFERROR(__xludf.DUMMYFUNCTION("""COMPUTED_VALUE"""),"")</f>
        <v/>
      </c>
      <c r="I140" s="17" t="str">
        <f ca="1">IFERROR(__xludf.DUMMYFUNCTION("""COMPUTED_VALUE"""),"")</f>
        <v/>
      </c>
      <c r="J140" s="17" t="str">
        <f ca="1">IFERROR(__xludf.DUMMYFUNCTION("""COMPUTED_VALUE"""),"")</f>
        <v/>
      </c>
      <c r="K140" s="18" t="str">
        <f ca="1">IFERROR(__xludf.DUMMYFUNCTION("""COMPUTED_VALUE"""),"")</f>
        <v/>
      </c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20"/>
      <c r="W140" s="20"/>
      <c r="X140" s="20"/>
      <c r="Y140" s="20"/>
      <c r="Z140" s="21"/>
      <c r="AA140" s="22"/>
      <c r="AB140" s="23"/>
    </row>
    <row r="141" spans="1:28" ht="13.5" customHeight="1" x14ac:dyDescent="0.35">
      <c r="A141" s="24" t="str">
        <f ca="1">IFERROR(__xludf.DUMMYFUNCTION("""COMPUTED_VALUE"""),"")</f>
        <v/>
      </c>
      <c r="B141" s="28" t="str">
        <f ca="1">IFERROR(__xludf.DUMMYFUNCTION("""COMPUTED_VALUE"""),"")</f>
        <v/>
      </c>
      <c r="C141" s="27" t="str">
        <f ca="1">IFERROR(__xludf.DUMMYFUNCTION("""COMPUTED_VALUE"""),"")</f>
        <v/>
      </c>
      <c r="D141" s="27" t="str">
        <f ca="1">IFERROR(__xludf.DUMMYFUNCTION("""COMPUTED_VALUE"""),"")</f>
        <v/>
      </c>
      <c r="E141" s="15" t="str">
        <f ca="1">IFERROR(__xludf.DUMMYFUNCTION("""COMPUTED_VALUE"""),"")</f>
        <v/>
      </c>
      <c r="F141" s="51" t="str">
        <f ca="1">IFERROR(__xludf.DUMMYFUNCTION("""COMPUTED_VALUE"""),"")</f>
        <v/>
      </c>
      <c r="G141" s="16" t="str">
        <f ca="1">IFERROR(__xludf.DUMMYFUNCTION("""COMPUTED_VALUE"""),"")</f>
        <v/>
      </c>
      <c r="H141" s="17" t="str">
        <f ca="1">IFERROR(__xludf.DUMMYFUNCTION("""COMPUTED_VALUE"""),"")</f>
        <v/>
      </c>
      <c r="I141" s="17" t="str">
        <f ca="1">IFERROR(__xludf.DUMMYFUNCTION("""COMPUTED_VALUE"""),"")</f>
        <v/>
      </c>
      <c r="J141" s="17" t="str">
        <f ca="1">IFERROR(__xludf.DUMMYFUNCTION("""COMPUTED_VALUE"""),"")</f>
        <v/>
      </c>
      <c r="K141" s="18" t="str">
        <f ca="1">IFERROR(__xludf.DUMMYFUNCTION("""COMPUTED_VALUE"""),"")</f>
        <v/>
      </c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20"/>
      <c r="W141" s="20"/>
      <c r="X141" s="20"/>
      <c r="Y141" s="20"/>
      <c r="Z141" s="21"/>
      <c r="AA141" s="22"/>
      <c r="AB141" s="23"/>
    </row>
    <row r="142" spans="1:28" ht="13.5" customHeight="1" x14ac:dyDescent="0.35">
      <c r="A142" s="24" t="str">
        <f ca="1">IFERROR(__xludf.DUMMYFUNCTION("""COMPUTED_VALUE"""),"")</f>
        <v/>
      </c>
      <c r="B142" s="28" t="str">
        <f ca="1">IFERROR(__xludf.DUMMYFUNCTION("""COMPUTED_VALUE"""),"")</f>
        <v/>
      </c>
      <c r="C142" s="27" t="str">
        <f ca="1">IFERROR(__xludf.DUMMYFUNCTION("""COMPUTED_VALUE"""),"")</f>
        <v/>
      </c>
      <c r="D142" s="27" t="str">
        <f ca="1">IFERROR(__xludf.DUMMYFUNCTION("""COMPUTED_VALUE"""),"")</f>
        <v/>
      </c>
      <c r="E142" s="15" t="str">
        <f ca="1">IFERROR(__xludf.DUMMYFUNCTION("""COMPUTED_VALUE"""),"")</f>
        <v/>
      </c>
      <c r="F142" s="51" t="str">
        <f ca="1">IFERROR(__xludf.DUMMYFUNCTION("""COMPUTED_VALUE"""),"")</f>
        <v/>
      </c>
      <c r="G142" s="16" t="str">
        <f ca="1">IFERROR(__xludf.DUMMYFUNCTION("""COMPUTED_VALUE"""),"")</f>
        <v/>
      </c>
      <c r="H142" s="17" t="str">
        <f ca="1">IFERROR(__xludf.DUMMYFUNCTION("""COMPUTED_VALUE"""),"")</f>
        <v/>
      </c>
      <c r="I142" s="17" t="str">
        <f ca="1">IFERROR(__xludf.DUMMYFUNCTION("""COMPUTED_VALUE"""),"")</f>
        <v/>
      </c>
      <c r="J142" s="17" t="str">
        <f ca="1">IFERROR(__xludf.DUMMYFUNCTION("""COMPUTED_VALUE"""),"")</f>
        <v/>
      </c>
      <c r="K142" s="18" t="str">
        <f ca="1">IFERROR(__xludf.DUMMYFUNCTION("""COMPUTED_VALUE"""),"")</f>
        <v/>
      </c>
      <c r="L142" s="19"/>
      <c r="M142" s="19"/>
      <c r="N142" s="19"/>
      <c r="O142" s="19"/>
      <c r="P142" s="19"/>
      <c r="Q142" s="19"/>
      <c r="R142" s="19"/>
      <c r="S142" s="19"/>
      <c r="T142" s="19"/>
      <c r="U142" s="19"/>
      <c r="V142" s="20"/>
      <c r="W142" s="20"/>
      <c r="X142" s="20"/>
      <c r="Y142" s="20"/>
      <c r="Z142" s="21"/>
      <c r="AA142" s="22"/>
      <c r="AB142" s="23"/>
    </row>
    <row r="143" spans="1:28" ht="13.5" customHeight="1" x14ac:dyDescent="0.35">
      <c r="A143" s="24" t="str">
        <f ca="1">IFERROR(__xludf.DUMMYFUNCTION("""COMPUTED_VALUE"""),"")</f>
        <v/>
      </c>
      <c r="B143" s="28" t="str">
        <f ca="1">IFERROR(__xludf.DUMMYFUNCTION("""COMPUTED_VALUE"""),"")</f>
        <v/>
      </c>
      <c r="C143" s="27" t="str">
        <f ca="1">IFERROR(__xludf.DUMMYFUNCTION("""COMPUTED_VALUE"""),"")</f>
        <v/>
      </c>
      <c r="D143" s="27" t="str">
        <f ca="1">IFERROR(__xludf.DUMMYFUNCTION("""COMPUTED_VALUE"""),"")</f>
        <v/>
      </c>
      <c r="E143" s="15" t="str">
        <f ca="1">IFERROR(__xludf.DUMMYFUNCTION("""COMPUTED_VALUE"""),"")</f>
        <v/>
      </c>
      <c r="F143" s="51" t="str">
        <f ca="1">IFERROR(__xludf.DUMMYFUNCTION("""COMPUTED_VALUE"""),"")</f>
        <v/>
      </c>
      <c r="G143" s="16" t="str">
        <f ca="1">IFERROR(__xludf.DUMMYFUNCTION("""COMPUTED_VALUE"""),"")</f>
        <v/>
      </c>
      <c r="H143" s="17" t="str">
        <f ca="1">IFERROR(__xludf.DUMMYFUNCTION("""COMPUTED_VALUE"""),"")</f>
        <v/>
      </c>
      <c r="I143" s="17" t="str">
        <f ca="1">IFERROR(__xludf.DUMMYFUNCTION("""COMPUTED_VALUE"""),"")</f>
        <v/>
      </c>
      <c r="J143" s="17" t="str">
        <f ca="1">IFERROR(__xludf.DUMMYFUNCTION("""COMPUTED_VALUE"""),"")</f>
        <v/>
      </c>
      <c r="K143" s="18" t="str">
        <f ca="1">IFERROR(__xludf.DUMMYFUNCTION("""COMPUTED_VALUE"""),"")</f>
        <v/>
      </c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20"/>
      <c r="W143" s="20"/>
      <c r="X143" s="20"/>
      <c r="Y143" s="20"/>
      <c r="Z143" s="21"/>
      <c r="AA143" s="22"/>
      <c r="AB143" s="23"/>
    </row>
    <row r="144" spans="1:28" ht="13.5" customHeight="1" x14ac:dyDescent="0.35">
      <c r="A144" s="24" t="str">
        <f ca="1">IFERROR(__xludf.DUMMYFUNCTION("""COMPUTED_VALUE"""),"")</f>
        <v/>
      </c>
      <c r="B144" s="28" t="str">
        <f ca="1">IFERROR(__xludf.DUMMYFUNCTION("""COMPUTED_VALUE"""),"")</f>
        <v/>
      </c>
      <c r="C144" s="27" t="str">
        <f ca="1">IFERROR(__xludf.DUMMYFUNCTION("""COMPUTED_VALUE"""),"")</f>
        <v/>
      </c>
      <c r="D144" s="27" t="str">
        <f ca="1">IFERROR(__xludf.DUMMYFUNCTION("""COMPUTED_VALUE"""),"")</f>
        <v/>
      </c>
      <c r="E144" s="15" t="str">
        <f ca="1">IFERROR(__xludf.DUMMYFUNCTION("""COMPUTED_VALUE"""),"")</f>
        <v/>
      </c>
      <c r="F144" s="51" t="str">
        <f ca="1">IFERROR(__xludf.DUMMYFUNCTION("""COMPUTED_VALUE"""),"")</f>
        <v/>
      </c>
      <c r="G144" s="16" t="str">
        <f ca="1">IFERROR(__xludf.DUMMYFUNCTION("""COMPUTED_VALUE"""),"")</f>
        <v/>
      </c>
      <c r="H144" s="17" t="str">
        <f ca="1">IFERROR(__xludf.DUMMYFUNCTION("""COMPUTED_VALUE"""),"")</f>
        <v/>
      </c>
      <c r="I144" s="17" t="str">
        <f ca="1">IFERROR(__xludf.DUMMYFUNCTION("""COMPUTED_VALUE"""),"")</f>
        <v/>
      </c>
      <c r="J144" s="17" t="str">
        <f ca="1">IFERROR(__xludf.DUMMYFUNCTION("""COMPUTED_VALUE"""),"")</f>
        <v/>
      </c>
      <c r="K144" s="18" t="str">
        <f ca="1">IFERROR(__xludf.DUMMYFUNCTION("""COMPUTED_VALUE"""),"")</f>
        <v/>
      </c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20"/>
      <c r="W144" s="20"/>
      <c r="X144" s="20"/>
      <c r="Y144" s="20"/>
      <c r="Z144" s="21"/>
      <c r="AA144" s="22"/>
      <c r="AB144" s="23"/>
    </row>
    <row r="145" spans="1:28" ht="13.5" customHeight="1" x14ac:dyDescent="0.35">
      <c r="A145" s="24" t="str">
        <f ca="1">IFERROR(__xludf.DUMMYFUNCTION("""COMPUTED_VALUE"""),"")</f>
        <v/>
      </c>
      <c r="B145" s="28" t="str">
        <f ca="1">IFERROR(__xludf.DUMMYFUNCTION("""COMPUTED_VALUE"""),"")</f>
        <v/>
      </c>
      <c r="C145" s="27" t="str">
        <f ca="1">IFERROR(__xludf.DUMMYFUNCTION("""COMPUTED_VALUE"""),"")</f>
        <v/>
      </c>
      <c r="D145" s="27" t="str">
        <f ca="1">IFERROR(__xludf.DUMMYFUNCTION("""COMPUTED_VALUE"""),"")</f>
        <v/>
      </c>
      <c r="E145" s="15" t="str">
        <f ca="1">IFERROR(__xludf.DUMMYFUNCTION("""COMPUTED_VALUE"""),"")</f>
        <v/>
      </c>
      <c r="F145" s="51" t="str">
        <f ca="1">IFERROR(__xludf.DUMMYFUNCTION("""COMPUTED_VALUE"""),"")</f>
        <v/>
      </c>
      <c r="G145" s="16" t="str">
        <f ca="1">IFERROR(__xludf.DUMMYFUNCTION("""COMPUTED_VALUE"""),"")</f>
        <v/>
      </c>
      <c r="H145" s="17" t="str">
        <f ca="1">IFERROR(__xludf.DUMMYFUNCTION("""COMPUTED_VALUE"""),"")</f>
        <v/>
      </c>
      <c r="I145" s="17" t="str">
        <f ca="1">IFERROR(__xludf.DUMMYFUNCTION("""COMPUTED_VALUE"""),"")</f>
        <v/>
      </c>
      <c r="J145" s="17" t="str">
        <f ca="1">IFERROR(__xludf.DUMMYFUNCTION("""COMPUTED_VALUE"""),"")</f>
        <v/>
      </c>
      <c r="K145" s="18" t="str">
        <f ca="1">IFERROR(__xludf.DUMMYFUNCTION("""COMPUTED_VALUE"""),"")</f>
        <v/>
      </c>
      <c r="L145" s="19"/>
      <c r="M145" s="19"/>
      <c r="N145" s="19"/>
      <c r="O145" s="19"/>
      <c r="P145" s="19"/>
      <c r="Q145" s="19"/>
      <c r="R145" s="19"/>
      <c r="S145" s="19"/>
      <c r="T145" s="19"/>
      <c r="U145" s="19"/>
      <c r="V145" s="20"/>
      <c r="W145" s="20"/>
      <c r="X145" s="20"/>
      <c r="Y145" s="20"/>
      <c r="Z145" s="21"/>
      <c r="AA145" s="22"/>
      <c r="AB145" s="23"/>
    </row>
    <row r="146" spans="1:28" ht="13.5" customHeight="1" x14ac:dyDescent="0.35">
      <c r="A146" s="24" t="str">
        <f ca="1">IFERROR(__xludf.DUMMYFUNCTION("""COMPUTED_VALUE"""),"")</f>
        <v/>
      </c>
      <c r="B146" s="28" t="str">
        <f ca="1">IFERROR(__xludf.DUMMYFUNCTION("""COMPUTED_VALUE"""),"")</f>
        <v/>
      </c>
      <c r="C146" s="27" t="str">
        <f ca="1">IFERROR(__xludf.DUMMYFUNCTION("""COMPUTED_VALUE"""),"")</f>
        <v/>
      </c>
      <c r="D146" s="27" t="str">
        <f ca="1">IFERROR(__xludf.DUMMYFUNCTION("""COMPUTED_VALUE"""),"")</f>
        <v/>
      </c>
      <c r="E146" s="15" t="str">
        <f ca="1">IFERROR(__xludf.DUMMYFUNCTION("""COMPUTED_VALUE"""),"")</f>
        <v/>
      </c>
      <c r="F146" s="51" t="str">
        <f ca="1">IFERROR(__xludf.DUMMYFUNCTION("""COMPUTED_VALUE"""),"")</f>
        <v/>
      </c>
      <c r="G146" s="16" t="str">
        <f ca="1">IFERROR(__xludf.DUMMYFUNCTION("""COMPUTED_VALUE"""),"")</f>
        <v/>
      </c>
      <c r="H146" s="17" t="str">
        <f ca="1">IFERROR(__xludf.DUMMYFUNCTION("""COMPUTED_VALUE"""),"")</f>
        <v/>
      </c>
      <c r="I146" s="17" t="str">
        <f ca="1">IFERROR(__xludf.DUMMYFUNCTION("""COMPUTED_VALUE"""),"")</f>
        <v/>
      </c>
      <c r="J146" s="17" t="str">
        <f ca="1">IFERROR(__xludf.DUMMYFUNCTION("""COMPUTED_VALUE"""),"")</f>
        <v/>
      </c>
      <c r="K146" s="18" t="str">
        <f ca="1">IFERROR(__xludf.DUMMYFUNCTION("""COMPUTED_VALUE"""),"")</f>
        <v/>
      </c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20"/>
      <c r="W146" s="20"/>
      <c r="X146" s="20"/>
      <c r="Y146" s="20"/>
      <c r="Z146" s="21"/>
      <c r="AA146" s="22"/>
      <c r="AB146" s="23"/>
    </row>
    <row r="147" spans="1:28" ht="13.5" customHeight="1" x14ac:dyDescent="0.35">
      <c r="A147" s="24" t="str">
        <f ca="1">IFERROR(__xludf.DUMMYFUNCTION("""COMPUTED_VALUE"""),"")</f>
        <v/>
      </c>
      <c r="B147" s="28" t="str">
        <f ca="1">IFERROR(__xludf.DUMMYFUNCTION("""COMPUTED_VALUE"""),"")</f>
        <v/>
      </c>
      <c r="C147" s="27" t="str">
        <f ca="1">IFERROR(__xludf.DUMMYFUNCTION("""COMPUTED_VALUE"""),"")</f>
        <v/>
      </c>
      <c r="D147" s="27" t="str">
        <f ca="1">IFERROR(__xludf.DUMMYFUNCTION("""COMPUTED_VALUE"""),"")</f>
        <v/>
      </c>
      <c r="E147" s="15" t="str">
        <f ca="1">IFERROR(__xludf.DUMMYFUNCTION("""COMPUTED_VALUE"""),"")</f>
        <v/>
      </c>
      <c r="F147" s="51" t="str">
        <f ca="1">IFERROR(__xludf.DUMMYFUNCTION("""COMPUTED_VALUE"""),"")</f>
        <v/>
      </c>
      <c r="G147" s="16" t="str">
        <f ca="1">IFERROR(__xludf.DUMMYFUNCTION("""COMPUTED_VALUE"""),"")</f>
        <v/>
      </c>
      <c r="H147" s="17" t="str">
        <f ca="1">IFERROR(__xludf.DUMMYFUNCTION("""COMPUTED_VALUE"""),"")</f>
        <v/>
      </c>
      <c r="I147" s="17" t="str">
        <f ca="1">IFERROR(__xludf.DUMMYFUNCTION("""COMPUTED_VALUE"""),"")</f>
        <v/>
      </c>
      <c r="J147" s="17" t="str">
        <f ca="1">IFERROR(__xludf.DUMMYFUNCTION("""COMPUTED_VALUE"""),"")</f>
        <v/>
      </c>
      <c r="K147" s="18" t="str">
        <f ca="1">IFERROR(__xludf.DUMMYFUNCTION("""COMPUTED_VALUE"""),"")</f>
        <v/>
      </c>
      <c r="L147" s="19"/>
      <c r="M147" s="19"/>
      <c r="N147" s="19"/>
      <c r="O147" s="19"/>
      <c r="P147" s="19"/>
      <c r="Q147" s="19"/>
      <c r="R147" s="19"/>
      <c r="S147" s="19"/>
      <c r="T147" s="19"/>
      <c r="U147" s="19"/>
      <c r="V147" s="20"/>
      <c r="W147" s="20"/>
      <c r="X147" s="20"/>
      <c r="Y147" s="20"/>
      <c r="Z147" s="21"/>
      <c r="AA147" s="22"/>
      <c r="AB147" s="23"/>
    </row>
    <row r="148" spans="1:28" ht="13.5" customHeight="1" x14ac:dyDescent="0.35">
      <c r="A148" s="24" t="str">
        <f ca="1">IFERROR(__xludf.DUMMYFUNCTION("""COMPUTED_VALUE"""),"")</f>
        <v/>
      </c>
      <c r="B148" s="28" t="str">
        <f ca="1">IFERROR(__xludf.DUMMYFUNCTION("""COMPUTED_VALUE"""),"")</f>
        <v/>
      </c>
      <c r="C148" s="27" t="str">
        <f ca="1">IFERROR(__xludf.DUMMYFUNCTION("""COMPUTED_VALUE"""),"")</f>
        <v/>
      </c>
      <c r="D148" s="27" t="str">
        <f ca="1">IFERROR(__xludf.DUMMYFUNCTION("""COMPUTED_VALUE"""),"")</f>
        <v/>
      </c>
      <c r="E148" s="15" t="str">
        <f ca="1">IFERROR(__xludf.DUMMYFUNCTION("""COMPUTED_VALUE"""),"")</f>
        <v/>
      </c>
      <c r="F148" s="51" t="str">
        <f ca="1">IFERROR(__xludf.DUMMYFUNCTION("""COMPUTED_VALUE"""),"")</f>
        <v/>
      </c>
      <c r="G148" s="16" t="str">
        <f ca="1">IFERROR(__xludf.DUMMYFUNCTION("""COMPUTED_VALUE"""),"")</f>
        <v/>
      </c>
      <c r="H148" s="17" t="str">
        <f ca="1">IFERROR(__xludf.DUMMYFUNCTION("""COMPUTED_VALUE"""),"")</f>
        <v/>
      </c>
      <c r="I148" s="17" t="str">
        <f ca="1">IFERROR(__xludf.DUMMYFUNCTION("""COMPUTED_VALUE"""),"")</f>
        <v/>
      </c>
      <c r="J148" s="17" t="str">
        <f ca="1">IFERROR(__xludf.DUMMYFUNCTION("""COMPUTED_VALUE"""),"")</f>
        <v/>
      </c>
      <c r="K148" s="18" t="str">
        <f ca="1">IFERROR(__xludf.DUMMYFUNCTION("""COMPUTED_VALUE"""),"")</f>
        <v/>
      </c>
      <c r="L148" s="19"/>
      <c r="M148" s="19"/>
      <c r="N148" s="19"/>
      <c r="O148" s="19"/>
      <c r="P148" s="19"/>
      <c r="Q148" s="19"/>
      <c r="R148" s="19"/>
      <c r="S148" s="19"/>
      <c r="T148" s="19"/>
      <c r="U148" s="19"/>
      <c r="V148" s="20"/>
      <c r="W148" s="20"/>
      <c r="X148" s="20"/>
      <c r="Y148" s="20"/>
      <c r="Z148" s="21"/>
      <c r="AA148" s="22"/>
      <c r="AB148" s="23"/>
    </row>
    <row r="149" spans="1:28" ht="13.5" customHeight="1" x14ac:dyDescent="0.35">
      <c r="A149" s="24" t="str">
        <f ca="1">IFERROR(__xludf.DUMMYFUNCTION("""COMPUTED_VALUE"""),"")</f>
        <v/>
      </c>
      <c r="B149" s="28" t="str">
        <f ca="1">IFERROR(__xludf.DUMMYFUNCTION("""COMPUTED_VALUE"""),"")</f>
        <v/>
      </c>
      <c r="C149" s="27" t="str">
        <f ca="1">IFERROR(__xludf.DUMMYFUNCTION("""COMPUTED_VALUE"""),"")</f>
        <v/>
      </c>
      <c r="D149" s="27" t="str">
        <f ca="1">IFERROR(__xludf.DUMMYFUNCTION("""COMPUTED_VALUE"""),"")</f>
        <v/>
      </c>
      <c r="E149" s="15" t="str">
        <f ca="1">IFERROR(__xludf.DUMMYFUNCTION("""COMPUTED_VALUE"""),"")</f>
        <v/>
      </c>
      <c r="F149" s="51" t="str">
        <f ca="1">IFERROR(__xludf.DUMMYFUNCTION("""COMPUTED_VALUE"""),"")</f>
        <v/>
      </c>
      <c r="G149" s="16" t="str">
        <f ca="1">IFERROR(__xludf.DUMMYFUNCTION("""COMPUTED_VALUE"""),"")</f>
        <v/>
      </c>
      <c r="H149" s="17" t="str">
        <f ca="1">IFERROR(__xludf.DUMMYFUNCTION("""COMPUTED_VALUE"""),"")</f>
        <v/>
      </c>
      <c r="I149" s="17" t="str">
        <f ca="1">IFERROR(__xludf.DUMMYFUNCTION("""COMPUTED_VALUE"""),"")</f>
        <v/>
      </c>
      <c r="J149" s="17" t="str">
        <f ca="1">IFERROR(__xludf.DUMMYFUNCTION("""COMPUTED_VALUE"""),"")</f>
        <v/>
      </c>
      <c r="K149" s="18" t="str">
        <f ca="1">IFERROR(__xludf.DUMMYFUNCTION("""COMPUTED_VALUE"""),"")</f>
        <v/>
      </c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20"/>
      <c r="W149" s="20"/>
      <c r="X149" s="20"/>
      <c r="Y149" s="20"/>
      <c r="Z149" s="21"/>
      <c r="AA149" s="22"/>
      <c r="AB149" s="23"/>
    </row>
    <row r="150" spans="1:28" ht="13.5" customHeight="1" x14ac:dyDescent="0.35">
      <c r="A150" s="24" t="str">
        <f ca="1">IFERROR(__xludf.DUMMYFUNCTION("""COMPUTED_VALUE"""),"")</f>
        <v/>
      </c>
      <c r="B150" s="28" t="str">
        <f ca="1">IFERROR(__xludf.DUMMYFUNCTION("""COMPUTED_VALUE"""),"")</f>
        <v/>
      </c>
      <c r="C150" s="27" t="str">
        <f ca="1">IFERROR(__xludf.DUMMYFUNCTION("""COMPUTED_VALUE"""),"")</f>
        <v/>
      </c>
      <c r="D150" s="27" t="str">
        <f ca="1">IFERROR(__xludf.DUMMYFUNCTION("""COMPUTED_VALUE"""),"")</f>
        <v/>
      </c>
      <c r="E150" s="15" t="str">
        <f ca="1">IFERROR(__xludf.DUMMYFUNCTION("""COMPUTED_VALUE"""),"")</f>
        <v/>
      </c>
      <c r="F150" s="51" t="str">
        <f ca="1">IFERROR(__xludf.DUMMYFUNCTION("""COMPUTED_VALUE"""),"")</f>
        <v/>
      </c>
      <c r="G150" s="16" t="str">
        <f ca="1">IFERROR(__xludf.DUMMYFUNCTION("""COMPUTED_VALUE"""),"")</f>
        <v/>
      </c>
      <c r="H150" s="17" t="str">
        <f ca="1">IFERROR(__xludf.DUMMYFUNCTION("""COMPUTED_VALUE"""),"")</f>
        <v/>
      </c>
      <c r="I150" s="17" t="str">
        <f ca="1">IFERROR(__xludf.DUMMYFUNCTION("""COMPUTED_VALUE"""),"")</f>
        <v/>
      </c>
      <c r="J150" s="17" t="str">
        <f ca="1">IFERROR(__xludf.DUMMYFUNCTION("""COMPUTED_VALUE"""),"")</f>
        <v/>
      </c>
      <c r="K150" s="18" t="str">
        <f ca="1">IFERROR(__xludf.DUMMYFUNCTION("""COMPUTED_VALUE"""),"")</f>
        <v/>
      </c>
      <c r="L150" s="19"/>
      <c r="M150" s="19"/>
      <c r="N150" s="19"/>
      <c r="O150" s="19"/>
      <c r="P150" s="19"/>
      <c r="Q150" s="19"/>
      <c r="R150" s="19"/>
      <c r="S150" s="19"/>
      <c r="T150" s="19"/>
      <c r="U150" s="19"/>
      <c r="V150" s="20"/>
      <c r="W150" s="20"/>
      <c r="X150" s="20"/>
      <c r="Y150" s="20"/>
      <c r="Z150" s="21"/>
      <c r="AA150" s="22"/>
      <c r="AB150" s="23"/>
    </row>
    <row r="151" spans="1:28" ht="13.5" customHeight="1" x14ac:dyDescent="0.35">
      <c r="A151" s="24" t="str">
        <f ca="1">IFERROR(__xludf.DUMMYFUNCTION("""COMPUTED_VALUE"""),"")</f>
        <v/>
      </c>
      <c r="B151" s="28" t="str">
        <f ca="1">IFERROR(__xludf.DUMMYFUNCTION("""COMPUTED_VALUE"""),"")</f>
        <v/>
      </c>
      <c r="C151" s="27" t="str">
        <f ca="1">IFERROR(__xludf.DUMMYFUNCTION("""COMPUTED_VALUE"""),"")</f>
        <v/>
      </c>
      <c r="D151" s="27" t="str">
        <f ca="1">IFERROR(__xludf.DUMMYFUNCTION("""COMPUTED_VALUE"""),"")</f>
        <v/>
      </c>
      <c r="E151" s="15" t="str">
        <f ca="1">IFERROR(__xludf.DUMMYFUNCTION("""COMPUTED_VALUE"""),"")</f>
        <v/>
      </c>
      <c r="F151" s="51" t="str">
        <f ca="1">IFERROR(__xludf.DUMMYFUNCTION("""COMPUTED_VALUE"""),"")</f>
        <v/>
      </c>
      <c r="G151" s="16" t="str">
        <f ca="1">IFERROR(__xludf.DUMMYFUNCTION("""COMPUTED_VALUE"""),"")</f>
        <v/>
      </c>
      <c r="H151" s="17" t="str">
        <f ca="1">IFERROR(__xludf.DUMMYFUNCTION("""COMPUTED_VALUE"""),"")</f>
        <v/>
      </c>
      <c r="I151" s="17" t="str">
        <f ca="1">IFERROR(__xludf.DUMMYFUNCTION("""COMPUTED_VALUE"""),"")</f>
        <v/>
      </c>
      <c r="J151" s="17" t="str">
        <f ca="1">IFERROR(__xludf.DUMMYFUNCTION("""COMPUTED_VALUE"""),"")</f>
        <v/>
      </c>
      <c r="K151" s="18" t="str">
        <f ca="1">IFERROR(__xludf.DUMMYFUNCTION("""COMPUTED_VALUE"""),"")</f>
        <v/>
      </c>
      <c r="L151" s="19"/>
      <c r="M151" s="19"/>
      <c r="N151" s="19"/>
      <c r="O151" s="19"/>
      <c r="P151" s="19"/>
      <c r="Q151" s="19"/>
      <c r="R151" s="19"/>
      <c r="S151" s="19"/>
      <c r="T151" s="19"/>
      <c r="U151" s="19"/>
      <c r="V151" s="20"/>
      <c r="W151" s="20"/>
      <c r="X151" s="20"/>
      <c r="Y151" s="20"/>
      <c r="Z151" s="21"/>
      <c r="AA151" s="22"/>
      <c r="AB151" s="23"/>
    </row>
    <row r="152" spans="1:28" ht="13.5" customHeight="1" x14ac:dyDescent="0.35">
      <c r="A152" s="24" t="str">
        <f ca="1">IFERROR(__xludf.DUMMYFUNCTION("""COMPUTED_VALUE"""),"")</f>
        <v/>
      </c>
      <c r="B152" s="28" t="str">
        <f ca="1">IFERROR(__xludf.DUMMYFUNCTION("""COMPUTED_VALUE"""),"")</f>
        <v/>
      </c>
      <c r="C152" s="27" t="str">
        <f ca="1">IFERROR(__xludf.DUMMYFUNCTION("""COMPUTED_VALUE"""),"")</f>
        <v/>
      </c>
      <c r="D152" s="27" t="str">
        <f ca="1">IFERROR(__xludf.DUMMYFUNCTION("""COMPUTED_VALUE"""),"")</f>
        <v/>
      </c>
      <c r="E152" s="15" t="str">
        <f ca="1">IFERROR(__xludf.DUMMYFUNCTION("""COMPUTED_VALUE"""),"")</f>
        <v/>
      </c>
      <c r="F152" s="51" t="str">
        <f ca="1">IFERROR(__xludf.DUMMYFUNCTION("""COMPUTED_VALUE"""),"")</f>
        <v/>
      </c>
      <c r="G152" s="16" t="str">
        <f ca="1">IFERROR(__xludf.DUMMYFUNCTION("""COMPUTED_VALUE"""),"")</f>
        <v/>
      </c>
      <c r="H152" s="17" t="str">
        <f ca="1">IFERROR(__xludf.DUMMYFUNCTION("""COMPUTED_VALUE"""),"")</f>
        <v/>
      </c>
      <c r="I152" s="17" t="str">
        <f ca="1">IFERROR(__xludf.DUMMYFUNCTION("""COMPUTED_VALUE"""),"")</f>
        <v/>
      </c>
      <c r="J152" s="17" t="str">
        <f ca="1">IFERROR(__xludf.DUMMYFUNCTION("""COMPUTED_VALUE"""),"")</f>
        <v/>
      </c>
      <c r="K152" s="18" t="str">
        <f ca="1">IFERROR(__xludf.DUMMYFUNCTION("""COMPUTED_VALUE"""),"")</f>
        <v/>
      </c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20"/>
      <c r="W152" s="20"/>
      <c r="X152" s="20"/>
      <c r="Y152" s="20"/>
      <c r="Z152" s="21"/>
      <c r="AA152" s="22"/>
      <c r="AB152" s="23"/>
    </row>
    <row r="153" spans="1:28" ht="13.5" customHeight="1" x14ac:dyDescent="0.35">
      <c r="A153" s="24" t="str">
        <f ca="1">IFERROR(__xludf.DUMMYFUNCTION("""COMPUTED_VALUE"""),"")</f>
        <v/>
      </c>
      <c r="B153" s="28" t="str">
        <f ca="1">IFERROR(__xludf.DUMMYFUNCTION("""COMPUTED_VALUE"""),"")</f>
        <v/>
      </c>
      <c r="C153" s="27" t="str">
        <f ca="1">IFERROR(__xludf.DUMMYFUNCTION("""COMPUTED_VALUE"""),"")</f>
        <v/>
      </c>
      <c r="D153" s="27" t="str">
        <f ca="1">IFERROR(__xludf.DUMMYFUNCTION("""COMPUTED_VALUE"""),"")</f>
        <v/>
      </c>
      <c r="E153" s="15" t="str">
        <f ca="1">IFERROR(__xludf.DUMMYFUNCTION("""COMPUTED_VALUE"""),"")</f>
        <v/>
      </c>
      <c r="F153" s="51" t="str">
        <f ca="1">IFERROR(__xludf.DUMMYFUNCTION("""COMPUTED_VALUE"""),"")</f>
        <v/>
      </c>
      <c r="G153" s="16" t="str">
        <f ca="1">IFERROR(__xludf.DUMMYFUNCTION("""COMPUTED_VALUE"""),"")</f>
        <v/>
      </c>
      <c r="H153" s="17" t="str">
        <f ca="1">IFERROR(__xludf.DUMMYFUNCTION("""COMPUTED_VALUE"""),"")</f>
        <v/>
      </c>
      <c r="I153" s="17" t="str">
        <f ca="1">IFERROR(__xludf.DUMMYFUNCTION("""COMPUTED_VALUE"""),"")</f>
        <v/>
      </c>
      <c r="J153" s="17" t="str">
        <f ca="1">IFERROR(__xludf.DUMMYFUNCTION("""COMPUTED_VALUE"""),"")</f>
        <v/>
      </c>
      <c r="K153" s="18" t="str">
        <f ca="1">IFERROR(__xludf.DUMMYFUNCTION("""COMPUTED_VALUE"""),"")</f>
        <v/>
      </c>
      <c r="L153" s="19"/>
      <c r="M153" s="19"/>
      <c r="N153" s="19"/>
      <c r="O153" s="19"/>
      <c r="P153" s="19"/>
      <c r="Q153" s="19"/>
      <c r="R153" s="19"/>
      <c r="S153" s="19"/>
      <c r="T153" s="19"/>
      <c r="U153" s="19"/>
      <c r="V153" s="20"/>
      <c r="W153" s="20"/>
      <c r="X153" s="20"/>
      <c r="Y153" s="20"/>
      <c r="Z153" s="21"/>
      <c r="AA153" s="22"/>
      <c r="AB153" s="23"/>
    </row>
    <row r="154" spans="1:28" ht="13.5" customHeight="1" x14ac:dyDescent="0.35">
      <c r="A154" s="24" t="str">
        <f ca="1">IFERROR(__xludf.DUMMYFUNCTION("""COMPUTED_VALUE"""),"")</f>
        <v/>
      </c>
      <c r="B154" s="28" t="str">
        <f ca="1">IFERROR(__xludf.DUMMYFUNCTION("""COMPUTED_VALUE"""),"")</f>
        <v/>
      </c>
      <c r="C154" s="27" t="str">
        <f ca="1">IFERROR(__xludf.DUMMYFUNCTION("""COMPUTED_VALUE"""),"")</f>
        <v/>
      </c>
      <c r="D154" s="27" t="str">
        <f ca="1">IFERROR(__xludf.DUMMYFUNCTION("""COMPUTED_VALUE"""),"")</f>
        <v/>
      </c>
      <c r="E154" s="15" t="str">
        <f ca="1">IFERROR(__xludf.DUMMYFUNCTION("""COMPUTED_VALUE"""),"")</f>
        <v/>
      </c>
      <c r="F154" s="51" t="str">
        <f ca="1">IFERROR(__xludf.DUMMYFUNCTION("""COMPUTED_VALUE"""),"")</f>
        <v/>
      </c>
      <c r="G154" s="16" t="str">
        <f ca="1">IFERROR(__xludf.DUMMYFUNCTION("""COMPUTED_VALUE"""),"")</f>
        <v/>
      </c>
      <c r="H154" s="17" t="str">
        <f ca="1">IFERROR(__xludf.DUMMYFUNCTION("""COMPUTED_VALUE"""),"")</f>
        <v/>
      </c>
      <c r="I154" s="17" t="str">
        <f ca="1">IFERROR(__xludf.DUMMYFUNCTION("""COMPUTED_VALUE"""),"")</f>
        <v/>
      </c>
      <c r="J154" s="17" t="str">
        <f ca="1">IFERROR(__xludf.DUMMYFUNCTION("""COMPUTED_VALUE"""),"")</f>
        <v/>
      </c>
      <c r="K154" s="18" t="str">
        <f ca="1">IFERROR(__xludf.DUMMYFUNCTION("""COMPUTED_VALUE"""),"")</f>
        <v/>
      </c>
      <c r="L154" s="19"/>
      <c r="M154" s="19"/>
      <c r="N154" s="19"/>
      <c r="O154" s="19"/>
      <c r="P154" s="19"/>
      <c r="Q154" s="19"/>
      <c r="R154" s="19"/>
      <c r="S154" s="19"/>
      <c r="T154" s="19"/>
      <c r="U154" s="19"/>
      <c r="V154" s="20"/>
      <c r="W154" s="20"/>
      <c r="X154" s="20"/>
      <c r="Y154" s="20"/>
      <c r="Z154" s="21"/>
      <c r="AA154" s="22"/>
      <c r="AB154" s="23"/>
    </row>
    <row r="155" spans="1:28" ht="13.5" customHeight="1" x14ac:dyDescent="0.35">
      <c r="A155" s="24" t="str">
        <f ca="1">IFERROR(__xludf.DUMMYFUNCTION("""COMPUTED_VALUE"""),"")</f>
        <v/>
      </c>
      <c r="B155" s="28" t="str">
        <f ca="1">IFERROR(__xludf.DUMMYFUNCTION("""COMPUTED_VALUE"""),"")</f>
        <v/>
      </c>
      <c r="C155" s="27" t="str">
        <f ca="1">IFERROR(__xludf.DUMMYFUNCTION("""COMPUTED_VALUE"""),"")</f>
        <v/>
      </c>
      <c r="D155" s="27" t="str">
        <f ca="1">IFERROR(__xludf.DUMMYFUNCTION("""COMPUTED_VALUE"""),"")</f>
        <v/>
      </c>
      <c r="E155" s="15" t="str">
        <f ca="1">IFERROR(__xludf.DUMMYFUNCTION("""COMPUTED_VALUE"""),"")</f>
        <v/>
      </c>
      <c r="F155" s="51" t="str">
        <f ca="1">IFERROR(__xludf.DUMMYFUNCTION("""COMPUTED_VALUE"""),"")</f>
        <v/>
      </c>
      <c r="G155" s="16" t="str">
        <f ca="1">IFERROR(__xludf.DUMMYFUNCTION("""COMPUTED_VALUE"""),"")</f>
        <v/>
      </c>
      <c r="H155" s="17" t="str">
        <f ca="1">IFERROR(__xludf.DUMMYFUNCTION("""COMPUTED_VALUE"""),"")</f>
        <v/>
      </c>
      <c r="I155" s="17" t="str">
        <f ca="1">IFERROR(__xludf.DUMMYFUNCTION("""COMPUTED_VALUE"""),"")</f>
        <v/>
      </c>
      <c r="J155" s="17" t="str">
        <f ca="1">IFERROR(__xludf.DUMMYFUNCTION("""COMPUTED_VALUE"""),"")</f>
        <v/>
      </c>
      <c r="K155" s="18" t="str">
        <f ca="1">IFERROR(__xludf.DUMMYFUNCTION("""COMPUTED_VALUE"""),"")</f>
        <v/>
      </c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20"/>
      <c r="W155" s="20"/>
      <c r="X155" s="20"/>
      <c r="Y155" s="20"/>
      <c r="Z155" s="21"/>
      <c r="AA155" s="22"/>
      <c r="AB155" s="23"/>
    </row>
    <row r="156" spans="1:28" ht="13.5" customHeight="1" x14ac:dyDescent="0.35">
      <c r="A156" s="24" t="str">
        <f ca="1">IFERROR(__xludf.DUMMYFUNCTION("""COMPUTED_VALUE"""),"")</f>
        <v/>
      </c>
      <c r="B156" s="28" t="str">
        <f ca="1">IFERROR(__xludf.DUMMYFUNCTION("""COMPUTED_VALUE"""),"")</f>
        <v/>
      </c>
      <c r="C156" s="27" t="str">
        <f ca="1">IFERROR(__xludf.DUMMYFUNCTION("""COMPUTED_VALUE"""),"")</f>
        <v/>
      </c>
      <c r="D156" s="27" t="str">
        <f ca="1">IFERROR(__xludf.DUMMYFUNCTION("""COMPUTED_VALUE"""),"")</f>
        <v/>
      </c>
      <c r="E156" s="15" t="str">
        <f ca="1">IFERROR(__xludf.DUMMYFUNCTION("""COMPUTED_VALUE"""),"")</f>
        <v/>
      </c>
      <c r="F156" s="51" t="str">
        <f ca="1">IFERROR(__xludf.DUMMYFUNCTION("""COMPUTED_VALUE"""),"")</f>
        <v/>
      </c>
      <c r="G156" s="16" t="str">
        <f ca="1">IFERROR(__xludf.DUMMYFUNCTION("""COMPUTED_VALUE"""),"")</f>
        <v/>
      </c>
      <c r="H156" s="17" t="str">
        <f ca="1">IFERROR(__xludf.DUMMYFUNCTION("""COMPUTED_VALUE"""),"")</f>
        <v/>
      </c>
      <c r="I156" s="17" t="str">
        <f ca="1">IFERROR(__xludf.DUMMYFUNCTION("""COMPUTED_VALUE"""),"")</f>
        <v/>
      </c>
      <c r="J156" s="17" t="str">
        <f ca="1">IFERROR(__xludf.DUMMYFUNCTION("""COMPUTED_VALUE"""),"")</f>
        <v/>
      </c>
      <c r="K156" s="18" t="str">
        <f ca="1">IFERROR(__xludf.DUMMYFUNCTION("""COMPUTED_VALUE"""),"")</f>
        <v/>
      </c>
      <c r="L156" s="19"/>
      <c r="M156" s="19"/>
      <c r="N156" s="19"/>
      <c r="O156" s="19"/>
      <c r="P156" s="19"/>
      <c r="Q156" s="19"/>
      <c r="R156" s="19"/>
      <c r="S156" s="19"/>
      <c r="T156" s="19"/>
      <c r="U156" s="19"/>
      <c r="V156" s="20"/>
      <c r="W156" s="20"/>
      <c r="X156" s="20"/>
      <c r="Y156" s="20"/>
      <c r="Z156" s="21"/>
      <c r="AA156" s="22"/>
      <c r="AB156" s="23"/>
    </row>
    <row r="157" spans="1:28" ht="13.5" customHeight="1" x14ac:dyDescent="0.35">
      <c r="A157" s="24" t="str">
        <f ca="1">IFERROR(__xludf.DUMMYFUNCTION("""COMPUTED_VALUE"""),"")</f>
        <v/>
      </c>
      <c r="B157" s="28" t="str">
        <f ca="1">IFERROR(__xludf.DUMMYFUNCTION("""COMPUTED_VALUE"""),"")</f>
        <v/>
      </c>
      <c r="C157" s="27" t="str">
        <f ca="1">IFERROR(__xludf.DUMMYFUNCTION("""COMPUTED_VALUE"""),"")</f>
        <v/>
      </c>
      <c r="D157" s="27" t="str">
        <f ca="1">IFERROR(__xludf.DUMMYFUNCTION("""COMPUTED_VALUE"""),"")</f>
        <v/>
      </c>
      <c r="E157" s="15" t="str">
        <f ca="1">IFERROR(__xludf.DUMMYFUNCTION("""COMPUTED_VALUE"""),"")</f>
        <v/>
      </c>
      <c r="F157" s="51" t="str">
        <f ca="1">IFERROR(__xludf.DUMMYFUNCTION("""COMPUTED_VALUE"""),"")</f>
        <v/>
      </c>
      <c r="G157" s="16" t="str">
        <f ca="1">IFERROR(__xludf.DUMMYFUNCTION("""COMPUTED_VALUE"""),"")</f>
        <v/>
      </c>
      <c r="H157" s="17" t="str">
        <f ca="1">IFERROR(__xludf.DUMMYFUNCTION("""COMPUTED_VALUE"""),"")</f>
        <v/>
      </c>
      <c r="I157" s="17" t="str">
        <f ca="1">IFERROR(__xludf.DUMMYFUNCTION("""COMPUTED_VALUE"""),"")</f>
        <v/>
      </c>
      <c r="J157" s="17" t="str">
        <f ca="1">IFERROR(__xludf.DUMMYFUNCTION("""COMPUTED_VALUE"""),"")</f>
        <v/>
      </c>
      <c r="K157" s="18" t="str">
        <f ca="1">IFERROR(__xludf.DUMMYFUNCTION("""COMPUTED_VALUE"""),"")</f>
        <v/>
      </c>
      <c r="L157" s="19"/>
      <c r="M157" s="19"/>
      <c r="N157" s="19"/>
      <c r="O157" s="19"/>
      <c r="P157" s="19"/>
      <c r="Q157" s="19"/>
      <c r="R157" s="19"/>
      <c r="S157" s="19"/>
      <c r="T157" s="19"/>
      <c r="U157" s="19"/>
      <c r="V157" s="20"/>
      <c r="W157" s="20"/>
      <c r="X157" s="20"/>
      <c r="Y157" s="20"/>
      <c r="Z157" s="21"/>
      <c r="AA157" s="22"/>
      <c r="AB157" s="23"/>
    </row>
    <row r="158" spans="1:28" ht="13.5" customHeight="1" x14ac:dyDescent="0.35">
      <c r="A158" s="24" t="str">
        <f ca="1">IFERROR(__xludf.DUMMYFUNCTION("""COMPUTED_VALUE"""),"")</f>
        <v/>
      </c>
      <c r="B158" s="28" t="str">
        <f ca="1">IFERROR(__xludf.DUMMYFUNCTION("""COMPUTED_VALUE"""),"")</f>
        <v/>
      </c>
      <c r="C158" s="27" t="str">
        <f ca="1">IFERROR(__xludf.DUMMYFUNCTION("""COMPUTED_VALUE"""),"")</f>
        <v/>
      </c>
      <c r="D158" s="27" t="str">
        <f ca="1">IFERROR(__xludf.DUMMYFUNCTION("""COMPUTED_VALUE"""),"")</f>
        <v/>
      </c>
      <c r="E158" s="15" t="str">
        <f ca="1">IFERROR(__xludf.DUMMYFUNCTION("""COMPUTED_VALUE"""),"")</f>
        <v/>
      </c>
      <c r="F158" s="51" t="str">
        <f ca="1">IFERROR(__xludf.DUMMYFUNCTION("""COMPUTED_VALUE"""),"")</f>
        <v/>
      </c>
      <c r="G158" s="16" t="str">
        <f ca="1">IFERROR(__xludf.DUMMYFUNCTION("""COMPUTED_VALUE"""),"")</f>
        <v/>
      </c>
      <c r="H158" s="17" t="str">
        <f ca="1">IFERROR(__xludf.DUMMYFUNCTION("""COMPUTED_VALUE"""),"")</f>
        <v/>
      </c>
      <c r="I158" s="17" t="str">
        <f ca="1">IFERROR(__xludf.DUMMYFUNCTION("""COMPUTED_VALUE"""),"")</f>
        <v/>
      </c>
      <c r="J158" s="17" t="str">
        <f ca="1">IFERROR(__xludf.DUMMYFUNCTION("""COMPUTED_VALUE"""),"")</f>
        <v/>
      </c>
      <c r="K158" s="18" t="str">
        <f ca="1">IFERROR(__xludf.DUMMYFUNCTION("""COMPUTED_VALUE"""),"")</f>
        <v/>
      </c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20"/>
      <c r="W158" s="20"/>
      <c r="X158" s="20"/>
      <c r="Y158" s="20"/>
      <c r="Z158" s="21"/>
      <c r="AA158" s="22"/>
      <c r="AB158" s="23"/>
    </row>
    <row r="159" spans="1:28" ht="13.5" customHeight="1" x14ac:dyDescent="0.35">
      <c r="A159" s="24" t="str">
        <f ca="1">IFERROR(__xludf.DUMMYFUNCTION("""COMPUTED_VALUE"""),"")</f>
        <v/>
      </c>
      <c r="B159" s="28" t="str">
        <f ca="1">IFERROR(__xludf.DUMMYFUNCTION("""COMPUTED_VALUE"""),"")</f>
        <v/>
      </c>
      <c r="C159" s="27" t="str">
        <f ca="1">IFERROR(__xludf.DUMMYFUNCTION("""COMPUTED_VALUE"""),"")</f>
        <v/>
      </c>
      <c r="D159" s="27" t="str">
        <f ca="1">IFERROR(__xludf.DUMMYFUNCTION("""COMPUTED_VALUE"""),"")</f>
        <v/>
      </c>
      <c r="E159" s="15" t="str">
        <f ca="1">IFERROR(__xludf.DUMMYFUNCTION("""COMPUTED_VALUE"""),"")</f>
        <v/>
      </c>
      <c r="F159" s="51" t="str">
        <f ca="1">IFERROR(__xludf.DUMMYFUNCTION("""COMPUTED_VALUE"""),"")</f>
        <v/>
      </c>
      <c r="G159" s="16" t="str">
        <f ca="1">IFERROR(__xludf.DUMMYFUNCTION("""COMPUTED_VALUE"""),"")</f>
        <v/>
      </c>
      <c r="H159" s="17" t="str">
        <f ca="1">IFERROR(__xludf.DUMMYFUNCTION("""COMPUTED_VALUE"""),"")</f>
        <v/>
      </c>
      <c r="I159" s="17" t="str">
        <f ca="1">IFERROR(__xludf.DUMMYFUNCTION("""COMPUTED_VALUE"""),"")</f>
        <v/>
      </c>
      <c r="J159" s="17" t="str">
        <f ca="1">IFERROR(__xludf.DUMMYFUNCTION("""COMPUTED_VALUE"""),"")</f>
        <v/>
      </c>
      <c r="K159" s="18" t="str">
        <f ca="1">IFERROR(__xludf.DUMMYFUNCTION("""COMPUTED_VALUE"""),"")</f>
        <v/>
      </c>
      <c r="L159" s="19"/>
      <c r="M159" s="19"/>
      <c r="N159" s="19"/>
      <c r="O159" s="19"/>
      <c r="P159" s="19"/>
      <c r="Q159" s="19"/>
      <c r="R159" s="19"/>
      <c r="S159" s="19"/>
      <c r="T159" s="19"/>
      <c r="U159" s="19"/>
      <c r="V159" s="20"/>
      <c r="W159" s="20"/>
      <c r="X159" s="20"/>
      <c r="Y159" s="20"/>
      <c r="Z159" s="21"/>
      <c r="AA159" s="22"/>
      <c r="AB159" s="23"/>
    </row>
    <row r="160" spans="1:28" ht="13.5" customHeight="1" x14ac:dyDescent="0.35">
      <c r="A160" s="24" t="str">
        <f ca="1">IFERROR(__xludf.DUMMYFUNCTION("""COMPUTED_VALUE"""),"")</f>
        <v/>
      </c>
      <c r="B160" s="28" t="str">
        <f ca="1">IFERROR(__xludf.DUMMYFUNCTION("""COMPUTED_VALUE"""),"")</f>
        <v/>
      </c>
      <c r="C160" s="27" t="str">
        <f ca="1">IFERROR(__xludf.DUMMYFUNCTION("""COMPUTED_VALUE"""),"")</f>
        <v/>
      </c>
      <c r="D160" s="27" t="str">
        <f ca="1">IFERROR(__xludf.DUMMYFUNCTION("""COMPUTED_VALUE"""),"")</f>
        <v/>
      </c>
      <c r="E160" s="15" t="str">
        <f ca="1">IFERROR(__xludf.DUMMYFUNCTION("""COMPUTED_VALUE"""),"")</f>
        <v/>
      </c>
      <c r="F160" s="51" t="str">
        <f ca="1">IFERROR(__xludf.DUMMYFUNCTION("""COMPUTED_VALUE"""),"")</f>
        <v/>
      </c>
      <c r="G160" s="16" t="str">
        <f ca="1">IFERROR(__xludf.DUMMYFUNCTION("""COMPUTED_VALUE"""),"")</f>
        <v/>
      </c>
      <c r="H160" s="17" t="str">
        <f ca="1">IFERROR(__xludf.DUMMYFUNCTION("""COMPUTED_VALUE"""),"")</f>
        <v/>
      </c>
      <c r="I160" s="17" t="str">
        <f ca="1">IFERROR(__xludf.DUMMYFUNCTION("""COMPUTED_VALUE"""),"")</f>
        <v/>
      </c>
      <c r="J160" s="17" t="str">
        <f ca="1">IFERROR(__xludf.DUMMYFUNCTION("""COMPUTED_VALUE"""),"")</f>
        <v/>
      </c>
      <c r="K160" s="18" t="str">
        <f ca="1">IFERROR(__xludf.DUMMYFUNCTION("""COMPUTED_VALUE"""),"")</f>
        <v/>
      </c>
      <c r="L160" s="19"/>
      <c r="M160" s="19"/>
      <c r="N160" s="19"/>
      <c r="O160" s="19"/>
      <c r="P160" s="19"/>
      <c r="Q160" s="19"/>
      <c r="R160" s="19"/>
      <c r="S160" s="19"/>
      <c r="T160" s="19"/>
      <c r="U160" s="19"/>
      <c r="V160" s="20"/>
      <c r="W160" s="20"/>
      <c r="X160" s="20"/>
      <c r="Y160" s="20"/>
      <c r="Z160" s="21"/>
      <c r="AA160" s="22"/>
      <c r="AB160" s="23"/>
    </row>
    <row r="161" spans="1:28" ht="13.5" customHeight="1" x14ac:dyDescent="0.35">
      <c r="A161" s="24" t="str">
        <f ca="1">IFERROR(__xludf.DUMMYFUNCTION("""COMPUTED_VALUE"""),"")</f>
        <v/>
      </c>
      <c r="B161" s="28" t="str">
        <f ca="1">IFERROR(__xludf.DUMMYFUNCTION("""COMPUTED_VALUE"""),"")</f>
        <v/>
      </c>
      <c r="C161" s="27" t="str">
        <f ca="1">IFERROR(__xludf.DUMMYFUNCTION("""COMPUTED_VALUE"""),"")</f>
        <v/>
      </c>
      <c r="D161" s="27" t="str">
        <f ca="1">IFERROR(__xludf.DUMMYFUNCTION("""COMPUTED_VALUE"""),"")</f>
        <v/>
      </c>
      <c r="E161" s="15" t="str">
        <f ca="1">IFERROR(__xludf.DUMMYFUNCTION("""COMPUTED_VALUE"""),"")</f>
        <v/>
      </c>
      <c r="F161" s="51" t="str">
        <f ca="1">IFERROR(__xludf.DUMMYFUNCTION("""COMPUTED_VALUE"""),"")</f>
        <v/>
      </c>
      <c r="G161" s="16" t="str">
        <f ca="1">IFERROR(__xludf.DUMMYFUNCTION("""COMPUTED_VALUE"""),"")</f>
        <v/>
      </c>
      <c r="H161" s="17" t="str">
        <f ca="1">IFERROR(__xludf.DUMMYFUNCTION("""COMPUTED_VALUE"""),"")</f>
        <v/>
      </c>
      <c r="I161" s="17" t="str">
        <f ca="1">IFERROR(__xludf.DUMMYFUNCTION("""COMPUTED_VALUE"""),"")</f>
        <v/>
      </c>
      <c r="J161" s="17" t="str">
        <f ca="1">IFERROR(__xludf.DUMMYFUNCTION("""COMPUTED_VALUE"""),"")</f>
        <v/>
      </c>
      <c r="K161" s="18" t="str">
        <f ca="1">IFERROR(__xludf.DUMMYFUNCTION("""COMPUTED_VALUE"""),"")</f>
        <v/>
      </c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V161" s="20"/>
      <c r="W161" s="20"/>
      <c r="X161" s="20"/>
      <c r="Y161" s="20"/>
      <c r="Z161" s="21"/>
      <c r="AA161" s="22"/>
      <c r="AB161" s="23"/>
    </row>
    <row r="162" spans="1:28" ht="13.5" customHeight="1" x14ac:dyDescent="0.35">
      <c r="A162" s="24" t="str">
        <f ca="1">IFERROR(__xludf.DUMMYFUNCTION("""COMPUTED_VALUE"""),"")</f>
        <v/>
      </c>
      <c r="B162" s="28" t="str">
        <f ca="1">IFERROR(__xludf.DUMMYFUNCTION("""COMPUTED_VALUE"""),"")</f>
        <v/>
      </c>
      <c r="C162" s="27" t="str">
        <f ca="1">IFERROR(__xludf.DUMMYFUNCTION("""COMPUTED_VALUE"""),"")</f>
        <v/>
      </c>
      <c r="D162" s="27" t="str">
        <f ca="1">IFERROR(__xludf.DUMMYFUNCTION("""COMPUTED_VALUE"""),"")</f>
        <v/>
      </c>
      <c r="E162" s="15" t="str">
        <f ca="1">IFERROR(__xludf.DUMMYFUNCTION("""COMPUTED_VALUE"""),"")</f>
        <v/>
      </c>
      <c r="F162" s="51" t="str">
        <f ca="1">IFERROR(__xludf.DUMMYFUNCTION("""COMPUTED_VALUE"""),"")</f>
        <v/>
      </c>
      <c r="G162" s="16" t="str">
        <f ca="1">IFERROR(__xludf.DUMMYFUNCTION("""COMPUTED_VALUE"""),"")</f>
        <v/>
      </c>
      <c r="H162" s="17" t="str">
        <f ca="1">IFERROR(__xludf.DUMMYFUNCTION("""COMPUTED_VALUE"""),"")</f>
        <v/>
      </c>
      <c r="I162" s="17" t="str">
        <f ca="1">IFERROR(__xludf.DUMMYFUNCTION("""COMPUTED_VALUE"""),"")</f>
        <v/>
      </c>
      <c r="J162" s="17" t="str">
        <f ca="1">IFERROR(__xludf.DUMMYFUNCTION("""COMPUTED_VALUE"""),"")</f>
        <v/>
      </c>
      <c r="K162" s="18" t="str">
        <f ca="1">IFERROR(__xludf.DUMMYFUNCTION("""COMPUTED_VALUE"""),"")</f>
        <v/>
      </c>
      <c r="L162" s="19"/>
      <c r="M162" s="19"/>
      <c r="N162" s="19"/>
      <c r="O162" s="19"/>
      <c r="P162" s="19"/>
      <c r="Q162" s="19"/>
      <c r="R162" s="19"/>
      <c r="S162" s="19"/>
      <c r="T162" s="19"/>
      <c r="U162" s="19"/>
      <c r="V162" s="20"/>
      <c r="W162" s="20"/>
      <c r="X162" s="20"/>
      <c r="Y162" s="20"/>
      <c r="Z162" s="21"/>
      <c r="AA162" s="22"/>
      <c r="AB162" s="23"/>
    </row>
    <row r="163" spans="1:28" ht="13.5" customHeight="1" x14ac:dyDescent="0.35">
      <c r="A163" s="24" t="str">
        <f ca="1">IFERROR(__xludf.DUMMYFUNCTION("""COMPUTED_VALUE"""),"")</f>
        <v/>
      </c>
      <c r="B163" s="28" t="str">
        <f ca="1">IFERROR(__xludf.DUMMYFUNCTION("""COMPUTED_VALUE"""),"")</f>
        <v/>
      </c>
      <c r="C163" s="27" t="str">
        <f ca="1">IFERROR(__xludf.DUMMYFUNCTION("""COMPUTED_VALUE"""),"")</f>
        <v/>
      </c>
      <c r="D163" s="27" t="str">
        <f ca="1">IFERROR(__xludf.DUMMYFUNCTION("""COMPUTED_VALUE"""),"")</f>
        <v/>
      </c>
      <c r="E163" s="15" t="str">
        <f ca="1">IFERROR(__xludf.DUMMYFUNCTION("""COMPUTED_VALUE"""),"")</f>
        <v/>
      </c>
      <c r="F163" s="51" t="str">
        <f ca="1">IFERROR(__xludf.DUMMYFUNCTION("""COMPUTED_VALUE"""),"")</f>
        <v/>
      </c>
      <c r="G163" s="16" t="str">
        <f ca="1">IFERROR(__xludf.DUMMYFUNCTION("""COMPUTED_VALUE"""),"")</f>
        <v/>
      </c>
      <c r="H163" s="17" t="str">
        <f ca="1">IFERROR(__xludf.DUMMYFUNCTION("""COMPUTED_VALUE"""),"")</f>
        <v/>
      </c>
      <c r="I163" s="17" t="str">
        <f ca="1">IFERROR(__xludf.DUMMYFUNCTION("""COMPUTED_VALUE"""),"")</f>
        <v/>
      </c>
      <c r="J163" s="17" t="str">
        <f ca="1">IFERROR(__xludf.DUMMYFUNCTION("""COMPUTED_VALUE"""),"")</f>
        <v/>
      </c>
      <c r="K163" s="18" t="str">
        <f ca="1">IFERROR(__xludf.DUMMYFUNCTION("""COMPUTED_VALUE"""),"")</f>
        <v/>
      </c>
      <c r="L163" s="19"/>
      <c r="M163" s="19"/>
      <c r="N163" s="19"/>
      <c r="O163" s="19"/>
      <c r="P163" s="19"/>
      <c r="Q163" s="19"/>
      <c r="R163" s="19"/>
      <c r="S163" s="19"/>
      <c r="T163" s="19"/>
      <c r="U163" s="19"/>
      <c r="V163" s="20"/>
      <c r="W163" s="20"/>
      <c r="X163" s="20"/>
      <c r="Y163" s="20"/>
      <c r="Z163" s="21"/>
      <c r="AA163" s="22"/>
      <c r="AB163" s="23"/>
    </row>
    <row r="164" spans="1:28" ht="13.5" customHeight="1" x14ac:dyDescent="0.35">
      <c r="A164" s="24" t="str">
        <f ca="1">IFERROR(__xludf.DUMMYFUNCTION("""COMPUTED_VALUE"""),"")</f>
        <v/>
      </c>
      <c r="B164" s="28" t="str">
        <f ca="1">IFERROR(__xludf.DUMMYFUNCTION("""COMPUTED_VALUE"""),"")</f>
        <v/>
      </c>
      <c r="C164" s="27" t="str">
        <f ca="1">IFERROR(__xludf.DUMMYFUNCTION("""COMPUTED_VALUE"""),"")</f>
        <v/>
      </c>
      <c r="D164" s="27" t="str">
        <f ca="1">IFERROR(__xludf.DUMMYFUNCTION("""COMPUTED_VALUE"""),"")</f>
        <v/>
      </c>
      <c r="E164" s="15" t="str">
        <f ca="1">IFERROR(__xludf.DUMMYFUNCTION("""COMPUTED_VALUE"""),"")</f>
        <v/>
      </c>
      <c r="F164" s="51" t="str">
        <f ca="1">IFERROR(__xludf.DUMMYFUNCTION("""COMPUTED_VALUE"""),"")</f>
        <v/>
      </c>
      <c r="G164" s="16" t="str">
        <f ca="1">IFERROR(__xludf.DUMMYFUNCTION("""COMPUTED_VALUE"""),"")</f>
        <v/>
      </c>
      <c r="H164" s="17" t="str">
        <f ca="1">IFERROR(__xludf.DUMMYFUNCTION("""COMPUTED_VALUE"""),"")</f>
        <v/>
      </c>
      <c r="I164" s="17" t="str">
        <f ca="1">IFERROR(__xludf.DUMMYFUNCTION("""COMPUTED_VALUE"""),"")</f>
        <v/>
      </c>
      <c r="J164" s="17" t="str">
        <f ca="1">IFERROR(__xludf.DUMMYFUNCTION("""COMPUTED_VALUE"""),"")</f>
        <v/>
      </c>
      <c r="K164" s="18" t="str">
        <f ca="1">IFERROR(__xludf.DUMMYFUNCTION("""COMPUTED_VALUE"""),"")</f>
        <v/>
      </c>
      <c r="L164" s="19"/>
      <c r="M164" s="19"/>
      <c r="N164" s="19"/>
      <c r="O164" s="19"/>
      <c r="P164" s="19"/>
      <c r="Q164" s="19"/>
      <c r="R164" s="19"/>
      <c r="S164" s="19"/>
      <c r="T164" s="19"/>
      <c r="U164" s="19"/>
      <c r="V164" s="20"/>
      <c r="W164" s="20"/>
      <c r="X164" s="20"/>
      <c r="Y164" s="20"/>
      <c r="Z164" s="21"/>
      <c r="AA164" s="22"/>
      <c r="AB164" s="23"/>
    </row>
    <row r="165" spans="1:28" ht="13.5" customHeight="1" x14ac:dyDescent="0.35">
      <c r="A165" s="24" t="str">
        <f ca="1">IFERROR(__xludf.DUMMYFUNCTION("""COMPUTED_VALUE"""),"")</f>
        <v/>
      </c>
      <c r="B165" s="28" t="str">
        <f ca="1">IFERROR(__xludf.DUMMYFUNCTION("""COMPUTED_VALUE"""),"")</f>
        <v/>
      </c>
      <c r="C165" s="27" t="str">
        <f ca="1">IFERROR(__xludf.DUMMYFUNCTION("""COMPUTED_VALUE"""),"")</f>
        <v/>
      </c>
      <c r="D165" s="27" t="str">
        <f ca="1">IFERROR(__xludf.DUMMYFUNCTION("""COMPUTED_VALUE"""),"")</f>
        <v/>
      </c>
      <c r="E165" s="15" t="str">
        <f ca="1">IFERROR(__xludf.DUMMYFUNCTION("""COMPUTED_VALUE"""),"")</f>
        <v/>
      </c>
      <c r="F165" s="51" t="str">
        <f ca="1">IFERROR(__xludf.DUMMYFUNCTION("""COMPUTED_VALUE"""),"")</f>
        <v/>
      </c>
      <c r="G165" s="16" t="str">
        <f ca="1">IFERROR(__xludf.DUMMYFUNCTION("""COMPUTED_VALUE"""),"")</f>
        <v/>
      </c>
      <c r="H165" s="17" t="str">
        <f ca="1">IFERROR(__xludf.DUMMYFUNCTION("""COMPUTED_VALUE"""),"")</f>
        <v/>
      </c>
      <c r="I165" s="17" t="str">
        <f ca="1">IFERROR(__xludf.DUMMYFUNCTION("""COMPUTED_VALUE"""),"")</f>
        <v/>
      </c>
      <c r="J165" s="17" t="str">
        <f ca="1">IFERROR(__xludf.DUMMYFUNCTION("""COMPUTED_VALUE"""),"")</f>
        <v/>
      </c>
      <c r="K165" s="18" t="str">
        <f ca="1">IFERROR(__xludf.DUMMYFUNCTION("""COMPUTED_VALUE"""),"")</f>
        <v/>
      </c>
      <c r="L165" s="19"/>
      <c r="M165" s="19"/>
      <c r="N165" s="19"/>
      <c r="O165" s="19"/>
      <c r="P165" s="19"/>
      <c r="Q165" s="19"/>
      <c r="R165" s="19"/>
      <c r="S165" s="19"/>
      <c r="T165" s="19"/>
      <c r="U165" s="19"/>
      <c r="V165" s="20"/>
      <c r="W165" s="20"/>
      <c r="X165" s="20"/>
      <c r="Y165" s="20"/>
      <c r="Z165" s="21"/>
      <c r="AA165" s="22"/>
      <c r="AB165" s="23"/>
    </row>
    <row r="166" spans="1:28" ht="13.5" customHeight="1" x14ac:dyDescent="0.35">
      <c r="A166" s="24" t="str">
        <f ca="1">IFERROR(__xludf.DUMMYFUNCTION("""COMPUTED_VALUE"""),"")</f>
        <v/>
      </c>
      <c r="B166" s="28" t="str">
        <f ca="1">IFERROR(__xludf.DUMMYFUNCTION("""COMPUTED_VALUE"""),"")</f>
        <v/>
      </c>
      <c r="C166" s="27" t="str">
        <f ca="1">IFERROR(__xludf.DUMMYFUNCTION("""COMPUTED_VALUE"""),"")</f>
        <v/>
      </c>
      <c r="D166" s="27" t="str">
        <f ca="1">IFERROR(__xludf.DUMMYFUNCTION("""COMPUTED_VALUE"""),"")</f>
        <v/>
      </c>
      <c r="E166" s="15" t="str">
        <f ca="1">IFERROR(__xludf.DUMMYFUNCTION("""COMPUTED_VALUE"""),"")</f>
        <v/>
      </c>
      <c r="F166" s="51" t="str">
        <f ca="1">IFERROR(__xludf.DUMMYFUNCTION("""COMPUTED_VALUE"""),"")</f>
        <v/>
      </c>
      <c r="G166" s="16" t="str">
        <f ca="1">IFERROR(__xludf.DUMMYFUNCTION("""COMPUTED_VALUE"""),"")</f>
        <v/>
      </c>
      <c r="H166" s="17" t="str">
        <f ca="1">IFERROR(__xludf.DUMMYFUNCTION("""COMPUTED_VALUE"""),"")</f>
        <v/>
      </c>
      <c r="I166" s="17" t="str">
        <f ca="1">IFERROR(__xludf.DUMMYFUNCTION("""COMPUTED_VALUE"""),"")</f>
        <v/>
      </c>
      <c r="J166" s="17" t="str">
        <f ca="1">IFERROR(__xludf.DUMMYFUNCTION("""COMPUTED_VALUE"""),"")</f>
        <v/>
      </c>
      <c r="K166" s="18" t="str">
        <f ca="1">IFERROR(__xludf.DUMMYFUNCTION("""COMPUTED_VALUE"""),"")</f>
        <v/>
      </c>
      <c r="L166" s="19"/>
      <c r="M166" s="19"/>
      <c r="N166" s="19"/>
      <c r="O166" s="19"/>
      <c r="P166" s="19"/>
      <c r="Q166" s="19"/>
      <c r="R166" s="19"/>
      <c r="S166" s="19"/>
      <c r="T166" s="19"/>
      <c r="U166" s="19"/>
      <c r="V166" s="20"/>
      <c r="W166" s="20"/>
      <c r="X166" s="20"/>
      <c r="Y166" s="20"/>
      <c r="Z166" s="21"/>
      <c r="AA166" s="22"/>
      <c r="AB166" s="23"/>
    </row>
    <row r="167" spans="1:28" ht="13.5" customHeight="1" x14ac:dyDescent="0.35">
      <c r="A167" s="24" t="str">
        <f ca="1">IFERROR(__xludf.DUMMYFUNCTION("""COMPUTED_VALUE"""),"")</f>
        <v/>
      </c>
      <c r="B167" s="28" t="str">
        <f ca="1">IFERROR(__xludf.DUMMYFUNCTION("""COMPUTED_VALUE"""),"")</f>
        <v/>
      </c>
      <c r="C167" s="27" t="str">
        <f ca="1">IFERROR(__xludf.DUMMYFUNCTION("""COMPUTED_VALUE"""),"")</f>
        <v/>
      </c>
      <c r="D167" s="27" t="str">
        <f ca="1">IFERROR(__xludf.DUMMYFUNCTION("""COMPUTED_VALUE"""),"")</f>
        <v/>
      </c>
      <c r="E167" s="15" t="str">
        <f ca="1">IFERROR(__xludf.DUMMYFUNCTION("""COMPUTED_VALUE"""),"")</f>
        <v/>
      </c>
      <c r="F167" s="51" t="str">
        <f ca="1">IFERROR(__xludf.DUMMYFUNCTION("""COMPUTED_VALUE"""),"")</f>
        <v/>
      </c>
      <c r="G167" s="16" t="str">
        <f ca="1">IFERROR(__xludf.DUMMYFUNCTION("""COMPUTED_VALUE"""),"")</f>
        <v/>
      </c>
      <c r="H167" s="17" t="str">
        <f ca="1">IFERROR(__xludf.DUMMYFUNCTION("""COMPUTED_VALUE"""),"")</f>
        <v/>
      </c>
      <c r="I167" s="17" t="str">
        <f ca="1">IFERROR(__xludf.DUMMYFUNCTION("""COMPUTED_VALUE"""),"")</f>
        <v/>
      </c>
      <c r="J167" s="17" t="str">
        <f ca="1">IFERROR(__xludf.DUMMYFUNCTION("""COMPUTED_VALUE"""),"")</f>
        <v/>
      </c>
      <c r="K167" s="18" t="str">
        <f ca="1">IFERROR(__xludf.DUMMYFUNCTION("""COMPUTED_VALUE"""),"")</f>
        <v/>
      </c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20"/>
      <c r="W167" s="20"/>
      <c r="X167" s="20"/>
      <c r="Y167" s="20"/>
      <c r="Z167" s="21"/>
      <c r="AA167" s="22"/>
      <c r="AB167" s="23"/>
    </row>
    <row r="168" spans="1:28" ht="13.5" customHeight="1" x14ac:dyDescent="0.35">
      <c r="A168" s="24" t="str">
        <f ca="1">IFERROR(__xludf.DUMMYFUNCTION("""COMPUTED_VALUE"""),"")</f>
        <v/>
      </c>
      <c r="B168" s="28" t="str">
        <f ca="1">IFERROR(__xludf.DUMMYFUNCTION("""COMPUTED_VALUE"""),"")</f>
        <v/>
      </c>
      <c r="C168" s="27" t="str">
        <f ca="1">IFERROR(__xludf.DUMMYFUNCTION("""COMPUTED_VALUE"""),"")</f>
        <v/>
      </c>
      <c r="D168" s="27" t="str">
        <f ca="1">IFERROR(__xludf.DUMMYFUNCTION("""COMPUTED_VALUE"""),"")</f>
        <v/>
      </c>
      <c r="E168" s="15" t="str">
        <f ca="1">IFERROR(__xludf.DUMMYFUNCTION("""COMPUTED_VALUE"""),"")</f>
        <v/>
      </c>
      <c r="F168" s="51" t="str">
        <f ca="1">IFERROR(__xludf.DUMMYFUNCTION("""COMPUTED_VALUE"""),"")</f>
        <v/>
      </c>
      <c r="G168" s="16" t="str">
        <f ca="1">IFERROR(__xludf.DUMMYFUNCTION("""COMPUTED_VALUE"""),"")</f>
        <v/>
      </c>
      <c r="H168" s="17" t="str">
        <f ca="1">IFERROR(__xludf.DUMMYFUNCTION("""COMPUTED_VALUE"""),"")</f>
        <v/>
      </c>
      <c r="I168" s="17" t="str">
        <f ca="1">IFERROR(__xludf.DUMMYFUNCTION("""COMPUTED_VALUE"""),"")</f>
        <v/>
      </c>
      <c r="J168" s="17" t="str">
        <f ca="1">IFERROR(__xludf.DUMMYFUNCTION("""COMPUTED_VALUE"""),"")</f>
        <v/>
      </c>
      <c r="K168" s="18" t="str">
        <f ca="1">IFERROR(__xludf.DUMMYFUNCTION("""COMPUTED_VALUE"""),"")</f>
        <v/>
      </c>
      <c r="L168" s="19"/>
      <c r="M168" s="19"/>
      <c r="N168" s="19"/>
      <c r="O168" s="19"/>
      <c r="P168" s="19"/>
      <c r="Q168" s="19"/>
      <c r="R168" s="19"/>
      <c r="S168" s="19"/>
      <c r="T168" s="19"/>
      <c r="U168" s="19"/>
      <c r="V168" s="20"/>
      <c r="W168" s="20"/>
      <c r="X168" s="20"/>
      <c r="Y168" s="20"/>
      <c r="Z168" s="21"/>
      <c r="AA168" s="22"/>
      <c r="AB168" s="23"/>
    </row>
    <row r="169" spans="1:28" ht="13.5" customHeight="1" x14ac:dyDescent="0.35">
      <c r="A169" s="24" t="str">
        <f ca="1">IFERROR(__xludf.DUMMYFUNCTION("""COMPUTED_VALUE"""),"")</f>
        <v/>
      </c>
      <c r="B169" s="28" t="str">
        <f ca="1">IFERROR(__xludf.DUMMYFUNCTION("""COMPUTED_VALUE"""),"")</f>
        <v/>
      </c>
      <c r="C169" s="27" t="str">
        <f ca="1">IFERROR(__xludf.DUMMYFUNCTION("""COMPUTED_VALUE"""),"")</f>
        <v/>
      </c>
      <c r="D169" s="27" t="str">
        <f ca="1">IFERROR(__xludf.DUMMYFUNCTION("""COMPUTED_VALUE"""),"")</f>
        <v/>
      </c>
      <c r="E169" s="15" t="str">
        <f ca="1">IFERROR(__xludf.DUMMYFUNCTION("""COMPUTED_VALUE"""),"")</f>
        <v/>
      </c>
      <c r="F169" s="51" t="str">
        <f ca="1">IFERROR(__xludf.DUMMYFUNCTION("""COMPUTED_VALUE"""),"")</f>
        <v/>
      </c>
      <c r="G169" s="16" t="str">
        <f ca="1">IFERROR(__xludf.DUMMYFUNCTION("""COMPUTED_VALUE"""),"")</f>
        <v/>
      </c>
      <c r="H169" s="17" t="str">
        <f ca="1">IFERROR(__xludf.DUMMYFUNCTION("""COMPUTED_VALUE"""),"")</f>
        <v/>
      </c>
      <c r="I169" s="17" t="str">
        <f ca="1">IFERROR(__xludf.DUMMYFUNCTION("""COMPUTED_VALUE"""),"")</f>
        <v/>
      </c>
      <c r="J169" s="17" t="str">
        <f ca="1">IFERROR(__xludf.DUMMYFUNCTION("""COMPUTED_VALUE"""),"")</f>
        <v/>
      </c>
      <c r="K169" s="18" t="str">
        <f ca="1">IFERROR(__xludf.DUMMYFUNCTION("""COMPUTED_VALUE"""),"")</f>
        <v/>
      </c>
      <c r="L169" s="19"/>
      <c r="M169" s="19"/>
      <c r="N169" s="19"/>
      <c r="O169" s="19"/>
      <c r="P169" s="19"/>
      <c r="Q169" s="19"/>
      <c r="R169" s="19"/>
      <c r="S169" s="19"/>
      <c r="T169" s="19"/>
      <c r="U169" s="19"/>
      <c r="V169" s="20"/>
      <c r="W169" s="20"/>
      <c r="X169" s="20"/>
      <c r="Y169" s="20"/>
      <c r="Z169" s="21"/>
      <c r="AA169" s="22"/>
      <c r="AB169" s="23"/>
    </row>
    <row r="170" spans="1:28" ht="13.5" customHeight="1" x14ac:dyDescent="0.35">
      <c r="A170" s="24" t="str">
        <f ca="1">IFERROR(__xludf.DUMMYFUNCTION("""COMPUTED_VALUE"""),"")</f>
        <v/>
      </c>
      <c r="B170" s="28" t="str">
        <f ca="1">IFERROR(__xludf.DUMMYFUNCTION("""COMPUTED_VALUE"""),"")</f>
        <v/>
      </c>
      <c r="C170" s="27" t="str">
        <f ca="1">IFERROR(__xludf.DUMMYFUNCTION("""COMPUTED_VALUE"""),"")</f>
        <v/>
      </c>
      <c r="D170" s="27" t="str">
        <f ca="1">IFERROR(__xludf.DUMMYFUNCTION("""COMPUTED_VALUE"""),"")</f>
        <v/>
      </c>
      <c r="E170" s="15" t="str">
        <f ca="1">IFERROR(__xludf.DUMMYFUNCTION("""COMPUTED_VALUE"""),"")</f>
        <v/>
      </c>
      <c r="F170" s="51" t="str">
        <f ca="1">IFERROR(__xludf.DUMMYFUNCTION("""COMPUTED_VALUE"""),"")</f>
        <v/>
      </c>
      <c r="G170" s="16" t="str">
        <f ca="1">IFERROR(__xludf.DUMMYFUNCTION("""COMPUTED_VALUE"""),"")</f>
        <v/>
      </c>
      <c r="H170" s="17" t="str">
        <f ca="1">IFERROR(__xludf.DUMMYFUNCTION("""COMPUTED_VALUE"""),"")</f>
        <v/>
      </c>
      <c r="I170" s="17" t="str">
        <f ca="1">IFERROR(__xludf.DUMMYFUNCTION("""COMPUTED_VALUE"""),"")</f>
        <v/>
      </c>
      <c r="J170" s="17" t="str">
        <f ca="1">IFERROR(__xludf.DUMMYFUNCTION("""COMPUTED_VALUE"""),"")</f>
        <v/>
      </c>
      <c r="K170" s="18" t="str">
        <f ca="1">IFERROR(__xludf.DUMMYFUNCTION("""COMPUTED_VALUE"""),"")</f>
        <v/>
      </c>
      <c r="L170" s="19"/>
      <c r="M170" s="19"/>
      <c r="N170" s="19"/>
      <c r="O170" s="19"/>
      <c r="P170" s="19"/>
      <c r="Q170" s="19"/>
      <c r="R170" s="19"/>
      <c r="S170" s="19"/>
      <c r="T170" s="19"/>
      <c r="U170" s="19"/>
      <c r="V170" s="20"/>
      <c r="W170" s="20"/>
      <c r="X170" s="20"/>
      <c r="Y170" s="20"/>
      <c r="Z170" s="21"/>
      <c r="AA170" s="22"/>
      <c r="AB170" s="22"/>
    </row>
    <row r="171" spans="1:28" ht="13.5" customHeight="1" x14ac:dyDescent="0.35">
      <c r="A171" s="24" t="str">
        <f ca="1">IFERROR(__xludf.DUMMYFUNCTION("""COMPUTED_VALUE"""),"")</f>
        <v/>
      </c>
      <c r="B171" s="28" t="str">
        <f ca="1">IFERROR(__xludf.DUMMYFUNCTION("""COMPUTED_VALUE"""),"")</f>
        <v/>
      </c>
      <c r="C171" s="27" t="str">
        <f ca="1">IFERROR(__xludf.DUMMYFUNCTION("""COMPUTED_VALUE"""),"")</f>
        <v/>
      </c>
      <c r="D171" s="27" t="str">
        <f ca="1">IFERROR(__xludf.DUMMYFUNCTION("""COMPUTED_VALUE"""),"")</f>
        <v/>
      </c>
      <c r="E171" s="15" t="str">
        <f ca="1">IFERROR(__xludf.DUMMYFUNCTION("""COMPUTED_VALUE"""),"")</f>
        <v/>
      </c>
      <c r="F171" s="51" t="str">
        <f ca="1">IFERROR(__xludf.DUMMYFUNCTION("""COMPUTED_VALUE"""),"")</f>
        <v/>
      </c>
      <c r="G171" s="16" t="str">
        <f ca="1">IFERROR(__xludf.DUMMYFUNCTION("""COMPUTED_VALUE"""),"")</f>
        <v/>
      </c>
      <c r="H171" s="17" t="str">
        <f ca="1">IFERROR(__xludf.DUMMYFUNCTION("""COMPUTED_VALUE"""),"")</f>
        <v/>
      </c>
      <c r="I171" s="17" t="str">
        <f ca="1">IFERROR(__xludf.DUMMYFUNCTION("""COMPUTED_VALUE"""),"")</f>
        <v/>
      </c>
      <c r="J171" s="17" t="str">
        <f ca="1">IFERROR(__xludf.DUMMYFUNCTION("""COMPUTED_VALUE"""),"")</f>
        <v/>
      </c>
      <c r="K171" s="18" t="str">
        <f ca="1">IFERROR(__xludf.DUMMYFUNCTION("""COMPUTED_VALUE"""),"")</f>
        <v/>
      </c>
      <c r="L171" s="19"/>
      <c r="M171" s="19"/>
      <c r="N171" s="19"/>
      <c r="O171" s="19"/>
      <c r="P171" s="19"/>
      <c r="Q171" s="19"/>
      <c r="R171" s="19"/>
      <c r="S171" s="19"/>
      <c r="T171" s="19"/>
      <c r="U171" s="19"/>
      <c r="V171" s="20"/>
      <c r="W171" s="20"/>
      <c r="X171" s="20"/>
      <c r="Y171" s="20"/>
      <c r="Z171" s="21"/>
      <c r="AA171" s="22"/>
      <c r="AB171" s="22"/>
    </row>
    <row r="172" spans="1:28" ht="13.5" customHeight="1" x14ac:dyDescent="0.35">
      <c r="A172" s="24" t="str">
        <f ca="1">IFERROR(__xludf.DUMMYFUNCTION("""COMPUTED_VALUE"""),"")</f>
        <v/>
      </c>
      <c r="B172" s="28" t="str">
        <f ca="1">IFERROR(__xludf.DUMMYFUNCTION("""COMPUTED_VALUE"""),"")</f>
        <v/>
      </c>
      <c r="C172" s="27" t="str">
        <f ca="1">IFERROR(__xludf.DUMMYFUNCTION("""COMPUTED_VALUE"""),"")</f>
        <v/>
      </c>
      <c r="D172" s="27" t="str">
        <f ca="1">IFERROR(__xludf.DUMMYFUNCTION("""COMPUTED_VALUE"""),"")</f>
        <v/>
      </c>
      <c r="E172" s="15" t="str">
        <f ca="1">IFERROR(__xludf.DUMMYFUNCTION("""COMPUTED_VALUE"""),"")</f>
        <v/>
      </c>
      <c r="F172" s="51" t="str">
        <f ca="1">IFERROR(__xludf.DUMMYFUNCTION("""COMPUTED_VALUE"""),"")</f>
        <v/>
      </c>
      <c r="G172" s="16" t="str">
        <f ca="1">IFERROR(__xludf.DUMMYFUNCTION("""COMPUTED_VALUE"""),"")</f>
        <v/>
      </c>
      <c r="H172" s="17" t="str">
        <f ca="1">IFERROR(__xludf.DUMMYFUNCTION("""COMPUTED_VALUE"""),"")</f>
        <v/>
      </c>
      <c r="I172" s="17" t="str">
        <f ca="1">IFERROR(__xludf.DUMMYFUNCTION("""COMPUTED_VALUE"""),"")</f>
        <v/>
      </c>
      <c r="J172" s="17" t="str">
        <f ca="1">IFERROR(__xludf.DUMMYFUNCTION("""COMPUTED_VALUE"""),"")</f>
        <v/>
      </c>
      <c r="K172" s="18" t="str">
        <f ca="1">IFERROR(__xludf.DUMMYFUNCTION("""COMPUTED_VALUE"""),"")</f>
        <v/>
      </c>
      <c r="L172" s="19"/>
      <c r="M172" s="19"/>
      <c r="N172" s="19"/>
      <c r="O172" s="19"/>
      <c r="P172" s="19"/>
      <c r="Q172" s="19"/>
      <c r="R172" s="19"/>
      <c r="S172" s="19"/>
      <c r="T172" s="19"/>
      <c r="U172" s="19"/>
      <c r="V172" s="20"/>
      <c r="W172" s="20"/>
      <c r="X172" s="20"/>
      <c r="Y172" s="20"/>
      <c r="Z172" s="21"/>
      <c r="AA172" s="22"/>
      <c r="AB172" s="22"/>
    </row>
    <row r="173" spans="1:28" ht="13.5" customHeight="1" x14ac:dyDescent="0.35">
      <c r="A173" s="24" t="str">
        <f ca="1">IFERROR(__xludf.DUMMYFUNCTION("""COMPUTED_VALUE"""),"")</f>
        <v/>
      </c>
      <c r="B173" s="28" t="str">
        <f ca="1">IFERROR(__xludf.DUMMYFUNCTION("""COMPUTED_VALUE"""),"")</f>
        <v/>
      </c>
      <c r="C173" s="27" t="str">
        <f ca="1">IFERROR(__xludf.DUMMYFUNCTION("""COMPUTED_VALUE"""),"")</f>
        <v/>
      </c>
      <c r="D173" s="27" t="str">
        <f ca="1">IFERROR(__xludf.DUMMYFUNCTION("""COMPUTED_VALUE"""),"")</f>
        <v/>
      </c>
      <c r="E173" s="15" t="str">
        <f ca="1">IFERROR(__xludf.DUMMYFUNCTION("""COMPUTED_VALUE"""),"")</f>
        <v/>
      </c>
      <c r="F173" s="51" t="str">
        <f ca="1">IFERROR(__xludf.DUMMYFUNCTION("""COMPUTED_VALUE"""),"")</f>
        <v/>
      </c>
      <c r="G173" s="16" t="str">
        <f ca="1">IFERROR(__xludf.DUMMYFUNCTION("""COMPUTED_VALUE"""),"")</f>
        <v/>
      </c>
      <c r="H173" s="17" t="str">
        <f ca="1">IFERROR(__xludf.DUMMYFUNCTION("""COMPUTED_VALUE"""),"")</f>
        <v/>
      </c>
      <c r="I173" s="17" t="str">
        <f ca="1">IFERROR(__xludf.DUMMYFUNCTION("""COMPUTED_VALUE"""),"")</f>
        <v/>
      </c>
      <c r="J173" s="17" t="str">
        <f ca="1">IFERROR(__xludf.DUMMYFUNCTION("""COMPUTED_VALUE"""),"")</f>
        <v/>
      </c>
      <c r="K173" s="18" t="str">
        <f ca="1">IFERROR(__xludf.DUMMYFUNCTION("""COMPUTED_VALUE"""),"")</f>
        <v/>
      </c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20"/>
      <c r="W173" s="20"/>
      <c r="X173" s="20"/>
      <c r="Y173" s="20"/>
      <c r="Z173" s="21"/>
      <c r="AA173" s="22"/>
      <c r="AB173" s="22"/>
    </row>
    <row r="174" spans="1:28" ht="13.5" customHeight="1" x14ac:dyDescent="0.35">
      <c r="A174" s="24" t="str">
        <f ca="1">IFERROR(__xludf.DUMMYFUNCTION("""COMPUTED_VALUE"""),"")</f>
        <v/>
      </c>
      <c r="B174" s="28" t="str">
        <f ca="1">IFERROR(__xludf.DUMMYFUNCTION("""COMPUTED_VALUE"""),"")</f>
        <v/>
      </c>
      <c r="C174" s="27" t="str">
        <f ca="1">IFERROR(__xludf.DUMMYFUNCTION("""COMPUTED_VALUE"""),"")</f>
        <v/>
      </c>
      <c r="D174" s="27" t="str">
        <f ca="1">IFERROR(__xludf.DUMMYFUNCTION("""COMPUTED_VALUE"""),"")</f>
        <v/>
      </c>
      <c r="E174" s="15" t="str">
        <f ca="1">IFERROR(__xludf.DUMMYFUNCTION("""COMPUTED_VALUE"""),"")</f>
        <v/>
      </c>
      <c r="F174" s="51" t="str">
        <f ca="1">IFERROR(__xludf.DUMMYFUNCTION("""COMPUTED_VALUE"""),"")</f>
        <v/>
      </c>
      <c r="G174" s="16" t="str">
        <f ca="1">IFERROR(__xludf.DUMMYFUNCTION("""COMPUTED_VALUE"""),"")</f>
        <v/>
      </c>
      <c r="H174" s="17" t="str">
        <f ca="1">IFERROR(__xludf.DUMMYFUNCTION("""COMPUTED_VALUE"""),"")</f>
        <v/>
      </c>
      <c r="I174" s="17" t="str">
        <f ca="1">IFERROR(__xludf.DUMMYFUNCTION("""COMPUTED_VALUE"""),"")</f>
        <v/>
      </c>
      <c r="J174" s="17" t="str">
        <f ca="1">IFERROR(__xludf.DUMMYFUNCTION("""COMPUTED_VALUE"""),"")</f>
        <v/>
      </c>
      <c r="K174" s="18" t="str">
        <f ca="1">IFERROR(__xludf.DUMMYFUNCTION("""COMPUTED_VALUE"""),"")</f>
        <v/>
      </c>
      <c r="L174" s="19"/>
      <c r="M174" s="19"/>
      <c r="N174" s="19"/>
      <c r="O174" s="19"/>
      <c r="P174" s="19"/>
      <c r="Q174" s="19"/>
      <c r="R174" s="19"/>
      <c r="S174" s="19"/>
      <c r="T174" s="19"/>
      <c r="U174" s="19"/>
      <c r="V174" s="20"/>
      <c r="W174" s="20"/>
      <c r="X174" s="20"/>
      <c r="Y174" s="20"/>
      <c r="Z174" s="21"/>
      <c r="AA174" s="22"/>
      <c r="AB174" s="22"/>
    </row>
    <row r="175" spans="1:28" ht="13.5" customHeight="1" x14ac:dyDescent="0.35">
      <c r="A175" s="24" t="str">
        <f ca="1">IFERROR(__xludf.DUMMYFUNCTION("""COMPUTED_VALUE"""),"")</f>
        <v/>
      </c>
      <c r="B175" s="28" t="str">
        <f ca="1">IFERROR(__xludf.DUMMYFUNCTION("""COMPUTED_VALUE"""),"")</f>
        <v/>
      </c>
      <c r="C175" s="27" t="str">
        <f ca="1">IFERROR(__xludf.DUMMYFUNCTION("""COMPUTED_VALUE"""),"")</f>
        <v/>
      </c>
      <c r="D175" s="27" t="str">
        <f ca="1">IFERROR(__xludf.DUMMYFUNCTION("""COMPUTED_VALUE"""),"")</f>
        <v/>
      </c>
      <c r="E175" s="15" t="str">
        <f ca="1">IFERROR(__xludf.DUMMYFUNCTION("""COMPUTED_VALUE"""),"")</f>
        <v/>
      </c>
      <c r="F175" s="51" t="str">
        <f ca="1">IFERROR(__xludf.DUMMYFUNCTION("""COMPUTED_VALUE"""),"")</f>
        <v/>
      </c>
      <c r="G175" s="16" t="str">
        <f ca="1">IFERROR(__xludf.DUMMYFUNCTION("""COMPUTED_VALUE"""),"")</f>
        <v/>
      </c>
      <c r="H175" s="17" t="str">
        <f ca="1">IFERROR(__xludf.DUMMYFUNCTION("""COMPUTED_VALUE"""),"")</f>
        <v/>
      </c>
      <c r="I175" s="17" t="str">
        <f ca="1">IFERROR(__xludf.DUMMYFUNCTION("""COMPUTED_VALUE"""),"")</f>
        <v/>
      </c>
      <c r="J175" s="17" t="str">
        <f ca="1">IFERROR(__xludf.DUMMYFUNCTION("""COMPUTED_VALUE"""),"")</f>
        <v/>
      </c>
      <c r="K175" s="18" t="str">
        <f ca="1">IFERROR(__xludf.DUMMYFUNCTION("""COMPUTED_VALUE"""),"")</f>
        <v/>
      </c>
      <c r="L175" s="19"/>
      <c r="M175" s="19"/>
      <c r="N175" s="19"/>
      <c r="O175" s="19"/>
      <c r="P175" s="19"/>
      <c r="Q175" s="19"/>
      <c r="R175" s="19"/>
      <c r="S175" s="19"/>
      <c r="T175" s="19"/>
      <c r="U175" s="19"/>
      <c r="V175" s="20"/>
      <c r="W175" s="20"/>
      <c r="X175" s="20"/>
      <c r="Y175" s="20"/>
      <c r="Z175" s="21"/>
      <c r="AA175" s="22"/>
      <c r="AB175" s="22"/>
    </row>
    <row r="176" spans="1:28" ht="13.5" customHeight="1" x14ac:dyDescent="0.35">
      <c r="A176" s="24" t="str">
        <f ca="1">IFERROR(__xludf.DUMMYFUNCTION("""COMPUTED_VALUE"""),"")</f>
        <v/>
      </c>
      <c r="B176" s="28" t="str">
        <f ca="1">IFERROR(__xludf.DUMMYFUNCTION("""COMPUTED_VALUE"""),"")</f>
        <v/>
      </c>
      <c r="C176" s="27" t="str">
        <f ca="1">IFERROR(__xludf.DUMMYFUNCTION("""COMPUTED_VALUE"""),"")</f>
        <v/>
      </c>
      <c r="D176" s="27" t="str">
        <f ca="1">IFERROR(__xludf.DUMMYFUNCTION("""COMPUTED_VALUE"""),"")</f>
        <v/>
      </c>
      <c r="E176" s="15" t="str">
        <f ca="1">IFERROR(__xludf.DUMMYFUNCTION("""COMPUTED_VALUE"""),"")</f>
        <v/>
      </c>
      <c r="F176" s="51" t="str">
        <f ca="1">IFERROR(__xludf.DUMMYFUNCTION("""COMPUTED_VALUE"""),"")</f>
        <v/>
      </c>
      <c r="G176" s="16" t="str">
        <f ca="1">IFERROR(__xludf.DUMMYFUNCTION("""COMPUTED_VALUE"""),"")</f>
        <v/>
      </c>
      <c r="H176" s="17" t="str">
        <f ca="1">IFERROR(__xludf.DUMMYFUNCTION("""COMPUTED_VALUE"""),"")</f>
        <v/>
      </c>
      <c r="I176" s="17" t="str">
        <f ca="1">IFERROR(__xludf.DUMMYFUNCTION("""COMPUTED_VALUE"""),"")</f>
        <v/>
      </c>
      <c r="J176" s="17" t="str">
        <f ca="1">IFERROR(__xludf.DUMMYFUNCTION("""COMPUTED_VALUE"""),"")</f>
        <v/>
      </c>
      <c r="K176" s="18" t="str">
        <f ca="1">IFERROR(__xludf.DUMMYFUNCTION("""COMPUTED_VALUE"""),"")</f>
        <v/>
      </c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V176" s="20"/>
      <c r="W176" s="20"/>
      <c r="X176" s="20"/>
      <c r="Y176" s="20"/>
      <c r="Z176" s="21"/>
      <c r="AA176" s="22"/>
      <c r="AB176" s="22"/>
    </row>
    <row r="177" spans="1:28" ht="13.5" customHeight="1" x14ac:dyDescent="0.35">
      <c r="A177" s="24" t="str">
        <f ca="1">IFERROR(__xludf.DUMMYFUNCTION("""COMPUTED_VALUE"""),"")</f>
        <v/>
      </c>
      <c r="B177" s="28" t="str">
        <f ca="1">IFERROR(__xludf.DUMMYFUNCTION("""COMPUTED_VALUE"""),"")</f>
        <v/>
      </c>
      <c r="C177" s="27" t="str">
        <f ca="1">IFERROR(__xludf.DUMMYFUNCTION("""COMPUTED_VALUE"""),"")</f>
        <v/>
      </c>
      <c r="D177" s="27" t="str">
        <f ca="1">IFERROR(__xludf.DUMMYFUNCTION("""COMPUTED_VALUE"""),"")</f>
        <v/>
      </c>
      <c r="E177" s="15" t="str">
        <f ca="1">IFERROR(__xludf.DUMMYFUNCTION("""COMPUTED_VALUE"""),"")</f>
        <v/>
      </c>
      <c r="F177" s="51" t="str">
        <f ca="1">IFERROR(__xludf.DUMMYFUNCTION("""COMPUTED_VALUE"""),"")</f>
        <v/>
      </c>
      <c r="G177" s="16" t="str">
        <f ca="1">IFERROR(__xludf.DUMMYFUNCTION("""COMPUTED_VALUE"""),"")</f>
        <v/>
      </c>
      <c r="H177" s="17" t="str">
        <f ca="1">IFERROR(__xludf.DUMMYFUNCTION("""COMPUTED_VALUE"""),"")</f>
        <v/>
      </c>
      <c r="I177" s="17" t="str">
        <f ca="1">IFERROR(__xludf.DUMMYFUNCTION("""COMPUTED_VALUE"""),"")</f>
        <v/>
      </c>
      <c r="J177" s="17" t="str">
        <f ca="1">IFERROR(__xludf.DUMMYFUNCTION("""COMPUTED_VALUE"""),"")</f>
        <v/>
      </c>
      <c r="K177" s="18" t="str">
        <f ca="1">IFERROR(__xludf.DUMMYFUNCTION("""COMPUTED_VALUE"""),"")</f>
        <v/>
      </c>
      <c r="L177" s="19"/>
      <c r="M177" s="19"/>
      <c r="N177" s="19"/>
      <c r="O177" s="19"/>
      <c r="P177" s="19"/>
      <c r="Q177" s="19"/>
      <c r="R177" s="19"/>
      <c r="S177" s="19"/>
      <c r="T177" s="19"/>
      <c r="U177" s="19"/>
      <c r="V177" s="20"/>
      <c r="W177" s="20"/>
      <c r="X177" s="20"/>
      <c r="Y177" s="20"/>
      <c r="Z177" s="21"/>
      <c r="AA177" s="22"/>
      <c r="AB177" s="22"/>
    </row>
    <row r="178" spans="1:28" ht="13.5" customHeight="1" x14ac:dyDescent="0.35">
      <c r="A178" s="24" t="str">
        <f ca="1">IFERROR(__xludf.DUMMYFUNCTION("""COMPUTED_VALUE"""),"")</f>
        <v/>
      </c>
      <c r="B178" s="28" t="str">
        <f ca="1">IFERROR(__xludf.DUMMYFUNCTION("""COMPUTED_VALUE"""),"")</f>
        <v/>
      </c>
      <c r="C178" s="27" t="str">
        <f ca="1">IFERROR(__xludf.DUMMYFUNCTION("""COMPUTED_VALUE"""),"")</f>
        <v/>
      </c>
      <c r="D178" s="27" t="str">
        <f ca="1">IFERROR(__xludf.DUMMYFUNCTION("""COMPUTED_VALUE"""),"")</f>
        <v/>
      </c>
      <c r="E178" s="15" t="str">
        <f ca="1">IFERROR(__xludf.DUMMYFUNCTION("""COMPUTED_VALUE"""),"")</f>
        <v/>
      </c>
      <c r="F178" s="51" t="str">
        <f ca="1">IFERROR(__xludf.DUMMYFUNCTION("""COMPUTED_VALUE"""),"")</f>
        <v/>
      </c>
      <c r="G178" s="16" t="str">
        <f ca="1">IFERROR(__xludf.DUMMYFUNCTION("""COMPUTED_VALUE"""),"")</f>
        <v/>
      </c>
      <c r="H178" s="17" t="str">
        <f ca="1">IFERROR(__xludf.DUMMYFUNCTION("""COMPUTED_VALUE"""),"")</f>
        <v/>
      </c>
      <c r="I178" s="17" t="str">
        <f ca="1">IFERROR(__xludf.DUMMYFUNCTION("""COMPUTED_VALUE"""),"")</f>
        <v/>
      </c>
      <c r="J178" s="17" t="str">
        <f ca="1">IFERROR(__xludf.DUMMYFUNCTION("""COMPUTED_VALUE"""),"")</f>
        <v/>
      </c>
      <c r="K178" s="18" t="str">
        <f ca="1">IFERROR(__xludf.DUMMYFUNCTION("""COMPUTED_VALUE"""),"")</f>
        <v/>
      </c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V178" s="20"/>
      <c r="W178" s="20"/>
      <c r="X178" s="20"/>
      <c r="Y178" s="20"/>
      <c r="Z178" s="21"/>
      <c r="AA178" s="22"/>
      <c r="AB178" s="22"/>
    </row>
    <row r="179" spans="1:28" ht="13.5" customHeight="1" x14ac:dyDescent="0.35">
      <c r="A179" s="24" t="str">
        <f ca="1">IFERROR(__xludf.DUMMYFUNCTION("""COMPUTED_VALUE"""),"")</f>
        <v/>
      </c>
      <c r="B179" s="28" t="str">
        <f ca="1">IFERROR(__xludf.DUMMYFUNCTION("""COMPUTED_VALUE"""),"")</f>
        <v/>
      </c>
      <c r="C179" s="27" t="str">
        <f ca="1">IFERROR(__xludf.DUMMYFUNCTION("""COMPUTED_VALUE"""),"")</f>
        <v/>
      </c>
      <c r="D179" s="27" t="str">
        <f ca="1">IFERROR(__xludf.DUMMYFUNCTION("""COMPUTED_VALUE"""),"")</f>
        <v/>
      </c>
      <c r="E179" s="15" t="str">
        <f ca="1">IFERROR(__xludf.DUMMYFUNCTION("""COMPUTED_VALUE"""),"")</f>
        <v/>
      </c>
      <c r="F179" s="51" t="str">
        <f ca="1">IFERROR(__xludf.DUMMYFUNCTION("""COMPUTED_VALUE"""),"")</f>
        <v/>
      </c>
      <c r="G179" s="16" t="str">
        <f ca="1">IFERROR(__xludf.DUMMYFUNCTION("""COMPUTED_VALUE"""),"")</f>
        <v/>
      </c>
      <c r="H179" s="17" t="str">
        <f ca="1">IFERROR(__xludf.DUMMYFUNCTION("""COMPUTED_VALUE"""),"")</f>
        <v/>
      </c>
      <c r="I179" s="17" t="str">
        <f ca="1">IFERROR(__xludf.DUMMYFUNCTION("""COMPUTED_VALUE"""),"")</f>
        <v/>
      </c>
      <c r="J179" s="17" t="str">
        <f ca="1">IFERROR(__xludf.DUMMYFUNCTION("""COMPUTED_VALUE"""),"")</f>
        <v/>
      </c>
      <c r="K179" s="18" t="str">
        <f ca="1">IFERROR(__xludf.DUMMYFUNCTION("""COMPUTED_VALUE"""),"")</f>
        <v/>
      </c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20"/>
      <c r="W179" s="20"/>
      <c r="X179" s="20"/>
      <c r="Y179" s="20"/>
      <c r="Z179" s="21"/>
      <c r="AA179" s="22"/>
      <c r="AB179" s="22"/>
    </row>
    <row r="180" spans="1:28" ht="13.5" customHeight="1" x14ac:dyDescent="0.35">
      <c r="A180" s="24" t="str">
        <f ca="1">IFERROR(__xludf.DUMMYFUNCTION("""COMPUTED_VALUE"""),"")</f>
        <v/>
      </c>
      <c r="B180" s="28" t="str">
        <f ca="1">IFERROR(__xludf.DUMMYFUNCTION("""COMPUTED_VALUE"""),"")</f>
        <v/>
      </c>
      <c r="C180" s="27" t="str">
        <f ca="1">IFERROR(__xludf.DUMMYFUNCTION("""COMPUTED_VALUE"""),"")</f>
        <v/>
      </c>
      <c r="D180" s="27" t="str">
        <f ca="1">IFERROR(__xludf.DUMMYFUNCTION("""COMPUTED_VALUE"""),"")</f>
        <v/>
      </c>
      <c r="E180" s="15" t="str">
        <f ca="1">IFERROR(__xludf.DUMMYFUNCTION("""COMPUTED_VALUE"""),"")</f>
        <v/>
      </c>
      <c r="F180" s="51" t="str">
        <f ca="1">IFERROR(__xludf.DUMMYFUNCTION("""COMPUTED_VALUE"""),"")</f>
        <v/>
      </c>
      <c r="G180" s="16" t="str">
        <f ca="1">IFERROR(__xludf.DUMMYFUNCTION("""COMPUTED_VALUE"""),"")</f>
        <v/>
      </c>
      <c r="H180" s="17" t="str">
        <f ca="1">IFERROR(__xludf.DUMMYFUNCTION("""COMPUTED_VALUE"""),"")</f>
        <v/>
      </c>
      <c r="I180" s="17" t="str">
        <f ca="1">IFERROR(__xludf.DUMMYFUNCTION("""COMPUTED_VALUE"""),"")</f>
        <v/>
      </c>
      <c r="J180" s="17" t="str">
        <f ca="1">IFERROR(__xludf.DUMMYFUNCTION("""COMPUTED_VALUE"""),"")</f>
        <v/>
      </c>
      <c r="K180" s="18" t="str">
        <f ca="1">IFERROR(__xludf.DUMMYFUNCTION("""COMPUTED_VALUE"""),"")</f>
        <v/>
      </c>
      <c r="L180" s="19"/>
      <c r="M180" s="19"/>
      <c r="N180" s="19"/>
      <c r="O180" s="19"/>
      <c r="P180" s="19"/>
      <c r="Q180" s="19"/>
      <c r="R180" s="19"/>
      <c r="S180" s="19"/>
      <c r="T180" s="19"/>
      <c r="U180" s="19"/>
      <c r="V180" s="20"/>
      <c r="W180" s="20"/>
      <c r="X180" s="20"/>
      <c r="Y180" s="20"/>
      <c r="Z180" s="21"/>
      <c r="AA180" s="22"/>
      <c r="AB180" s="22"/>
    </row>
    <row r="181" spans="1:28" ht="13.5" customHeight="1" x14ac:dyDescent="0.35">
      <c r="A181" s="29"/>
      <c r="B181" s="30"/>
      <c r="C181" s="31"/>
      <c r="D181" s="31"/>
      <c r="E181" s="30"/>
      <c r="F181" s="30"/>
      <c r="G181" s="33"/>
      <c r="H181" s="30"/>
      <c r="I181" s="30"/>
      <c r="J181" s="30"/>
      <c r="K181" s="34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20"/>
      <c r="W181" s="20"/>
      <c r="X181" s="20"/>
      <c r="Y181" s="20"/>
      <c r="Z181" s="21"/>
      <c r="AA181" s="22"/>
      <c r="AB181" s="22"/>
    </row>
    <row r="182" spans="1:28" ht="13.5" customHeight="1" x14ac:dyDescent="0.35">
      <c r="A182" s="29"/>
      <c r="B182" s="30"/>
      <c r="C182" s="31"/>
      <c r="D182" s="31"/>
      <c r="E182" s="30"/>
      <c r="F182" s="30"/>
      <c r="G182" s="33"/>
      <c r="H182" s="30"/>
      <c r="I182" s="30"/>
      <c r="J182" s="30"/>
      <c r="K182" s="34"/>
      <c r="L182" s="19"/>
      <c r="M182" s="19"/>
      <c r="N182" s="19"/>
      <c r="O182" s="19"/>
      <c r="P182" s="19"/>
      <c r="Q182" s="19"/>
      <c r="R182" s="19"/>
      <c r="S182" s="19"/>
      <c r="T182" s="19"/>
      <c r="U182" s="19"/>
      <c r="V182" s="20"/>
      <c r="W182" s="20"/>
      <c r="X182" s="20"/>
      <c r="Y182" s="20"/>
      <c r="Z182" s="21"/>
      <c r="AA182" s="22"/>
      <c r="AB182" s="22"/>
    </row>
    <row r="183" spans="1:28" ht="15.75" customHeight="1" x14ac:dyDescent="0.25">
      <c r="A183" s="29"/>
      <c r="B183" s="30"/>
      <c r="C183" s="31"/>
      <c r="D183" s="31"/>
      <c r="E183" s="30"/>
      <c r="F183" s="30"/>
      <c r="G183" s="33"/>
      <c r="H183" s="30"/>
      <c r="I183" s="30"/>
      <c r="J183" s="30"/>
      <c r="K183" s="34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1"/>
      <c r="AA183" s="22"/>
      <c r="AB183" s="22"/>
    </row>
    <row r="184" spans="1:28" ht="15.75" customHeight="1" x14ac:dyDescent="0.25">
      <c r="A184" s="29"/>
      <c r="B184" s="30"/>
      <c r="C184" s="31"/>
      <c r="D184" s="31"/>
      <c r="E184" s="30"/>
      <c r="F184" s="30"/>
      <c r="G184" s="33"/>
      <c r="H184" s="30"/>
      <c r="I184" s="30"/>
      <c r="J184" s="30"/>
      <c r="K184" s="34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1"/>
      <c r="AA184" s="22"/>
      <c r="AB184" s="22"/>
    </row>
    <row r="185" spans="1:28" ht="15.75" customHeight="1" x14ac:dyDescent="0.25">
      <c r="A185" s="29"/>
      <c r="B185" s="30"/>
      <c r="C185" s="31"/>
      <c r="D185" s="31"/>
      <c r="E185" s="30"/>
      <c r="F185" s="30"/>
      <c r="G185" s="33"/>
      <c r="H185" s="30"/>
      <c r="I185" s="30"/>
      <c r="J185" s="30"/>
      <c r="K185" s="34"/>
      <c r="L185" s="20"/>
      <c r="M185" s="20"/>
      <c r="N185" s="20"/>
      <c r="O185" s="20"/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1"/>
      <c r="AA185" s="22"/>
      <c r="AB185" s="22"/>
    </row>
    <row r="186" spans="1:28" ht="15.75" customHeight="1" x14ac:dyDescent="0.25">
      <c r="A186" s="29"/>
      <c r="B186" s="30"/>
      <c r="C186" s="31"/>
      <c r="D186" s="31"/>
      <c r="E186" s="30"/>
      <c r="F186" s="30"/>
      <c r="G186" s="33"/>
      <c r="H186" s="30"/>
      <c r="I186" s="30"/>
      <c r="J186" s="30"/>
      <c r="K186" s="34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1"/>
      <c r="AA186" s="22"/>
      <c r="AB186" s="22"/>
    </row>
    <row r="187" spans="1:28" ht="15.75" customHeight="1" x14ac:dyDescent="0.25">
      <c r="A187" s="29"/>
      <c r="B187" s="30"/>
      <c r="C187" s="31"/>
      <c r="D187" s="31"/>
      <c r="E187" s="30"/>
      <c r="F187" s="30"/>
      <c r="G187" s="33"/>
      <c r="H187" s="30"/>
      <c r="I187" s="30"/>
      <c r="J187" s="30"/>
      <c r="K187" s="34"/>
      <c r="L187" s="20"/>
      <c r="M187" s="20"/>
      <c r="N187" s="20"/>
      <c r="O187" s="20"/>
      <c r="P187" s="20"/>
      <c r="Q187" s="20"/>
      <c r="R187" s="20"/>
      <c r="S187" s="20"/>
      <c r="T187" s="20"/>
      <c r="U187" s="20"/>
      <c r="V187" s="20"/>
      <c r="W187" s="20"/>
      <c r="X187" s="20"/>
      <c r="Y187" s="20"/>
      <c r="Z187" s="21"/>
      <c r="AA187" s="22"/>
      <c r="AB187" s="22"/>
    </row>
    <row r="188" spans="1:28" ht="15.75" customHeight="1" x14ac:dyDescent="0.25">
      <c r="A188" s="29"/>
      <c r="B188" s="30"/>
      <c r="C188" s="31"/>
      <c r="D188" s="31"/>
      <c r="E188" s="30"/>
      <c r="F188" s="30"/>
      <c r="G188" s="33"/>
      <c r="H188" s="30"/>
      <c r="I188" s="30"/>
      <c r="J188" s="30"/>
      <c r="K188" s="34"/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1"/>
      <c r="AA188" s="22"/>
      <c r="AB188" s="22"/>
    </row>
    <row r="189" spans="1:28" ht="15.75" customHeight="1" x14ac:dyDescent="0.25">
      <c r="A189" s="29"/>
      <c r="B189" s="30"/>
      <c r="C189" s="31"/>
      <c r="D189" s="31"/>
      <c r="E189" s="30"/>
      <c r="F189" s="30"/>
      <c r="G189" s="33"/>
      <c r="H189" s="30"/>
      <c r="I189" s="30"/>
      <c r="J189" s="30"/>
      <c r="K189" s="34"/>
      <c r="L189" s="20"/>
      <c r="M189" s="20"/>
      <c r="N189" s="20"/>
      <c r="O189" s="20"/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1"/>
      <c r="AA189" s="22"/>
      <c r="AB189" s="22"/>
    </row>
    <row r="190" spans="1:28" ht="15.75" customHeight="1" x14ac:dyDescent="0.25">
      <c r="A190" s="29"/>
      <c r="B190" s="30"/>
      <c r="C190" s="31"/>
      <c r="D190" s="31"/>
      <c r="E190" s="30"/>
      <c r="F190" s="30"/>
      <c r="G190" s="33"/>
      <c r="H190" s="30"/>
      <c r="I190" s="30"/>
      <c r="J190" s="30"/>
      <c r="K190" s="34"/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1"/>
      <c r="AA190" s="22"/>
      <c r="AB190" s="22"/>
    </row>
    <row r="191" spans="1:28" ht="15.75" customHeight="1" x14ac:dyDescent="0.25">
      <c r="A191" s="29"/>
      <c r="B191" s="30"/>
      <c r="C191" s="31"/>
      <c r="D191" s="31"/>
      <c r="E191" s="30"/>
      <c r="F191" s="30"/>
      <c r="G191" s="33"/>
      <c r="H191" s="30"/>
      <c r="I191" s="30"/>
      <c r="J191" s="30"/>
      <c r="K191" s="34"/>
      <c r="L191" s="20"/>
      <c r="M191" s="20"/>
      <c r="N191" s="20"/>
      <c r="O191" s="20"/>
      <c r="P191" s="20"/>
      <c r="Q191" s="20"/>
      <c r="R191" s="20"/>
      <c r="S191" s="20"/>
      <c r="T191" s="20"/>
      <c r="U191" s="20"/>
      <c r="V191" s="20"/>
      <c r="W191" s="20"/>
      <c r="X191" s="20"/>
      <c r="Y191" s="20"/>
      <c r="Z191" s="21"/>
      <c r="AA191" s="22"/>
      <c r="AB191" s="22"/>
    </row>
    <row r="192" spans="1:28" ht="15.75" customHeight="1" x14ac:dyDescent="0.25">
      <c r="A192" s="29"/>
      <c r="B192" s="30"/>
      <c r="C192" s="31"/>
      <c r="D192" s="31"/>
      <c r="E192" s="30"/>
      <c r="F192" s="30"/>
      <c r="G192" s="33"/>
      <c r="H192" s="30"/>
      <c r="I192" s="30"/>
      <c r="J192" s="30"/>
      <c r="K192" s="34"/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1"/>
      <c r="AA192" s="22"/>
      <c r="AB192" s="22"/>
    </row>
    <row r="193" spans="1:28" ht="15.75" customHeight="1" x14ac:dyDescent="0.25">
      <c r="A193" s="29"/>
      <c r="B193" s="30"/>
      <c r="C193" s="31"/>
      <c r="D193" s="31"/>
      <c r="E193" s="30"/>
      <c r="F193" s="30"/>
      <c r="G193" s="33"/>
      <c r="H193" s="30"/>
      <c r="I193" s="30"/>
      <c r="J193" s="30"/>
      <c r="K193" s="34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1"/>
      <c r="AA193" s="22"/>
      <c r="AB193" s="22"/>
    </row>
    <row r="194" spans="1:28" ht="15.75" customHeight="1" x14ac:dyDescent="0.25">
      <c r="A194" s="29"/>
      <c r="B194" s="30"/>
      <c r="C194" s="31"/>
      <c r="D194" s="31"/>
      <c r="E194" s="30"/>
      <c r="F194" s="30"/>
      <c r="G194" s="33"/>
      <c r="H194" s="30"/>
      <c r="I194" s="30"/>
      <c r="J194" s="30"/>
      <c r="K194" s="34"/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1"/>
      <c r="AA194" s="22"/>
      <c r="AB194" s="22"/>
    </row>
    <row r="195" spans="1:28" ht="15.75" customHeight="1" x14ac:dyDescent="0.25">
      <c r="A195" s="29"/>
      <c r="B195" s="30"/>
      <c r="C195" s="31"/>
      <c r="D195" s="31"/>
      <c r="E195" s="30"/>
      <c r="F195" s="30"/>
      <c r="G195" s="33"/>
      <c r="H195" s="30"/>
      <c r="I195" s="30"/>
      <c r="J195" s="30"/>
      <c r="K195" s="34"/>
      <c r="L195" s="20"/>
      <c r="M195" s="20"/>
      <c r="N195" s="20"/>
      <c r="O195" s="20"/>
      <c r="P195" s="20"/>
      <c r="Q195" s="20"/>
      <c r="R195" s="20"/>
      <c r="S195" s="20"/>
      <c r="T195" s="20"/>
      <c r="U195" s="20"/>
      <c r="V195" s="20"/>
      <c r="W195" s="20"/>
      <c r="X195" s="20"/>
      <c r="Y195" s="20"/>
      <c r="Z195" s="21"/>
      <c r="AA195" s="22"/>
      <c r="AB195" s="22"/>
    </row>
    <row r="196" spans="1:28" ht="15.75" customHeight="1" x14ac:dyDescent="0.25">
      <c r="A196" s="29"/>
      <c r="B196" s="30"/>
      <c r="C196" s="31"/>
      <c r="D196" s="31"/>
      <c r="E196" s="30"/>
      <c r="F196" s="30"/>
      <c r="G196" s="33"/>
      <c r="H196" s="30"/>
      <c r="I196" s="30"/>
      <c r="J196" s="30"/>
      <c r="K196" s="34"/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1"/>
      <c r="AA196" s="22"/>
      <c r="AB196" s="22"/>
    </row>
    <row r="197" spans="1:28" ht="15.75" customHeight="1" x14ac:dyDescent="0.25">
      <c r="A197" s="29"/>
      <c r="B197" s="30"/>
      <c r="C197" s="31"/>
      <c r="D197" s="31"/>
      <c r="E197" s="30"/>
      <c r="F197" s="30"/>
      <c r="G197" s="33"/>
      <c r="H197" s="30"/>
      <c r="I197" s="30"/>
      <c r="J197" s="30"/>
      <c r="K197" s="34"/>
      <c r="L197" s="20"/>
      <c r="M197" s="20"/>
      <c r="N197" s="20"/>
      <c r="O197" s="20"/>
      <c r="P197" s="20"/>
      <c r="Q197" s="20"/>
      <c r="R197" s="20"/>
      <c r="S197" s="20"/>
      <c r="T197" s="20"/>
      <c r="U197" s="20"/>
      <c r="V197" s="20"/>
      <c r="W197" s="20"/>
      <c r="X197" s="20"/>
      <c r="Y197" s="20"/>
      <c r="Z197" s="21"/>
      <c r="AA197" s="22"/>
      <c r="AB197" s="22"/>
    </row>
    <row r="198" spans="1:28" ht="15.75" customHeight="1" x14ac:dyDescent="0.25">
      <c r="A198" s="29"/>
      <c r="B198" s="30"/>
      <c r="C198" s="31"/>
      <c r="D198" s="31"/>
      <c r="E198" s="30"/>
      <c r="F198" s="30"/>
      <c r="G198" s="33"/>
      <c r="H198" s="30"/>
      <c r="I198" s="30"/>
      <c r="J198" s="30"/>
      <c r="K198" s="34"/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1"/>
      <c r="AA198" s="22"/>
      <c r="AB198" s="22"/>
    </row>
    <row r="199" spans="1:28" ht="15.75" customHeight="1" x14ac:dyDescent="0.25">
      <c r="A199" s="29"/>
      <c r="B199" s="30"/>
      <c r="C199" s="31"/>
      <c r="D199" s="31"/>
      <c r="E199" s="30"/>
      <c r="F199" s="30"/>
      <c r="G199" s="33"/>
      <c r="H199" s="30"/>
      <c r="I199" s="30"/>
      <c r="J199" s="30"/>
      <c r="K199" s="34"/>
      <c r="L199" s="20"/>
      <c r="M199" s="20"/>
      <c r="N199" s="20"/>
      <c r="O199" s="20"/>
      <c r="P199" s="20"/>
      <c r="Q199" s="20"/>
      <c r="R199" s="20"/>
      <c r="S199" s="20"/>
      <c r="T199" s="20"/>
      <c r="U199" s="20"/>
      <c r="V199" s="20"/>
      <c r="W199" s="20"/>
      <c r="X199" s="20"/>
      <c r="Y199" s="20"/>
      <c r="Z199" s="21"/>
      <c r="AA199" s="22"/>
      <c r="AB199" s="22"/>
    </row>
    <row r="200" spans="1:28" ht="15.75" customHeight="1" x14ac:dyDescent="0.25">
      <c r="A200" s="29"/>
      <c r="B200" s="30"/>
      <c r="C200" s="31"/>
      <c r="D200" s="31"/>
      <c r="E200" s="30"/>
      <c r="F200" s="30"/>
      <c r="G200" s="33"/>
      <c r="H200" s="30"/>
      <c r="I200" s="30"/>
      <c r="J200" s="30"/>
      <c r="K200" s="34"/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1"/>
      <c r="AA200" s="22"/>
      <c r="AB200" s="22"/>
    </row>
    <row r="201" spans="1:28" ht="15.75" customHeight="1" x14ac:dyDescent="0.25">
      <c r="A201" s="29"/>
      <c r="B201" s="30"/>
      <c r="C201" s="31"/>
      <c r="D201" s="31"/>
      <c r="E201" s="30"/>
      <c r="F201" s="30"/>
      <c r="G201" s="33"/>
      <c r="H201" s="30"/>
      <c r="I201" s="30"/>
      <c r="J201" s="30"/>
      <c r="K201" s="34"/>
      <c r="L201" s="20"/>
      <c r="M201" s="20"/>
      <c r="N201" s="20"/>
      <c r="O201" s="20"/>
      <c r="P201" s="20"/>
      <c r="Q201" s="20"/>
      <c r="R201" s="20"/>
      <c r="S201" s="20"/>
      <c r="T201" s="20"/>
      <c r="U201" s="20"/>
      <c r="V201" s="20"/>
      <c r="W201" s="20"/>
      <c r="X201" s="20"/>
      <c r="Y201" s="20"/>
      <c r="Z201" s="21"/>
      <c r="AA201" s="22"/>
      <c r="AB201" s="22"/>
    </row>
    <row r="202" spans="1:28" ht="15.75" customHeight="1" x14ac:dyDescent="0.25">
      <c r="A202" s="29"/>
      <c r="B202" s="30"/>
      <c r="C202" s="31"/>
      <c r="D202" s="31"/>
      <c r="E202" s="30"/>
      <c r="F202" s="30"/>
      <c r="G202" s="33"/>
      <c r="H202" s="30"/>
      <c r="I202" s="30"/>
      <c r="J202" s="30"/>
      <c r="K202" s="34"/>
      <c r="L202" s="20"/>
      <c r="M202" s="20"/>
      <c r="N202" s="20"/>
      <c r="O202" s="20"/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1"/>
      <c r="AA202" s="22"/>
      <c r="AB202" s="22"/>
    </row>
    <row r="203" spans="1:28" ht="15.75" customHeight="1" x14ac:dyDescent="0.25">
      <c r="A203" s="29"/>
      <c r="B203" s="30"/>
      <c r="C203" s="31"/>
      <c r="D203" s="31"/>
      <c r="E203" s="30"/>
      <c r="F203" s="30"/>
      <c r="G203" s="33"/>
      <c r="H203" s="30"/>
      <c r="I203" s="30"/>
      <c r="J203" s="30"/>
      <c r="K203" s="34"/>
      <c r="L203" s="20"/>
      <c r="M203" s="20"/>
      <c r="N203" s="20"/>
      <c r="O203" s="20"/>
      <c r="P203" s="20"/>
      <c r="Q203" s="20"/>
      <c r="R203" s="20"/>
      <c r="S203" s="20"/>
      <c r="T203" s="20"/>
      <c r="U203" s="20"/>
      <c r="V203" s="20"/>
      <c r="W203" s="20"/>
      <c r="X203" s="20"/>
      <c r="Y203" s="20"/>
      <c r="Z203" s="21"/>
      <c r="AA203" s="22"/>
      <c r="AB203" s="22"/>
    </row>
    <row r="204" spans="1:28" ht="15.75" customHeight="1" x14ac:dyDescent="0.25">
      <c r="A204" s="29"/>
      <c r="B204" s="30"/>
      <c r="C204" s="31"/>
      <c r="D204" s="31"/>
      <c r="E204" s="30"/>
      <c r="F204" s="30"/>
      <c r="G204" s="33"/>
      <c r="H204" s="30"/>
      <c r="I204" s="30"/>
      <c r="J204" s="30"/>
      <c r="K204" s="34"/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1"/>
      <c r="AA204" s="22"/>
      <c r="AB204" s="22"/>
    </row>
    <row r="205" spans="1:28" ht="15.75" customHeight="1" x14ac:dyDescent="0.25">
      <c r="A205" s="29"/>
      <c r="B205" s="30"/>
      <c r="C205" s="31"/>
      <c r="D205" s="31"/>
      <c r="E205" s="30"/>
      <c r="F205" s="30"/>
      <c r="G205" s="33"/>
      <c r="H205" s="30"/>
      <c r="I205" s="30"/>
      <c r="J205" s="30"/>
      <c r="K205" s="34"/>
      <c r="L205" s="20"/>
      <c r="M205" s="20"/>
      <c r="N205" s="20"/>
      <c r="O205" s="20"/>
      <c r="P205" s="20"/>
      <c r="Q205" s="20"/>
      <c r="R205" s="20"/>
      <c r="S205" s="20"/>
      <c r="T205" s="20"/>
      <c r="U205" s="20"/>
      <c r="V205" s="20"/>
      <c r="W205" s="20"/>
      <c r="X205" s="20"/>
      <c r="Y205" s="20"/>
      <c r="Z205" s="21"/>
      <c r="AA205" s="22"/>
      <c r="AB205" s="22"/>
    </row>
    <row r="206" spans="1:28" ht="15.75" customHeight="1" x14ac:dyDescent="0.25">
      <c r="A206" s="29"/>
      <c r="B206" s="30"/>
      <c r="C206" s="31"/>
      <c r="D206" s="31"/>
      <c r="E206" s="30"/>
      <c r="F206" s="30"/>
      <c r="G206" s="33"/>
      <c r="H206" s="30"/>
      <c r="I206" s="30"/>
      <c r="J206" s="30"/>
      <c r="K206" s="34"/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1"/>
      <c r="AA206" s="22"/>
      <c r="AB206" s="22"/>
    </row>
    <row r="207" spans="1:28" ht="15.75" customHeight="1" x14ac:dyDescent="0.25">
      <c r="A207" s="29"/>
      <c r="B207" s="30"/>
      <c r="C207" s="31"/>
      <c r="D207" s="31"/>
      <c r="E207" s="30"/>
      <c r="F207" s="30"/>
      <c r="G207" s="33"/>
      <c r="H207" s="30"/>
      <c r="I207" s="30"/>
      <c r="J207" s="30"/>
      <c r="K207" s="34"/>
      <c r="L207" s="20"/>
      <c r="M207" s="20"/>
      <c r="N207" s="20"/>
      <c r="O207" s="20"/>
      <c r="P207" s="20"/>
      <c r="Q207" s="20"/>
      <c r="R207" s="20"/>
      <c r="S207" s="20"/>
      <c r="T207" s="20"/>
      <c r="U207" s="20"/>
      <c r="V207" s="20"/>
      <c r="W207" s="20"/>
      <c r="X207" s="20"/>
      <c r="Y207" s="20"/>
      <c r="Z207" s="21"/>
      <c r="AA207" s="22"/>
      <c r="AB207" s="22"/>
    </row>
    <row r="208" spans="1:28" ht="15.75" customHeight="1" x14ac:dyDescent="0.25">
      <c r="A208" s="29"/>
      <c r="B208" s="30"/>
      <c r="C208" s="31"/>
      <c r="D208" s="31"/>
      <c r="E208" s="30"/>
      <c r="F208" s="30"/>
      <c r="G208" s="33"/>
      <c r="H208" s="30"/>
      <c r="I208" s="30"/>
      <c r="J208" s="30"/>
      <c r="K208" s="34"/>
      <c r="L208" s="20"/>
      <c r="M208" s="20"/>
      <c r="N208" s="20"/>
      <c r="O208" s="20"/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1"/>
      <c r="AA208" s="22"/>
      <c r="AB208" s="22"/>
    </row>
    <row r="209" spans="1:28" ht="15.75" customHeight="1" x14ac:dyDescent="0.25">
      <c r="A209" s="29"/>
      <c r="B209" s="30"/>
      <c r="C209" s="31"/>
      <c r="D209" s="31"/>
      <c r="E209" s="30"/>
      <c r="F209" s="30"/>
      <c r="G209" s="33"/>
      <c r="H209" s="30"/>
      <c r="I209" s="30"/>
      <c r="J209" s="30"/>
      <c r="K209" s="34"/>
      <c r="L209" s="20"/>
      <c r="M209" s="20"/>
      <c r="N209" s="20"/>
      <c r="O209" s="20"/>
      <c r="P209" s="20"/>
      <c r="Q209" s="20"/>
      <c r="R209" s="20"/>
      <c r="S209" s="20"/>
      <c r="T209" s="20"/>
      <c r="U209" s="20"/>
      <c r="V209" s="20"/>
      <c r="W209" s="20"/>
      <c r="X209" s="20"/>
      <c r="Y209" s="20"/>
      <c r="Z209" s="21"/>
      <c r="AA209" s="22"/>
      <c r="AB209" s="22"/>
    </row>
    <row r="210" spans="1:28" ht="15.75" customHeight="1" x14ac:dyDescent="0.25">
      <c r="A210" s="29"/>
      <c r="B210" s="30"/>
      <c r="C210" s="31"/>
      <c r="D210" s="31"/>
      <c r="E210" s="30"/>
      <c r="F210" s="30"/>
      <c r="G210" s="33"/>
      <c r="H210" s="30"/>
      <c r="I210" s="30"/>
      <c r="J210" s="30"/>
      <c r="K210" s="34"/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1"/>
      <c r="AA210" s="22"/>
      <c r="AB210" s="22"/>
    </row>
    <row r="211" spans="1:28" ht="15.75" customHeight="1" x14ac:dyDescent="0.25">
      <c r="A211" s="29"/>
      <c r="B211" s="30"/>
      <c r="C211" s="31"/>
      <c r="D211" s="31"/>
      <c r="E211" s="30"/>
      <c r="F211" s="30"/>
      <c r="G211" s="33"/>
      <c r="H211" s="30"/>
      <c r="I211" s="30"/>
      <c r="J211" s="30"/>
      <c r="K211" s="34"/>
      <c r="L211" s="20"/>
      <c r="M211" s="20"/>
      <c r="N211" s="20"/>
      <c r="O211" s="20"/>
      <c r="P211" s="20"/>
      <c r="Q211" s="20"/>
      <c r="R211" s="20"/>
      <c r="S211" s="20"/>
      <c r="T211" s="20"/>
      <c r="U211" s="20"/>
      <c r="V211" s="20"/>
      <c r="W211" s="20"/>
      <c r="X211" s="20"/>
      <c r="Y211" s="20"/>
      <c r="Z211" s="21"/>
      <c r="AA211" s="22"/>
      <c r="AB211" s="22"/>
    </row>
    <row r="212" spans="1:28" ht="15.75" customHeight="1" x14ac:dyDescent="0.25">
      <c r="A212" s="29"/>
      <c r="B212" s="30"/>
      <c r="C212" s="31"/>
      <c r="D212" s="31"/>
      <c r="E212" s="30"/>
      <c r="F212" s="30"/>
      <c r="G212" s="33"/>
      <c r="H212" s="30"/>
      <c r="I212" s="30"/>
      <c r="J212" s="30"/>
      <c r="K212" s="34"/>
      <c r="L212" s="20"/>
      <c r="M212" s="20"/>
      <c r="N212" s="20"/>
      <c r="O212" s="20"/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1"/>
      <c r="AA212" s="22"/>
      <c r="AB212" s="22"/>
    </row>
    <row r="213" spans="1:28" ht="15.75" customHeight="1" x14ac:dyDescent="0.25">
      <c r="A213" s="29"/>
      <c r="B213" s="30"/>
      <c r="C213" s="31"/>
      <c r="D213" s="31"/>
      <c r="E213" s="30"/>
      <c r="F213" s="30"/>
      <c r="G213" s="33"/>
      <c r="H213" s="30"/>
      <c r="I213" s="30"/>
      <c r="J213" s="30"/>
      <c r="K213" s="34"/>
      <c r="L213" s="20"/>
      <c r="M213" s="20"/>
      <c r="N213" s="20"/>
      <c r="O213" s="20"/>
      <c r="P213" s="20"/>
      <c r="Q213" s="20"/>
      <c r="R213" s="20"/>
      <c r="S213" s="20"/>
      <c r="T213" s="20"/>
      <c r="U213" s="20"/>
      <c r="V213" s="20"/>
      <c r="W213" s="20"/>
      <c r="X213" s="20"/>
      <c r="Y213" s="20"/>
      <c r="Z213" s="21"/>
      <c r="AA213" s="22"/>
      <c r="AB213" s="22"/>
    </row>
    <row r="214" spans="1:28" ht="15.75" customHeight="1" x14ac:dyDescent="0.25">
      <c r="A214" s="29"/>
      <c r="B214" s="30"/>
      <c r="C214" s="31"/>
      <c r="D214" s="31"/>
      <c r="E214" s="30"/>
      <c r="F214" s="30"/>
      <c r="G214" s="33"/>
      <c r="H214" s="30"/>
      <c r="I214" s="30"/>
      <c r="J214" s="30"/>
      <c r="K214" s="34"/>
      <c r="L214" s="20"/>
      <c r="M214" s="20"/>
      <c r="N214" s="20"/>
      <c r="O214" s="20"/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1"/>
      <c r="AA214" s="22"/>
      <c r="AB214" s="22"/>
    </row>
    <row r="215" spans="1:28" ht="15.75" customHeight="1" x14ac:dyDescent="0.25">
      <c r="A215" s="29"/>
      <c r="B215" s="30"/>
      <c r="C215" s="31"/>
      <c r="D215" s="31"/>
      <c r="E215" s="30"/>
      <c r="F215" s="30"/>
      <c r="G215" s="33"/>
      <c r="H215" s="30"/>
      <c r="I215" s="30"/>
      <c r="J215" s="30"/>
      <c r="K215" s="34"/>
      <c r="L215" s="20"/>
      <c r="M215" s="20"/>
      <c r="N215" s="20"/>
      <c r="O215" s="20"/>
      <c r="P215" s="20"/>
      <c r="Q215" s="20"/>
      <c r="R215" s="20"/>
      <c r="S215" s="20"/>
      <c r="T215" s="20"/>
      <c r="U215" s="20"/>
      <c r="V215" s="20"/>
      <c r="W215" s="20"/>
      <c r="X215" s="20"/>
      <c r="Y215" s="20"/>
      <c r="Z215" s="21"/>
      <c r="AA215" s="22"/>
      <c r="AB215" s="22"/>
    </row>
    <row r="216" spans="1:28" ht="15.75" customHeight="1" x14ac:dyDescent="0.25">
      <c r="A216" s="29"/>
      <c r="B216" s="30"/>
      <c r="C216" s="31"/>
      <c r="D216" s="31"/>
      <c r="E216" s="30"/>
      <c r="F216" s="30"/>
      <c r="G216" s="33"/>
      <c r="H216" s="30"/>
      <c r="I216" s="30"/>
      <c r="J216" s="30"/>
      <c r="K216" s="34"/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1"/>
      <c r="AA216" s="22"/>
      <c r="AB216" s="22"/>
    </row>
    <row r="217" spans="1:28" ht="15.75" customHeight="1" x14ac:dyDescent="0.25">
      <c r="A217" s="29"/>
      <c r="B217" s="30"/>
      <c r="C217" s="31"/>
      <c r="D217" s="31"/>
      <c r="E217" s="30"/>
      <c r="F217" s="30"/>
      <c r="G217" s="33"/>
      <c r="H217" s="30"/>
      <c r="I217" s="30"/>
      <c r="J217" s="30"/>
      <c r="K217" s="34"/>
      <c r="L217" s="20"/>
      <c r="M217" s="20"/>
      <c r="N217" s="20"/>
      <c r="O217" s="20"/>
      <c r="P217" s="20"/>
      <c r="Q217" s="20"/>
      <c r="R217" s="20"/>
      <c r="S217" s="20"/>
      <c r="T217" s="20"/>
      <c r="U217" s="20"/>
      <c r="V217" s="20"/>
      <c r="W217" s="20"/>
      <c r="X217" s="20"/>
      <c r="Y217" s="20"/>
      <c r="Z217" s="21"/>
      <c r="AA217" s="22"/>
      <c r="AB217" s="22"/>
    </row>
    <row r="218" spans="1:28" ht="15.75" customHeight="1" x14ac:dyDescent="0.25">
      <c r="A218" s="29"/>
      <c r="B218" s="30"/>
      <c r="C218" s="31"/>
      <c r="D218" s="31"/>
      <c r="E218" s="30"/>
      <c r="F218" s="30"/>
      <c r="G218" s="33"/>
      <c r="H218" s="30"/>
      <c r="I218" s="30"/>
      <c r="J218" s="30"/>
      <c r="K218" s="34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1"/>
      <c r="AA218" s="22"/>
      <c r="AB218" s="22"/>
    </row>
    <row r="219" spans="1:28" ht="15.75" customHeight="1" x14ac:dyDescent="0.25">
      <c r="A219" s="29"/>
      <c r="B219" s="30"/>
      <c r="C219" s="31"/>
      <c r="D219" s="31"/>
      <c r="E219" s="30"/>
      <c r="F219" s="30"/>
      <c r="G219" s="33"/>
      <c r="H219" s="30"/>
      <c r="I219" s="30"/>
      <c r="J219" s="30"/>
      <c r="K219" s="34"/>
      <c r="L219" s="20"/>
      <c r="M219" s="20"/>
      <c r="N219" s="20"/>
      <c r="O219" s="20"/>
      <c r="P219" s="20"/>
      <c r="Q219" s="20"/>
      <c r="R219" s="20"/>
      <c r="S219" s="20"/>
      <c r="T219" s="20"/>
      <c r="U219" s="20"/>
      <c r="V219" s="20"/>
      <c r="W219" s="20"/>
      <c r="X219" s="20"/>
      <c r="Y219" s="20"/>
      <c r="Z219" s="21"/>
      <c r="AA219" s="22"/>
      <c r="AB219" s="22"/>
    </row>
    <row r="220" spans="1:28" ht="15.75" customHeight="1" x14ac:dyDescent="0.25">
      <c r="A220" s="29"/>
      <c r="B220" s="30"/>
      <c r="C220" s="31"/>
      <c r="D220" s="31"/>
      <c r="E220" s="30"/>
      <c r="F220" s="30"/>
      <c r="G220" s="33"/>
      <c r="H220" s="30"/>
      <c r="I220" s="30"/>
      <c r="J220" s="30"/>
      <c r="K220" s="34"/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1"/>
      <c r="AA220" s="22"/>
      <c r="AB220" s="22"/>
    </row>
    <row r="221" spans="1:28" ht="15.75" customHeight="1" x14ac:dyDescent="0.25">
      <c r="A221" s="29"/>
      <c r="B221" s="30"/>
      <c r="C221" s="31"/>
      <c r="D221" s="31"/>
      <c r="E221" s="30"/>
      <c r="F221" s="30"/>
      <c r="G221" s="33"/>
      <c r="H221" s="30"/>
      <c r="I221" s="30"/>
      <c r="J221" s="30"/>
      <c r="K221" s="34"/>
      <c r="L221" s="20"/>
      <c r="M221" s="20"/>
      <c r="N221" s="20"/>
      <c r="O221" s="20"/>
      <c r="P221" s="20"/>
      <c r="Q221" s="20"/>
      <c r="R221" s="20"/>
      <c r="S221" s="20"/>
      <c r="T221" s="20"/>
      <c r="U221" s="20"/>
      <c r="V221" s="20"/>
      <c r="W221" s="20"/>
      <c r="X221" s="20"/>
      <c r="Y221" s="20"/>
      <c r="Z221" s="21"/>
      <c r="AA221" s="22"/>
      <c r="AB221" s="22"/>
    </row>
    <row r="222" spans="1:28" ht="15.75" customHeight="1" x14ac:dyDescent="0.25">
      <c r="A222" s="29"/>
      <c r="B222" s="30"/>
      <c r="C222" s="31"/>
      <c r="D222" s="31"/>
      <c r="E222" s="30"/>
      <c r="F222" s="30"/>
      <c r="G222" s="33"/>
      <c r="H222" s="30"/>
      <c r="I222" s="30"/>
      <c r="J222" s="30"/>
      <c r="K222" s="34"/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1"/>
      <c r="AA222" s="22"/>
      <c r="AB222" s="22"/>
    </row>
    <row r="223" spans="1:28" ht="15.75" customHeight="1" x14ac:dyDescent="0.25">
      <c r="A223" s="29"/>
      <c r="B223" s="30"/>
      <c r="C223" s="31"/>
      <c r="D223" s="31"/>
      <c r="E223" s="30"/>
      <c r="F223" s="30"/>
      <c r="G223" s="33"/>
      <c r="H223" s="30"/>
      <c r="I223" s="30"/>
      <c r="J223" s="30"/>
      <c r="K223" s="34"/>
      <c r="L223" s="20"/>
      <c r="M223" s="20"/>
      <c r="N223" s="20"/>
      <c r="O223" s="20"/>
      <c r="P223" s="20"/>
      <c r="Q223" s="20"/>
      <c r="R223" s="20"/>
      <c r="S223" s="20"/>
      <c r="T223" s="20"/>
      <c r="U223" s="20"/>
      <c r="V223" s="20"/>
      <c r="W223" s="20"/>
      <c r="X223" s="20"/>
      <c r="Y223" s="20"/>
      <c r="Z223" s="21"/>
      <c r="AA223" s="22"/>
      <c r="AB223" s="22"/>
    </row>
    <row r="224" spans="1:28" ht="15.75" customHeight="1" x14ac:dyDescent="0.25">
      <c r="A224" s="29"/>
      <c r="B224" s="30"/>
      <c r="C224" s="31"/>
      <c r="D224" s="31"/>
      <c r="E224" s="30"/>
      <c r="F224" s="30"/>
      <c r="G224" s="33"/>
      <c r="H224" s="30"/>
      <c r="I224" s="30"/>
      <c r="J224" s="30"/>
      <c r="K224" s="34"/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1"/>
      <c r="AA224" s="22"/>
      <c r="AB224" s="22"/>
    </row>
    <row r="225" spans="1:28" ht="15.75" customHeight="1" x14ac:dyDescent="0.25">
      <c r="A225" s="29"/>
      <c r="B225" s="30"/>
      <c r="C225" s="31"/>
      <c r="D225" s="31"/>
      <c r="E225" s="30"/>
      <c r="F225" s="30"/>
      <c r="G225" s="33"/>
      <c r="H225" s="30"/>
      <c r="I225" s="30"/>
      <c r="J225" s="30"/>
      <c r="K225" s="34"/>
      <c r="L225" s="20"/>
      <c r="M225" s="20"/>
      <c r="N225" s="20"/>
      <c r="O225" s="20"/>
      <c r="P225" s="20"/>
      <c r="Q225" s="20"/>
      <c r="R225" s="20"/>
      <c r="S225" s="20"/>
      <c r="T225" s="20"/>
      <c r="U225" s="20"/>
      <c r="V225" s="20"/>
      <c r="W225" s="20"/>
      <c r="X225" s="20"/>
      <c r="Y225" s="20"/>
      <c r="Z225" s="21"/>
      <c r="AA225" s="22"/>
      <c r="AB225" s="22"/>
    </row>
    <row r="226" spans="1:28" ht="15.75" customHeight="1" x14ac:dyDescent="0.25">
      <c r="A226" s="29"/>
      <c r="B226" s="30"/>
      <c r="C226" s="31"/>
      <c r="D226" s="31"/>
      <c r="E226" s="30"/>
      <c r="F226" s="30"/>
      <c r="G226" s="33"/>
      <c r="H226" s="30"/>
      <c r="I226" s="30"/>
      <c r="J226" s="30"/>
      <c r="K226" s="34"/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1"/>
      <c r="AA226" s="22"/>
      <c r="AB226" s="22"/>
    </row>
    <row r="227" spans="1:28" ht="15.75" customHeight="1" x14ac:dyDescent="0.25">
      <c r="A227" s="29"/>
      <c r="B227" s="30"/>
      <c r="C227" s="31"/>
      <c r="D227" s="31"/>
      <c r="E227" s="30"/>
      <c r="F227" s="30"/>
      <c r="G227" s="33"/>
      <c r="H227" s="30"/>
      <c r="I227" s="30"/>
      <c r="J227" s="30"/>
      <c r="K227" s="34"/>
      <c r="L227" s="20"/>
      <c r="M227" s="20"/>
      <c r="N227" s="20"/>
      <c r="O227" s="20"/>
      <c r="P227" s="20"/>
      <c r="Q227" s="20"/>
      <c r="R227" s="20"/>
      <c r="S227" s="20"/>
      <c r="T227" s="20"/>
      <c r="U227" s="20"/>
      <c r="V227" s="20"/>
      <c r="W227" s="20"/>
      <c r="X227" s="20"/>
      <c r="Y227" s="20"/>
      <c r="Z227" s="21"/>
      <c r="AA227" s="22"/>
      <c r="AB227" s="22"/>
    </row>
    <row r="228" spans="1:28" ht="15.75" customHeight="1" x14ac:dyDescent="0.25">
      <c r="A228" s="29"/>
      <c r="B228" s="30"/>
      <c r="C228" s="31"/>
      <c r="D228" s="31"/>
      <c r="E228" s="30"/>
      <c r="F228" s="30"/>
      <c r="G228" s="33"/>
      <c r="H228" s="30"/>
      <c r="I228" s="30"/>
      <c r="J228" s="30"/>
      <c r="K228" s="34"/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1"/>
      <c r="AA228" s="22"/>
      <c r="AB228" s="22"/>
    </row>
    <row r="229" spans="1:28" ht="15.75" customHeight="1" x14ac:dyDescent="0.25">
      <c r="A229" s="29"/>
      <c r="B229" s="30"/>
      <c r="C229" s="31"/>
      <c r="D229" s="31"/>
      <c r="E229" s="30"/>
      <c r="F229" s="30"/>
      <c r="G229" s="33"/>
      <c r="H229" s="30"/>
      <c r="I229" s="30"/>
      <c r="J229" s="30"/>
      <c r="K229" s="34"/>
      <c r="L229" s="20"/>
      <c r="M229" s="20"/>
      <c r="N229" s="20"/>
      <c r="O229" s="20"/>
      <c r="P229" s="20"/>
      <c r="Q229" s="20"/>
      <c r="R229" s="20"/>
      <c r="S229" s="20"/>
      <c r="T229" s="20"/>
      <c r="U229" s="20"/>
      <c r="V229" s="20"/>
      <c r="W229" s="20"/>
      <c r="X229" s="20"/>
      <c r="Y229" s="20"/>
      <c r="Z229" s="21"/>
      <c r="AA229" s="22"/>
      <c r="AB229" s="22"/>
    </row>
    <row r="230" spans="1:28" ht="15.75" customHeight="1" x14ac:dyDescent="0.25">
      <c r="A230" s="29"/>
      <c r="B230" s="30"/>
      <c r="C230" s="31"/>
      <c r="D230" s="31"/>
      <c r="E230" s="30"/>
      <c r="F230" s="30"/>
      <c r="G230" s="33"/>
      <c r="H230" s="30"/>
      <c r="I230" s="30"/>
      <c r="J230" s="30"/>
      <c r="K230" s="34"/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1"/>
      <c r="AA230" s="22"/>
      <c r="AB230" s="22"/>
    </row>
    <row r="231" spans="1:28" ht="15.75" customHeight="1" x14ac:dyDescent="0.25">
      <c r="A231" s="29"/>
      <c r="B231" s="30"/>
      <c r="C231" s="31"/>
      <c r="D231" s="31"/>
      <c r="E231" s="30"/>
      <c r="F231" s="30"/>
      <c r="G231" s="33"/>
      <c r="H231" s="30"/>
      <c r="I231" s="30"/>
      <c r="J231" s="30"/>
      <c r="K231" s="34"/>
      <c r="L231" s="20"/>
      <c r="M231" s="20"/>
      <c r="N231" s="20"/>
      <c r="O231" s="20"/>
      <c r="P231" s="20"/>
      <c r="Q231" s="20"/>
      <c r="R231" s="20"/>
      <c r="S231" s="20"/>
      <c r="T231" s="20"/>
      <c r="U231" s="20"/>
      <c r="V231" s="20"/>
      <c r="W231" s="20"/>
      <c r="X231" s="20"/>
      <c r="Y231" s="20"/>
      <c r="Z231" s="21"/>
      <c r="AA231" s="22"/>
      <c r="AB231" s="22"/>
    </row>
    <row r="232" spans="1:28" ht="15.75" customHeight="1" x14ac:dyDescent="0.25">
      <c r="A232" s="29"/>
      <c r="B232" s="30"/>
      <c r="C232" s="31"/>
      <c r="D232" s="31"/>
      <c r="E232" s="30"/>
      <c r="F232" s="30"/>
      <c r="G232" s="33"/>
      <c r="H232" s="30"/>
      <c r="I232" s="30"/>
      <c r="J232" s="30"/>
      <c r="K232" s="34"/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1"/>
      <c r="AA232" s="22"/>
      <c r="AB232" s="22"/>
    </row>
    <row r="233" spans="1:28" ht="15.75" customHeight="1" x14ac:dyDescent="0.25">
      <c r="A233" s="29"/>
      <c r="B233" s="30"/>
      <c r="C233" s="31"/>
      <c r="D233" s="31"/>
      <c r="E233" s="30"/>
      <c r="F233" s="30"/>
      <c r="G233" s="33"/>
      <c r="H233" s="30"/>
      <c r="I233" s="30"/>
      <c r="J233" s="30"/>
      <c r="K233" s="34"/>
      <c r="L233" s="20"/>
      <c r="M233" s="20"/>
      <c r="N233" s="20"/>
      <c r="O233" s="20"/>
      <c r="P233" s="20"/>
      <c r="Q233" s="20"/>
      <c r="R233" s="20"/>
      <c r="S233" s="20"/>
      <c r="T233" s="20"/>
      <c r="U233" s="20"/>
      <c r="V233" s="20"/>
      <c r="W233" s="20"/>
      <c r="X233" s="20"/>
      <c r="Y233" s="20"/>
      <c r="Z233" s="21"/>
      <c r="AA233" s="22"/>
      <c r="AB233" s="22"/>
    </row>
    <row r="234" spans="1:28" ht="15.75" customHeight="1" x14ac:dyDescent="0.25">
      <c r="A234" s="29"/>
      <c r="B234" s="30"/>
      <c r="C234" s="31"/>
      <c r="D234" s="31"/>
      <c r="E234" s="30"/>
      <c r="F234" s="30"/>
      <c r="G234" s="33"/>
      <c r="H234" s="30"/>
      <c r="I234" s="30"/>
      <c r="J234" s="30"/>
      <c r="K234" s="34"/>
      <c r="L234" s="20"/>
      <c r="M234" s="20"/>
      <c r="N234" s="20"/>
      <c r="O234" s="20"/>
      <c r="P234" s="20"/>
      <c r="Q234" s="20"/>
      <c r="R234" s="20"/>
      <c r="S234" s="20"/>
      <c r="T234" s="20"/>
      <c r="U234" s="20"/>
      <c r="V234" s="20"/>
      <c r="W234" s="20"/>
      <c r="X234" s="20"/>
      <c r="Y234" s="20"/>
      <c r="Z234" s="21"/>
      <c r="AA234" s="22"/>
      <c r="AB234" s="22"/>
    </row>
    <row r="235" spans="1:28" ht="15.75" customHeight="1" x14ac:dyDescent="0.25">
      <c r="A235" s="29"/>
      <c r="B235" s="30"/>
      <c r="C235" s="31"/>
      <c r="D235" s="31"/>
      <c r="E235" s="30"/>
      <c r="F235" s="30"/>
      <c r="G235" s="33"/>
      <c r="H235" s="30"/>
      <c r="I235" s="30"/>
      <c r="J235" s="30"/>
      <c r="K235" s="34"/>
      <c r="L235" s="20"/>
      <c r="M235" s="20"/>
      <c r="N235" s="20"/>
      <c r="O235" s="20"/>
      <c r="P235" s="20"/>
      <c r="Q235" s="20"/>
      <c r="R235" s="20"/>
      <c r="S235" s="20"/>
      <c r="T235" s="20"/>
      <c r="U235" s="20"/>
      <c r="V235" s="20"/>
      <c r="W235" s="20"/>
      <c r="X235" s="20"/>
      <c r="Y235" s="20"/>
      <c r="Z235" s="21"/>
      <c r="AA235" s="22"/>
      <c r="AB235" s="22"/>
    </row>
    <row r="236" spans="1:28" ht="15.75" customHeight="1" x14ac:dyDescent="0.25">
      <c r="A236" s="29"/>
      <c r="B236" s="30"/>
      <c r="C236" s="31"/>
      <c r="D236" s="31"/>
      <c r="E236" s="30"/>
      <c r="F236" s="30"/>
      <c r="G236" s="33"/>
      <c r="H236" s="30"/>
      <c r="I236" s="30"/>
      <c r="J236" s="30"/>
      <c r="K236" s="34"/>
      <c r="L236" s="20"/>
      <c r="M236" s="20"/>
      <c r="N236" s="20"/>
      <c r="O236" s="20"/>
      <c r="P236" s="20"/>
      <c r="Q236" s="20"/>
      <c r="R236" s="20"/>
      <c r="S236" s="20"/>
      <c r="T236" s="20"/>
      <c r="U236" s="20"/>
      <c r="V236" s="20"/>
      <c r="W236" s="20"/>
      <c r="X236" s="20"/>
      <c r="Y236" s="20"/>
      <c r="Z236" s="21"/>
      <c r="AA236" s="22"/>
      <c r="AB236" s="22"/>
    </row>
    <row r="237" spans="1:28" ht="15.75" customHeight="1" x14ac:dyDescent="0.25">
      <c r="A237" s="29"/>
      <c r="B237" s="30"/>
      <c r="C237" s="31"/>
      <c r="D237" s="31"/>
      <c r="E237" s="30"/>
      <c r="F237" s="30"/>
      <c r="G237" s="33"/>
      <c r="H237" s="30"/>
      <c r="I237" s="30"/>
      <c r="J237" s="30"/>
      <c r="K237" s="34"/>
      <c r="L237" s="20"/>
      <c r="M237" s="20"/>
      <c r="N237" s="20"/>
      <c r="O237" s="20"/>
      <c r="P237" s="20"/>
      <c r="Q237" s="20"/>
      <c r="R237" s="20"/>
      <c r="S237" s="20"/>
      <c r="T237" s="20"/>
      <c r="U237" s="20"/>
      <c r="V237" s="20"/>
      <c r="W237" s="20"/>
      <c r="X237" s="20"/>
      <c r="Y237" s="20"/>
      <c r="Z237" s="21"/>
      <c r="AA237" s="22"/>
      <c r="AB237" s="22"/>
    </row>
    <row r="238" spans="1:28" ht="15.75" customHeight="1" x14ac:dyDescent="0.25">
      <c r="A238" s="29"/>
      <c r="B238" s="30"/>
      <c r="C238" s="31"/>
      <c r="D238" s="31"/>
      <c r="E238" s="30"/>
      <c r="F238" s="30"/>
      <c r="G238" s="33"/>
      <c r="H238" s="30"/>
      <c r="I238" s="30"/>
      <c r="J238" s="30"/>
      <c r="K238" s="34"/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1"/>
      <c r="AA238" s="22"/>
      <c r="AB238" s="22"/>
    </row>
    <row r="239" spans="1:28" ht="15.75" customHeight="1" x14ac:dyDescent="0.25">
      <c r="A239" s="29"/>
      <c r="B239" s="30"/>
      <c r="C239" s="31"/>
      <c r="D239" s="31"/>
      <c r="E239" s="30"/>
      <c r="F239" s="30"/>
      <c r="G239" s="33"/>
      <c r="H239" s="30"/>
      <c r="I239" s="30"/>
      <c r="J239" s="30"/>
      <c r="K239" s="34"/>
      <c r="L239" s="20"/>
      <c r="M239" s="20"/>
      <c r="N239" s="20"/>
      <c r="O239" s="20"/>
      <c r="P239" s="20"/>
      <c r="Q239" s="20"/>
      <c r="R239" s="20"/>
      <c r="S239" s="20"/>
      <c r="T239" s="20"/>
      <c r="U239" s="20"/>
      <c r="V239" s="20"/>
      <c r="W239" s="20"/>
      <c r="X239" s="20"/>
      <c r="Y239" s="20"/>
      <c r="Z239" s="21"/>
      <c r="AA239" s="22"/>
      <c r="AB239" s="22"/>
    </row>
    <row r="240" spans="1:28" ht="15.75" customHeight="1" x14ac:dyDescent="0.25">
      <c r="A240" s="29"/>
      <c r="B240" s="30"/>
      <c r="C240" s="31"/>
      <c r="D240" s="31"/>
      <c r="E240" s="30"/>
      <c r="F240" s="30"/>
      <c r="G240" s="33"/>
      <c r="H240" s="30"/>
      <c r="I240" s="30"/>
      <c r="J240" s="30"/>
      <c r="K240" s="34"/>
      <c r="L240" s="20"/>
      <c r="M240" s="20"/>
      <c r="N240" s="20"/>
      <c r="O240" s="20"/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1"/>
      <c r="AA240" s="22"/>
      <c r="AB240" s="22"/>
    </row>
    <row r="241" spans="1:28" ht="15.75" customHeight="1" x14ac:dyDescent="0.25">
      <c r="A241" s="29"/>
      <c r="B241" s="30"/>
      <c r="C241" s="31"/>
      <c r="D241" s="31"/>
      <c r="E241" s="30"/>
      <c r="F241" s="30"/>
      <c r="G241" s="33"/>
      <c r="H241" s="30"/>
      <c r="I241" s="30"/>
      <c r="J241" s="30"/>
      <c r="K241" s="34"/>
      <c r="L241" s="20"/>
      <c r="M241" s="20"/>
      <c r="N241" s="20"/>
      <c r="O241" s="20"/>
      <c r="P241" s="20"/>
      <c r="Q241" s="20"/>
      <c r="R241" s="20"/>
      <c r="S241" s="20"/>
      <c r="T241" s="20"/>
      <c r="U241" s="20"/>
      <c r="V241" s="20"/>
      <c r="W241" s="20"/>
      <c r="X241" s="20"/>
      <c r="Y241" s="20"/>
      <c r="Z241" s="21"/>
      <c r="AA241" s="22"/>
      <c r="AB241" s="22"/>
    </row>
    <row r="242" spans="1:28" ht="15.75" customHeight="1" x14ac:dyDescent="0.25">
      <c r="A242" s="29"/>
      <c r="B242" s="30"/>
      <c r="C242" s="31"/>
      <c r="D242" s="31"/>
      <c r="E242" s="30"/>
      <c r="F242" s="30"/>
      <c r="G242" s="33"/>
      <c r="H242" s="30"/>
      <c r="I242" s="30"/>
      <c r="J242" s="30"/>
      <c r="K242" s="34"/>
      <c r="L242" s="20"/>
      <c r="M242" s="20"/>
      <c r="N242" s="20"/>
      <c r="O242" s="20"/>
      <c r="P242" s="20"/>
      <c r="Q242" s="20"/>
      <c r="R242" s="20"/>
      <c r="S242" s="20"/>
      <c r="T242" s="20"/>
      <c r="U242" s="20"/>
      <c r="V242" s="20"/>
      <c r="W242" s="20"/>
      <c r="X242" s="20"/>
      <c r="Y242" s="20"/>
      <c r="Z242" s="21"/>
      <c r="AA242" s="22"/>
      <c r="AB242" s="22"/>
    </row>
    <row r="243" spans="1:28" ht="15.75" customHeight="1" x14ac:dyDescent="0.25">
      <c r="A243" s="29"/>
      <c r="B243" s="30"/>
      <c r="C243" s="31"/>
      <c r="D243" s="31"/>
      <c r="E243" s="30"/>
      <c r="F243" s="30"/>
      <c r="G243" s="33"/>
      <c r="H243" s="30"/>
      <c r="I243" s="30"/>
      <c r="J243" s="30"/>
      <c r="K243" s="34"/>
      <c r="L243" s="20"/>
      <c r="M243" s="20"/>
      <c r="N243" s="20"/>
      <c r="O243" s="20"/>
      <c r="P243" s="20"/>
      <c r="Q243" s="20"/>
      <c r="R243" s="20"/>
      <c r="S243" s="20"/>
      <c r="T243" s="20"/>
      <c r="U243" s="20"/>
      <c r="V243" s="20"/>
      <c r="W243" s="20"/>
      <c r="X243" s="20"/>
      <c r="Y243" s="20"/>
      <c r="Z243" s="21"/>
      <c r="AA243" s="22"/>
      <c r="AB243" s="22"/>
    </row>
    <row r="244" spans="1:28" ht="15.75" customHeight="1" x14ac:dyDescent="0.25">
      <c r="A244" s="29"/>
      <c r="B244" s="30"/>
      <c r="C244" s="31"/>
      <c r="D244" s="31"/>
      <c r="E244" s="30"/>
      <c r="F244" s="30"/>
      <c r="G244" s="33"/>
      <c r="H244" s="30"/>
      <c r="I244" s="30"/>
      <c r="J244" s="30"/>
      <c r="K244" s="34"/>
      <c r="L244" s="20"/>
      <c r="M244" s="20"/>
      <c r="N244" s="20"/>
      <c r="O244" s="20"/>
      <c r="P244" s="20"/>
      <c r="Q244" s="20"/>
      <c r="R244" s="20"/>
      <c r="S244" s="20"/>
      <c r="T244" s="20"/>
      <c r="U244" s="20"/>
      <c r="V244" s="20"/>
      <c r="W244" s="20"/>
      <c r="X244" s="20"/>
      <c r="Y244" s="20"/>
      <c r="Z244" s="21"/>
      <c r="AA244" s="22"/>
      <c r="AB244" s="22"/>
    </row>
    <row r="245" spans="1:28" ht="15.75" customHeight="1" x14ac:dyDescent="0.25">
      <c r="A245" s="29"/>
      <c r="B245" s="30"/>
      <c r="C245" s="31"/>
      <c r="D245" s="31"/>
      <c r="E245" s="30"/>
      <c r="F245" s="30"/>
      <c r="G245" s="33"/>
      <c r="H245" s="30"/>
      <c r="I245" s="30"/>
      <c r="J245" s="30"/>
      <c r="K245" s="34"/>
      <c r="L245" s="20"/>
      <c r="M245" s="20"/>
      <c r="N245" s="20"/>
      <c r="O245" s="20"/>
      <c r="P245" s="20"/>
      <c r="Q245" s="20"/>
      <c r="R245" s="20"/>
      <c r="S245" s="20"/>
      <c r="T245" s="20"/>
      <c r="U245" s="20"/>
      <c r="V245" s="20"/>
      <c r="W245" s="20"/>
      <c r="X245" s="20"/>
      <c r="Y245" s="20"/>
      <c r="Z245" s="21"/>
      <c r="AA245" s="22"/>
      <c r="AB245" s="22"/>
    </row>
    <row r="246" spans="1:28" ht="15.75" customHeight="1" x14ac:dyDescent="0.25">
      <c r="A246" s="29"/>
      <c r="B246" s="30"/>
      <c r="C246" s="31"/>
      <c r="D246" s="31"/>
      <c r="E246" s="30"/>
      <c r="F246" s="30"/>
      <c r="G246" s="33"/>
      <c r="H246" s="30"/>
      <c r="I246" s="30"/>
      <c r="J246" s="30"/>
      <c r="K246" s="34"/>
      <c r="L246" s="20"/>
      <c r="M246" s="20"/>
      <c r="N246" s="20"/>
      <c r="O246" s="20"/>
      <c r="P246" s="20"/>
      <c r="Q246" s="20"/>
      <c r="R246" s="20"/>
      <c r="S246" s="20"/>
      <c r="T246" s="20"/>
      <c r="U246" s="20"/>
      <c r="V246" s="20"/>
      <c r="W246" s="20"/>
      <c r="X246" s="20"/>
      <c r="Y246" s="20"/>
      <c r="Z246" s="21"/>
      <c r="AA246" s="22"/>
      <c r="AB246" s="22"/>
    </row>
    <row r="247" spans="1:28" ht="15.75" customHeight="1" x14ac:dyDescent="0.25">
      <c r="A247" s="29"/>
      <c r="B247" s="30"/>
      <c r="C247" s="31"/>
      <c r="D247" s="31"/>
      <c r="E247" s="30"/>
      <c r="F247" s="30"/>
      <c r="G247" s="33"/>
      <c r="H247" s="30"/>
      <c r="I247" s="30"/>
      <c r="J247" s="30"/>
      <c r="K247" s="34"/>
      <c r="L247" s="20"/>
      <c r="M247" s="20"/>
      <c r="N247" s="20"/>
      <c r="O247" s="20"/>
      <c r="P247" s="20"/>
      <c r="Q247" s="20"/>
      <c r="R247" s="20"/>
      <c r="S247" s="20"/>
      <c r="T247" s="20"/>
      <c r="U247" s="20"/>
      <c r="V247" s="20"/>
      <c r="W247" s="20"/>
      <c r="X247" s="20"/>
      <c r="Y247" s="20"/>
      <c r="Z247" s="21"/>
      <c r="AA247" s="22"/>
      <c r="AB247" s="22"/>
    </row>
    <row r="248" spans="1:28" ht="15.75" customHeight="1" x14ac:dyDescent="0.25">
      <c r="A248" s="29"/>
      <c r="B248" s="30"/>
      <c r="C248" s="31"/>
      <c r="D248" s="31"/>
      <c r="E248" s="30"/>
      <c r="F248" s="30"/>
      <c r="G248" s="33"/>
      <c r="H248" s="30"/>
      <c r="I248" s="30"/>
      <c r="J248" s="30"/>
      <c r="K248" s="34"/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0"/>
      <c r="W248" s="20"/>
      <c r="X248" s="20"/>
      <c r="Y248" s="20"/>
      <c r="Z248" s="21"/>
      <c r="AA248" s="22"/>
      <c r="AB248" s="22"/>
    </row>
    <row r="249" spans="1:28" ht="15.75" customHeight="1" x14ac:dyDescent="0.25">
      <c r="A249" s="29"/>
      <c r="B249" s="30"/>
      <c r="C249" s="31"/>
      <c r="D249" s="31"/>
      <c r="E249" s="30"/>
      <c r="F249" s="30"/>
      <c r="G249" s="33"/>
      <c r="H249" s="30"/>
      <c r="I249" s="30"/>
      <c r="J249" s="30"/>
      <c r="K249" s="34"/>
      <c r="L249" s="20"/>
      <c r="M249" s="20"/>
      <c r="N249" s="20"/>
      <c r="O249" s="20"/>
      <c r="P249" s="20"/>
      <c r="Q249" s="20"/>
      <c r="R249" s="20"/>
      <c r="S249" s="20"/>
      <c r="T249" s="20"/>
      <c r="U249" s="20"/>
      <c r="V249" s="20"/>
      <c r="W249" s="20"/>
      <c r="X249" s="20"/>
      <c r="Y249" s="20"/>
      <c r="Z249" s="21"/>
      <c r="AA249" s="22"/>
      <c r="AB249" s="22"/>
    </row>
    <row r="250" spans="1:28" ht="15.75" customHeight="1" x14ac:dyDescent="0.25">
      <c r="A250" s="29"/>
      <c r="B250" s="30"/>
      <c r="C250" s="31"/>
      <c r="D250" s="31"/>
      <c r="E250" s="30"/>
      <c r="F250" s="30"/>
      <c r="G250" s="33"/>
      <c r="H250" s="30"/>
      <c r="I250" s="30"/>
      <c r="J250" s="30"/>
      <c r="K250" s="34"/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1"/>
      <c r="AA250" s="22"/>
      <c r="AB250" s="22"/>
    </row>
    <row r="251" spans="1:28" ht="15.75" customHeight="1" x14ac:dyDescent="0.25">
      <c r="A251" s="29"/>
      <c r="B251" s="30"/>
      <c r="C251" s="31"/>
      <c r="D251" s="31"/>
      <c r="E251" s="30"/>
      <c r="F251" s="30"/>
      <c r="G251" s="33"/>
      <c r="H251" s="30"/>
      <c r="I251" s="30"/>
      <c r="J251" s="30"/>
      <c r="K251" s="34"/>
      <c r="L251" s="20"/>
      <c r="M251" s="20"/>
      <c r="N251" s="20"/>
      <c r="O251" s="20"/>
      <c r="P251" s="20"/>
      <c r="Q251" s="20"/>
      <c r="R251" s="20"/>
      <c r="S251" s="20"/>
      <c r="T251" s="20"/>
      <c r="U251" s="20"/>
      <c r="V251" s="20"/>
      <c r="W251" s="20"/>
      <c r="X251" s="20"/>
      <c r="Y251" s="20"/>
      <c r="Z251" s="21"/>
      <c r="AA251" s="22"/>
      <c r="AB251" s="22"/>
    </row>
    <row r="252" spans="1:28" ht="15.75" customHeight="1" x14ac:dyDescent="0.25">
      <c r="A252" s="29"/>
      <c r="B252" s="30"/>
      <c r="C252" s="31"/>
      <c r="D252" s="31"/>
      <c r="E252" s="30"/>
      <c r="F252" s="30"/>
      <c r="G252" s="33"/>
      <c r="H252" s="30"/>
      <c r="I252" s="30"/>
      <c r="J252" s="30"/>
      <c r="K252" s="34"/>
      <c r="L252" s="20"/>
      <c r="M252" s="20"/>
      <c r="N252" s="20"/>
      <c r="O252" s="20"/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1"/>
      <c r="AA252" s="22"/>
      <c r="AB252" s="22"/>
    </row>
    <row r="253" spans="1:28" ht="15.75" customHeight="1" x14ac:dyDescent="0.25">
      <c r="A253" s="29"/>
      <c r="B253" s="30"/>
      <c r="C253" s="31"/>
      <c r="D253" s="31"/>
      <c r="E253" s="30"/>
      <c r="F253" s="30"/>
      <c r="G253" s="33"/>
      <c r="H253" s="30"/>
      <c r="I253" s="30"/>
      <c r="J253" s="30"/>
      <c r="K253" s="34"/>
      <c r="L253" s="20"/>
      <c r="M253" s="20"/>
      <c r="N253" s="20"/>
      <c r="O253" s="20"/>
      <c r="P253" s="20"/>
      <c r="Q253" s="20"/>
      <c r="R253" s="20"/>
      <c r="S253" s="20"/>
      <c r="T253" s="20"/>
      <c r="U253" s="20"/>
      <c r="V253" s="20"/>
      <c r="W253" s="20"/>
      <c r="X253" s="20"/>
      <c r="Y253" s="20"/>
      <c r="Z253" s="21"/>
      <c r="AA253" s="22"/>
      <c r="AB253" s="22"/>
    </row>
    <row r="254" spans="1:28" ht="15.75" customHeight="1" x14ac:dyDescent="0.25">
      <c r="A254" s="29"/>
      <c r="B254" s="30"/>
      <c r="C254" s="31"/>
      <c r="D254" s="31"/>
      <c r="E254" s="30"/>
      <c r="F254" s="30"/>
      <c r="G254" s="33"/>
      <c r="H254" s="30"/>
      <c r="I254" s="30"/>
      <c r="J254" s="30"/>
      <c r="K254" s="34"/>
      <c r="L254" s="20"/>
      <c r="M254" s="20"/>
      <c r="N254" s="20"/>
      <c r="O254" s="20"/>
      <c r="P254" s="20"/>
      <c r="Q254" s="20"/>
      <c r="R254" s="20"/>
      <c r="S254" s="20"/>
      <c r="T254" s="20"/>
      <c r="U254" s="20"/>
      <c r="V254" s="20"/>
      <c r="W254" s="20"/>
      <c r="X254" s="20"/>
      <c r="Y254" s="20"/>
      <c r="Z254" s="21"/>
      <c r="AA254" s="22"/>
      <c r="AB254" s="22"/>
    </row>
    <row r="255" spans="1:28" ht="15.75" customHeight="1" x14ac:dyDescent="0.25">
      <c r="A255" s="29"/>
      <c r="B255" s="30"/>
      <c r="C255" s="31"/>
      <c r="D255" s="31"/>
      <c r="E255" s="30"/>
      <c r="F255" s="30"/>
      <c r="G255" s="33"/>
      <c r="H255" s="30"/>
      <c r="I255" s="30"/>
      <c r="J255" s="30"/>
      <c r="K255" s="34"/>
      <c r="L255" s="20"/>
      <c r="M255" s="20"/>
      <c r="N255" s="20"/>
      <c r="O255" s="20"/>
      <c r="P255" s="20"/>
      <c r="Q255" s="20"/>
      <c r="R255" s="20"/>
      <c r="S255" s="20"/>
      <c r="T255" s="20"/>
      <c r="U255" s="20"/>
      <c r="V255" s="20"/>
      <c r="W255" s="20"/>
      <c r="X255" s="20"/>
      <c r="Y255" s="20"/>
      <c r="Z255" s="21"/>
      <c r="AA255" s="22"/>
      <c r="AB255" s="22"/>
    </row>
    <row r="256" spans="1:28" ht="15.75" customHeight="1" x14ac:dyDescent="0.25">
      <c r="A256" s="29"/>
      <c r="B256" s="30"/>
      <c r="C256" s="31"/>
      <c r="D256" s="31"/>
      <c r="E256" s="30"/>
      <c r="F256" s="30"/>
      <c r="G256" s="33"/>
      <c r="H256" s="30"/>
      <c r="I256" s="30"/>
      <c r="J256" s="30"/>
      <c r="K256" s="34"/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0"/>
      <c r="W256" s="20"/>
      <c r="X256" s="20"/>
      <c r="Y256" s="20"/>
      <c r="Z256" s="21"/>
      <c r="AA256" s="22"/>
      <c r="AB256" s="22"/>
    </row>
    <row r="257" spans="1:28" ht="15.75" customHeight="1" x14ac:dyDescent="0.25">
      <c r="A257" s="29"/>
      <c r="B257" s="30"/>
      <c r="C257" s="31"/>
      <c r="D257" s="31"/>
      <c r="E257" s="30"/>
      <c r="F257" s="30"/>
      <c r="G257" s="33"/>
      <c r="H257" s="30"/>
      <c r="I257" s="30"/>
      <c r="J257" s="30"/>
      <c r="K257" s="34"/>
      <c r="L257" s="20"/>
      <c r="M257" s="20"/>
      <c r="N257" s="20"/>
      <c r="O257" s="20"/>
      <c r="P257" s="20"/>
      <c r="Q257" s="20"/>
      <c r="R257" s="20"/>
      <c r="S257" s="20"/>
      <c r="T257" s="20"/>
      <c r="U257" s="20"/>
      <c r="V257" s="20"/>
      <c r="W257" s="20"/>
      <c r="X257" s="20"/>
      <c r="Y257" s="20"/>
      <c r="Z257" s="21"/>
      <c r="AA257" s="22"/>
      <c r="AB257" s="22"/>
    </row>
    <row r="258" spans="1:28" ht="15.75" customHeight="1" x14ac:dyDescent="0.25">
      <c r="A258" s="29"/>
      <c r="B258" s="30"/>
      <c r="C258" s="31"/>
      <c r="D258" s="31"/>
      <c r="E258" s="30"/>
      <c r="F258" s="30"/>
      <c r="G258" s="33"/>
      <c r="H258" s="30"/>
      <c r="I258" s="30"/>
      <c r="J258" s="30"/>
      <c r="K258" s="34"/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0"/>
      <c r="W258" s="20"/>
      <c r="X258" s="20"/>
      <c r="Y258" s="20"/>
      <c r="Z258" s="21"/>
      <c r="AA258" s="22"/>
      <c r="AB258" s="22"/>
    </row>
    <row r="259" spans="1:28" ht="15.75" customHeight="1" x14ac:dyDescent="0.25">
      <c r="A259" s="29"/>
      <c r="B259" s="30"/>
      <c r="C259" s="31"/>
      <c r="D259" s="31"/>
      <c r="E259" s="30"/>
      <c r="F259" s="30"/>
      <c r="G259" s="33"/>
      <c r="H259" s="30"/>
      <c r="I259" s="30"/>
      <c r="J259" s="30"/>
      <c r="K259" s="34"/>
      <c r="L259" s="20"/>
      <c r="M259" s="20"/>
      <c r="N259" s="20"/>
      <c r="O259" s="20"/>
      <c r="P259" s="20"/>
      <c r="Q259" s="20"/>
      <c r="R259" s="20"/>
      <c r="S259" s="20"/>
      <c r="T259" s="20"/>
      <c r="U259" s="20"/>
      <c r="V259" s="20"/>
      <c r="W259" s="20"/>
      <c r="X259" s="20"/>
      <c r="Y259" s="20"/>
      <c r="Z259" s="21"/>
      <c r="AA259" s="22"/>
      <c r="AB259" s="22"/>
    </row>
    <row r="260" spans="1:28" ht="15.75" customHeight="1" x14ac:dyDescent="0.25">
      <c r="A260" s="29"/>
      <c r="B260" s="30"/>
      <c r="C260" s="31"/>
      <c r="D260" s="31"/>
      <c r="E260" s="30"/>
      <c r="F260" s="30"/>
      <c r="G260" s="33"/>
      <c r="H260" s="30"/>
      <c r="I260" s="30"/>
      <c r="J260" s="30"/>
      <c r="K260" s="34"/>
      <c r="L260" s="20"/>
      <c r="M260" s="20"/>
      <c r="N260" s="20"/>
      <c r="O260" s="20"/>
      <c r="P260" s="20"/>
      <c r="Q260" s="20"/>
      <c r="R260" s="20"/>
      <c r="S260" s="20"/>
      <c r="T260" s="20"/>
      <c r="U260" s="20"/>
      <c r="V260" s="20"/>
      <c r="W260" s="20"/>
      <c r="X260" s="20"/>
      <c r="Y260" s="20"/>
      <c r="Z260" s="21"/>
      <c r="AA260" s="22"/>
      <c r="AB260" s="22"/>
    </row>
    <row r="261" spans="1:28" ht="15.75" customHeight="1" x14ac:dyDescent="0.25">
      <c r="A261" s="29"/>
      <c r="B261" s="30"/>
      <c r="C261" s="31"/>
      <c r="D261" s="31"/>
      <c r="E261" s="30"/>
      <c r="F261" s="30"/>
      <c r="G261" s="33"/>
      <c r="H261" s="30"/>
      <c r="I261" s="30"/>
      <c r="J261" s="30"/>
      <c r="K261" s="34"/>
      <c r="L261" s="20"/>
      <c r="M261" s="20"/>
      <c r="N261" s="20"/>
      <c r="O261" s="20"/>
      <c r="P261" s="20"/>
      <c r="Q261" s="20"/>
      <c r="R261" s="20"/>
      <c r="S261" s="20"/>
      <c r="T261" s="20"/>
      <c r="U261" s="20"/>
      <c r="V261" s="20"/>
      <c r="W261" s="20"/>
      <c r="X261" s="20"/>
      <c r="Y261" s="20"/>
      <c r="Z261" s="21"/>
      <c r="AA261" s="22"/>
      <c r="AB261" s="22"/>
    </row>
    <row r="262" spans="1:28" ht="15.75" customHeight="1" x14ac:dyDescent="0.25">
      <c r="A262" s="29"/>
      <c r="B262" s="30"/>
      <c r="C262" s="31"/>
      <c r="D262" s="31"/>
      <c r="E262" s="30"/>
      <c r="F262" s="30"/>
      <c r="G262" s="33"/>
      <c r="H262" s="30"/>
      <c r="I262" s="30"/>
      <c r="J262" s="30"/>
      <c r="K262" s="34"/>
      <c r="L262" s="20"/>
      <c r="M262" s="20"/>
      <c r="N262" s="20"/>
      <c r="O262" s="20"/>
      <c r="P262" s="20"/>
      <c r="Q262" s="20"/>
      <c r="R262" s="20"/>
      <c r="S262" s="20"/>
      <c r="T262" s="20"/>
      <c r="U262" s="20"/>
      <c r="V262" s="20"/>
      <c r="W262" s="20"/>
      <c r="X262" s="20"/>
      <c r="Y262" s="20"/>
      <c r="Z262" s="21"/>
      <c r="AA262" s="22"/>
      <c r="AB262" s="22"/>
    </row>
    <row r="263" spans="1:28" ht="15.75" customHeight="1" x14ac:dyDescent="0.25">
      <c r="A263" s="29"/>
      <c r="B263" s="30"/>
      <c r="C263" s="31"/>
      <c r="D263" s="31"/>
      <c r="E263" s="30"/>
      <c r="F263" s="30"/>
      <c r="G263" s="33"/>
      <c r="H263" s="30"/>
      <c r="I263" s="30"/>
      <c r="J263" s="30"/>
      <c r="K263" s="34"/>
      <c r="L263" s="20"/>
      <c r="M263" s="20"/>
      <c r="N263" s="20"/>
      <c r="O263" s="20"/>
      <c r="P263" s="20"/>
      <c r="Q263" s="20"/>
      <c r="R263" s="20"/>
      <c r="S263" s="20"/>
      <c r="T263" s="20"/>
      <c r="U263" s="20"/>
      <c r="V263" s="20"/>
      <c r="W263" s="20"/>
      <c r="X263" s="20"/>
      <c r="Y263" s="20"/>
      <c r="Z263" s="21"/>
      <c r="AA263" s="22"/>
      <c r="AB263" s="22"/>
    </row>
    <row r="264" spans="1:28" ht="15.75" customHeight="1" x14ac:dyDescent="0.25">
      <c r="A264" s="29"/>
      <c r="B264" s="30"/>
      <c r="C264" s="31"/>
      <c r="D264" s="31"/>
      <c r="E264" s="30"/>
      <c r="F264" s="30"/>
      <c r="G264" s="33"/>
      <c r="H264" s="30"/>
      <c r="I264" s="30"/>
      <c r="J264" s="30"/>
      <c r="K264" s="34"/>
      <c r="L264" s="20"/>
      <c r="M264" s="20"/>
      <c r="N264" s="20"/>
      <c r="O264" s="20"/>
      <c r="P264" s="20"/>
      <c r="Q264" s="20"/>
      <c r="R264" s="20"/>
      <c r="S264" s="20"/>
      <c r="T264" s="20"/>
      <c r="U264" s="20"/>
      <c r="V264" s="20"/>
      <c r="W264" s="20"/>
      <c r="X264" s="20"/>
      <c r="Y264" s="20"/>
      <c r="Z264" s="21"/>
      <c r="AA264" s="22"/>
      <c r="AB264" s="22"/>
    </row>
    <row r="265" spans="1:28" ht="15.75" customHeight="1" x14ac:dyDescent="0.25">
      <c r="A265" s="29"/>
      <c r="B265" s="30"/>
      <c r="C265" s="31"/>
      <c r="D265" s="31"/>
      <c r="E265" s="30"/>
      <c r="F265" s="30"/>
      <c r="G265" s="33"/>
      <c r="H265" s="30"/>
      <c r="I265" s="30"/>
      <c r="J265" s="30"/>
      <c r="K265" s="34"/>
      <c r="L265" s="20"/>
      <c r="M265" s="20"/>
      <c r="N265" s="20"/>
      <c r="O265" s="20"/>
      <c r="P265" s="20"/>
      <c r="Q265" s="20"/>
      <c r="R265" s="20"/>
      <c r="S265" s="20"/>
      <c r="T265" s="20"/>
      <c r="U265" s="20"/>
      <c r="V265" s="20"/>
      <c r="W265" s="20"/>
      <c r="X265" s="20"/>
      <c r="Y265" s="20"/>
      <c r="Z265" s="21"/>
      <c r="AA265" s="22"/>
      <c r="AB265" s="22"/>
    </row>
    <row r="266" spans="1:28" ht="15.75" customHeight="1" x14ac:dyDescent="0.25">
      <c r="A266" s="29"/>
      <c r="B266" s="30"/>
      <c r="C266" s="31"/>
      <c r="D266" s="31"/>
      <c r="E266" s="30"/>
      <c r="F266" s="30"/>
      <c r="G266" s="33"/>
      <c r="H266" s="30"/>
      <c r="I266" s="30"/>
      <c r="J266" s="30"/>
      <c r="K266" s="34"/>
      <c r="L266" s="20"/>
      <c r="M266" s="20"/>
      <c r="N266" s="20"/>
      <c r="O266" s="20"/>
      <c r="P266" s="20"/>
      <c r="Q266" s="20"/>
      <c r="R266" s="20"/>
      <c r="S266" s="20"/>
      <c r="T266" s="20"/>
      <c r="U266" s="20"/>
      <c r="V266" s="20"/>
      <c r="W266" s="20"/>
      <c r="X266" s="20"/>
      <c r="Y266" s="20"/>
      <c r="Z266" s="21"/>
      <c r="AA266" s="22"/>
      <c r="AB266" s="22"/>
    </row>
    <row r="267" spans="1:28" ht="15.75" customHeight="1" x14ac:dyDescent="0.25">
      <c r="A267" s="29"/>
      <c r="B267" s="30"/>
      <c r="C267" s="31"/>
      <c r="D267" s="31"/>
      <c r="E267" s="30"/>
      <c r="F267" s="30"/>
      <c r="G267" s="33"/>
      <c r="H267" s="30"/>
      <c r="I267" s="30"/>
      <c r="J267" s="30"/>
      <c r="K267" s="34"/>
      <c r="L267" s="20"/>
      <c r="M267" s="20"/>
      <c r="N267" s="20"/>
      <c r="O267" s="20"/>
      <c r="P267" s="20"/>
      <c r="Q267" s="20"/>
      <c r="R267" s="20"/>
      <c r="S267" s="20"/>
      <c r="T267" s="20"/>
      <c r="U267" s="20"/>
      <c r="V267" s="20"/>
      <c r="W267" s="20"/>
      <c r="X267" s="20"/>
      <c r="Y267" s="20"/>
      <c r="Z267" s="21"/>
      <c r="AA267" s="22"/>
      <c r="AB267" s="22"/>
    </row>
    <row r="268" spans="1:28" ht="15.75" customHeight="1" x14ac:dyDescent="0.25">
      <c r="A268" s="29"/>
      <c r="B268" s="30"/>
      <c r="C268" s="31"/>
      <c r="D268" s="31"/>
      <c r="E268" s="30"/>
      <c r="F268" s="30"/>
      <c r="G268" s="33"/>
      <c r="H268" s="30"/>
      <c r="I268" s="30"/>
      <c r="J268" s="30"/>
      <c r="K268" s="34"/>
      <c r="L268" s="20"/>
      <c r="M268" s="20"/>
      <c r="N268" s="20"/>
      <c r="O268" s="20"/>
      <c r="P268" s="20"/>
      <c r="Q268" s="20"/>
      <c r="R268" s="20"/>
      <c r="S268" s="20"/>
      <c r="T268" s="20"/>
      <c r="U268" s="20"/>
      <c r="V268" s="20"/>
      <c r="W268" s="20"/>
      <c r="X268" s="20"/>
      <c r="Y268" s="20"/>
      <c r="Z268" s="21"/>
      <c r="AA268" s="22"/>
      <c r="AB268" s="22"/>
    </row>
    <row r="269" spans="1:28" ht="15.75" customHeight="1" x14ac:dyDescent="0.25">
      <c r="A269" s="29"/>
      <c r="B269" s="30"/>
      <c r="C269" s="31"/>
      <c r="D269" s="31"/>
      <c r="E269" s="30"/>
      <c r="F269" s="30"/>
      <c r="G269" s="33"/>
      <c r="H269" s="30"/>
      <c r="I269" s="30"/>
      <c r="J269" s="30"/>
      <c r="K269" s="34"/>
      <c r="L269" s="20"/>
      <c r="M269" s="20"/>
      <c r="N269" s="20"/>
      <c r="O269" s="20"/>
      <c r="P269" s="20"/>
      <c r="Q269" s="20"/>
      <c r="R269" s="20"/>
      <c r="S269" s="20"/>
      <c r="T269" s="20"/>
      <c r="U269" s="20"/>
      <c r="V269" s="20"/>
      <c r="W269" s="20"/>
      <c r="X269" s="20"/>
      <c r="Y269" s="20"/>
      <c r="Z269" s="21"/>
      <c r="AA269" s="22"/>
      <c r="AB269" s="22"/>
    </row>
    <row r="270" spans="1:28" ht="15.75" customHeight="1" x14ac:dyDescent="0.25">
      <c r="A270" s="29"/>
      <c r="B270" s="30"/>
      <c r="C270" s="31"/>
      <c r="D270" s="31"/>
      <c r="E270" s="30"/>
      <c r="F270" s="30"/>
      <c r="G270" s="33"/>
      <c r="H270" s="30"/>
      <c r="I270" s="30"/>
      <c r="J270" s="30"/>
      <c r="K270" s="34"/>
      <c r="L270" s="20"/>
      <c r="M270" s="20"/>
      <c r="N270" s="20"/>
      <c r="O270" s="20"/>
      <c r="P270" s="20"/>
      <c r="Q270" s="20"/>
      <c r="R270" s="20"/>
      <c r="S270" s="20"/>
      <c r="T270" s="20"/>
      <c r="U270" s="20"/>
      <c r="V270" s="20"/>
      <c r="W270" s="20"/>
      <c r="X270" s="20"/>
      <c r="Y270" s="20"/>
      <c r="Z270" s="21"/>
      <c r="AA270" s="22"/>
      <c r="AB270" s="22"/>
    </row>
    <row r="271" spans="1:28" ht="15.75" customHeight="1" x14ac:dyDescent="0.25">
      <c r="A271" s="36"/>
      <c r="B271" s="37"/>
      <c r="C271" s="38"/>
      <c r="D271" s="38"/>
      <c r="E271" s="37"/>
      <c r="F271" s="37"/>
      <c r="G271" s="40"/>
      <c r="H271" s="37"/>
      <c r="I271" s="37"/>
      <c r="J271" s="37"/>
      <c r="K271" s="41"/>
      <c r="L271" s="20"/>
      <c r="M271" s="20"/>
      <c r="N271" s="20"/>
      <c r="O271" s="20"/>
      <c r="P271" s="20"/>
      <c r="Q271" s="20"/>
      <c r="R271" s="20"/>
      <c r="S271" s="20"/>
      <c r="T271" s="20"/>
      <c r="U271" s="20"/>
      <c r="V271" s="20"/>
      <c r="W271" s="20"/>
      <c r="X271" s="20"/>
      <c r="Y271" s="20"/>
      <c r="Z271" s="21"/>
      <c r="AA271" s="22"/>
      <c r="AB271" s="22"/>
    </row>
    <row r="272" spans="1:28" ht="15.75" customHeight="1" x14ac:dyDescent="0.25">
      <c r="A272" s="42"/>
      <c r="B272" s="42"/>
      <c r="C272" s="43"/>
      <c r="D272" s="43"/>
      <c r="E272" s="42"/>
      <c r="F272" s="42"/>
      <c r="G272" s="44"/>
      <c r="H272" s="42"/>
      <c r="I272" s="42"/>
      <c r="J272" s="42"/>
      <c r="K272" s="42"/>
      <c r="L272" s="20"/>
      <c r="M272" s="20"/>
      <c r="N272" s="20"/>
      <c r="O272" s="20"/>
      <c r="P272" s="20"/>
      <c r="Q272" s="20"/>
      <c r="R272" s="20"/>
      <c r="S272" s="20"/>
      <c r="T272" s="20"/>
      <c r="U272" s="20"/>
      <c r="V272" s="20"/>
      <c r="W272" s="20"/>
      <c r="X272" s="20"/>
      <c r="Y272" s="20"/>
      <c r="Z272" s="21"/>
      <c r="AA272" s="22"/>
      <c r="AB272" s="22"/>
    </row>
    <row r="273" spans="1:28" ht="15.75" customHeight="1" x14ac:dyDescent="0.25">
      <c r="A273" s="42"/>
      <c r="B273" s="42"/>
      <c r="C273" s="43"/>
      <c r="D273" s="43"/>
      <c r="E273" s="42"/>
      <c r="F273" s="42"/>
      <c r="G273" s="44"/>
      <c r="H273" s="42"/>
      <c r="I273" s="42"/>
      <c r="J273" s="42"/>
      <c r="K273" s="42"/>
      <c r="L273" s="20"/>
      <c r="M273" s="20"/>
      <c r="N273" s="20"/>
      <c r="O273" s="20"/>
      <c r="P273" s="20"/>
      <c r="Q273" s="20"/>
      <c r="R273" s="20"/>
      <c r="S273" s="20"/>
      <c r="T273" s="20"/>
      <c r="U273" s="20"/>
      <c r="V273" s="20"/>
      <c r="W273" s="20"/>
      <c r="X273" s="20"/>
      <c r="Y273" s="20"/>
      <c r="Z273" s="21"/>
      <c r="AA273" s="22"/>
      <c r="AB273" s="22"/>
    </row>
    <row r="274" spans="1:28" ht="15.75" customHeight="1" x14ac:dyDescent="0.25">
      <c r="A274" s="42"/>
      <c r="B274" s="42"/>
      <c r="C274" s="43"/>
      <c r="D274" s="43"/>
      <c r="E274" s="42"/>
      <c r="F274" s="42"/>
      <c r="G274" s="44"/>
      <c r="H274" s="42"/>
      <c r="I274" s="42"/>
      <c r="J274" s="42"/>
      <c r="K274" s="42"/>
      <c r="L274" s="20"/>
      <c r="M274" s="20"/>
      <c r="N274" s="20"/>
      <c r="O274" s="20"/>
      <c r="P274" s="20"/>
      <c r="Q274" s="20"/>
      <c r="R274" s="20"/>
      <c r="S274" s="20"/>
      <c r="T274" s="20"/>
      <c r="U274" s="20"/>
      <c r="V274" s="20"/>
      <c r="W274" s="20"/>
      <c r="X274" s="20"/>
      <c r="Y274" s="20"/>
      <c r="Z274" s="21"/>
      <c r="AA274" s="22"/>
      <c r="AB274" s="22"/>
    </row>
    <row r="275" spans="1:28" ht="15.75" customHeight="1" x14ac:dyDescent="0.25">
      <c r="A275" s="42"/>
      <c r="B275" s="42"/>
      <c r="C275" s="43"/>
      <c r="D275" s="43"/>
      <c r="E275" s="42"/>
      <c r="F275" s="42"/>
      <c r="G275" s="44"/>
      <c r="H275" s="42"/>
      <c r="I275" s="42"/>
      <c r="J275" s="42"/>
      <c r="K275" s="42"/>
      <c r="L275" s="20"/>
      <c r="M275" s="20"/>
      <c r="N275" s="20"/>
      <c r="O275" s="20"/>
      <c r="P275" s="20"/>
      <c r="Q275" s="20"/>
      <c r="R275" s="20"/>
      <c r="S275" s="20"/>
      <c r="T275" s="20"/>
      <c r="U275" s="20"/>
      <c r="V275" s="20"/>
      <c r="W275" s="20"/>
      <c r="X275" s="20"/>
      <c r="Y275" s="20"/>
      <c r="Z275" s="21"/>
      <c r="AA275" s="22"/>
      <c r="AB275" s="22"/>
    </row>
    <row r="276" spans="1:28" ht="15.75" customHeight="1" x14ac:dyDescent="0.25">
      <c r="A276" s="42"/>
      <c r="B276" s="42"/>
      <c r="C276" s="43"/>
      <c r="D276" s="43"/>
      <c r="E276" s="42"/>
      <c r="F276" s="42"/>
      <c r="G276" s="44"/>
      <c r="H276" s="42"/>
      <c r="I276" s="42"/>
      <c r="J276" s="42"/>
      <c r="K276" s="42"/>
      <c r="L276" s="20"/>
      <c r="M276" s="20"/>
      <c r="N276" s="20"/>
      <c r="O276" s="20"/>
      <c r="P276" s="20"/>
      <c r="Q276" s="20"/>
      <c r="R276" s="20"/>
      <c r="S276" s="20"/>
      <c r="T276" s="20"/>
      <c r="U276" s="20"/>
      <c r="V276" s="20"/>
      <c r="W276" s="20"/>
      <c r="X276" s="20"/>
      <c r="Y276" s="20"/>
      <c r="Z276" s="21"/>
      <c r="AA276" s="22"/>
      <c r="AB276" s="22"/>
    </row>
    <row r="277" spans="1:28" ht="15.75" customHeight="1" x14ac:dyDescent="0.25">
      <c r="A277" s="42"/>
      <c r="B277" s="42"/>
      <c r="C277" s="43"/>
      <c r="D277" s="43"/>
      <c r="E277" s="42"/>
      <c r="F277" s="42"/>
      <c r="G277" s="44"/>
      <c r="H277" s="42"/>
      <c r="I277" s="42"/>
      <c r="J277" s="42"/>
      <c r="K277" s="42"/>
      <c r="L277" s="20"/>
      <c r="M277" s="20"/>
      <c r="N277" s="20"/>
      <c r="O277" s="20"/>
      <c r="P277" s="20"/>
      <c r="Q277" s="20"/>
      <c r="R277" s="20"/>
      <c r="S277" s="20"/>
      <c r="T277" s="20"/>
      <c r="U277" s="20"/>
      <c r="V277" s="20"/>
      <c r="W277" s="20"/>
      <c r="X277" s="20"/>
      <c r="Y277" s="20"/>
      <c r="Z277" s="21"/>
      <c r="AA277" s="22"/>
      <c r="AB277" s="22"/>
    </row>
    <row r="278" spans="1:28" ht="15.75" customHeight="1" x14ac:dyDescent="0.25">
      <c r="A278" s="42"/>
      <c r="B278" s="42"/>
      <c r="C278" s="43"/>
      <c r="D278" s="43"/>
      <c r="E278" s="42"/>
      <c r="F278" s="42"/>
      <c r="G278" s="44"/>
      <c r="H278" s="42"/>
      <c r="I278" s="42"/>
      <c r="J278" s="42"/>
      <c r="K278" s="42"/>
      <c r="L278" s="20"/>
      <c r="M278" s="20"/>
      <c r="N278" s="20"/>
      <c r="O278" s="20"/>
      <c r="P278" s="20"/>
      <c r="Q278" s="20"/>
      <c r="R278" s="20"/>
      <c r="S278" s="20"/>
      <c r="T278" s="20"/>
      <c r="U278" s="20"/>
      <c r="V278" s="20"/>
      <c r="W278" s="20"/>
      <c r="X278" s="20"/>
      <c r="Y278" s="20"/>
      <c r="Z278" s="21"/>
      <c r="AA278" s="22"/>
      <c r="AB278" s="22"/>
    </row>
    <row r="279" spans="1:28" ht="15.75" customHeight="1" x14ac:dyDescent="0.25">
      <c r="A279" s="42"/>
      <c r="B279" s="42"/>
      <c r="C279" s="43"/>
      <c r="D279" s="43"/>
      <c r="E279" s="42"/>
      <c r="F279" s="42"/>
      <c r="G279" s="44"/>
      <c r="H279" s="42"/>
      <c r="I279" s="42"/>
      <c r="J279" s="42"/>
      <c r="K279" s="42"/>
      <c r="L279" s="20"/>
      <c r="M279" s="20"/>
      <c r="N279" s="20"/>
      <c r="O279" s="20"/>
      <c r="P279" s="20"/>
      <c r="Q279" s="20"/>
      <c r="R279" s="20"/>
      <c r="S279" s="20"/>
      <c r="T279" s="20"/>
      <c r="U279" s="20"/>
      <c r="V279" s="20"/>
      <c r="W279" s="20"/>
      <c r="X279" s="20"/>
      <c r="Y279" s="20"/>
      <c r="Z279" s="21"/>
      <c r="AA279" s="22"/>
      <c r="AB279" s="22"/>
    </row>
    <row r="280" spans="1:28" ht="15.75" customHeight="1" x14ac:dyDescent="0.25">
      <c r="A280" s="42"/>
      <c r="B280" s="42"/>
      <c r="C280" s="43"/>
      <c r="D280" s="43"/>
      <c r="E280" s="42"/>
      <c r="F280" s="42"/>
      <c r="G280" s="44"/>
      <c r="H280" s="42"/>
      <c r="I280" s="42"/>
      <c r="J280" s="42"/>
      <c r="K280" s="42"/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0"/>
      <c r="W280" s="20"/>
      <c r="X280" s="20"/>
      <c r="Y280" s="20"/>
      <c r="Z280" s="21"/>
      <c r="AA280" s="22"/>
      <c r="AB280" s="22"/>
    </row>
    <row r="281" spans="1:28" ht="15.75" customHeight="1" x14ac:dyDescent="0.25">
      <c r="A281" s="42"/>
      <c r="B281" s="42"/>
      <c r="C281" s="43"/>
      <c r="D281" s="43"/>
      <c r="E281" s="42"/>
      <c r="F281" s="42"/>
      <c r="G281" s="44"/>
      <c r="H281" s="42"/>
      <c r="I281" s="42"/>
      <c r="J281" s="42"/>
      <c r="K281" s="42"/>
      <c r="L281" s="20"/>
      <c r="M281" s="20"/>
      <c r="N281" s="20"/>
      <c r="O281" s="20"/>
      <c r="P281" s="20"/>
      <c r="Q281" s="20"/>
      <c r="R281" s="20"/>
      <c r="S281" s="20"/>
      <c r="T281" s="20"/>
      <c r="U281" s="20"/>
      <c r="V281" s="20"/>
      <c r="W281" s="20"/>
      <c r="X281" s="20"/>
      <c r="Y281" s="20"/>
      <c r="Z281" s="21"/>
      <c r="AA281" s="22"/>
      <c r="AB281" s="22"/>
    </row>
    <row r="282" spans="1:28" ht="15.75" customHeight="1" x14ac:dyDescent="0.25">
      <c r="A282" s="42"/>
      <c r="B282" s="42"/>
      <c r="C282" s="43"/>
      <c r="D282" s="43"/>
      <c r="E282" s="42"/>
      <c r="F282" s="42"/>
      <c r="G282" s="44"/>
      <c r="H282" s="42"/>
      <c r="I282" s="42"/>
      <c r="J282" s="42"/>
      <c r="K282" s="42"/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0"/>
      <c r="W282" s="20"/>
      <c r="X282" s="20"/>
      <c r="Y282" s="20"/>
      <c r="Z282" s="21"/>
      <c r="AA282" s="22"/>
      <c r="AB282" s="22"/>
    </row>
    <row r="283" spans="1:28" ht="15.75" customHeight="1" x14ac:dyDescent="0.25">
      <c r="A283" s="42"/>
      <c r="B283" s="42"/>
      <c r="C283" s="43"/>
      <c r="D283" s="43"/>
      <c r="E283" s="42"/>
      <c r="F283" s="42"/>
      <c r="G283" s="44"/>
      <c r="H283" s="42"/>
      <c r="I283" s="42"/>
      <c r="J283" s="42"/>
      <c r="K283" s="42"/>
      <c r="L283" s="20"/>
      <c r="M283" s="20"/>
      <c r="N283" s="20"/>
      <c r="O283" s="20"/>
      <c r="P283" s="20"/>
      <c r="Q283" s="20"/>
      <c r="R283" s="20"/>
      <c r="S283" s="20"/>
      <c r="T283" s="20"/>
      <c r="U283" s="20"/>
      <c r="V283" s="20"/>
      <c r="W283" s="20"/>
      <c r="X283" s="20"/>
      <c r="Y283" s="20"/>
      <c r="Z283" s="21"/>
      <c r="AA283" s="22"/>
      <c r="AB283" s="22"/>
    </row>
    <row r="284" spans="1:28" ht="15.75" customHeight="1" x14ac:dyDescent="0.25">
      <c r="A284" s="42"/>
      <c r="B284" s="42"/>
      <c r="C284" s="43"/>
      <c r="D284" s="43"/>
      <c r="E284" s="42"/>
      <c r="F284" s="42"/>
      <c r="G284" s="44"/>
      <c r="H284" s="42"/>
      <c r="I284" s="42"/>
      <c r="J284" s="42"/>
      <c r="K284" s="42"/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0"/>
      <c r="W284" s="20"/>
      <c r="X284" s="20"/>
      <c r="Y284" s="20"/>
      <c r="Z284" s="21"/>
      <c r="AA284" s="22"/>
      <c r="AB284" s="22"/>
    </row>
    <row r="285" spans="1:28" ht="15.75" customHeight="1" x14ac:dyDescent="0.25">
      <c r="A285" s="42"/>
      <c r="B285" s="42"/>
      <c r="C285" s="43"/>
      <c r="D285" s="43"/>
      <c r="E285" s="42"/>
      <c r="F285" s="42"/>
      <c r="G285" s="44"/>
      <c r="H285" s="42"/>
      <c r="I285" s="42"/>
      <c r="J285" s="42"/>
      <c r="K285" s="42"/>
      <c r="L285" s="20"/>
      <c r="M285" s="20"/>
      <c r="N285" s="20"/>
      <c r="O285" s="20"/>
      <c r="P285" s="20"/>
      <c r="Q285" s="20"/>
      <c r="R285" s="20"/>
      <c r="S285" s="20"/>
      <c r="T285" s="20"/>
      <c r="U285" s="20"/>
      <c r="V285" s="20"/>
      <c r="W285" s="20"/>
      <c r="X285" s="20"/>
      <c r="Y285" s="20"/>
      <c r="Z285" s="21"/>
      <c r="AA285" s="22"/>
      <c r="AB285" s="22"/>
    </row>
    <row r="286" spans="1:28" ht="15.75" customHeight="1" x14ac:dyDescent="0.25">
      <c r="A286" s="42"/>
      <c r="B286" s="42"/>
      <c r="C286" s="43"/>
      <c r="D286" s="43"/>
      <c r="E286" s="42"/>
      <c r="F286" s="42"/>
      <c r="G286" s="44"/>
      <c r="H286" s="42"/>
      <c r="I286" s="42"/>
      <c r="J286" s="42"/>
      <c r="K286" s="42"/>
      <c r="L286" s="20"/>
      <c r="M286" s="20"/>
      <c r="N286" s="20"/>
      <c r="O286" s="20"/>
      <c r="P286" s="20"/>
      <c r="Q286" s="20"/>
      <c r="R286" s="20"/>
      <c r="S286" s="20"/>
      <c r="T286" s="20"/>
      <c r="U286" s="20"/>
      <c r="V286" s="20"/>
      <c r="W286" s="20"/>
      <c r="X286" s="20"/>
      <c r="Y286" s="20"/>
      <c r="Z286" s="21"/>
      <c r="AA286" s="22"/>
      <c r="AB286" s="22"/>
    </row>
    <row r="287" spans="1:28" ht="15.75" customHeight="1" x14ac:dyDescent="0.25">
      <c r="A287" s="42"/>
      <c r="B287" s="42"/>
      <c r="C287" s="43"/>
      <c r="D287" s="43"/>
      <c r="E287" s="42"/>
      <c r="F287" s="42"/>
      <c r="G287" s="44"/>
      <c r="H287" s="42"/>
      <c r="I287" s="42"/>
      <c r="J287" s="42"/>
      <c r="K287" s="42"/>
      <c r="L287" s="20"/>
      <c r="M287" s="20"/>
      <c r="N287" s="20"/>
      <c r="O287" s="20"/>
      <c r="P287" s="20"/>
      <c r="Q287" s="20"/>
      <c r="R287" s="20"/>
      <c r="S287" s="20"/>
      <c r="T287" s="20"/>
      <c r="U287" s="20"/>
      <c r="V287" s="20"/>
      <c r="W287" s="20"/>
      <c r="X287" s="20"/>
      <c r="Y287" s="20"/>
      <c r="Z287" s="21"/>
      <c r="AA287" s="22"/>
      <c r="AB287" s="22"/>
    </row>
    <row r="288" spans="1:28" ht="15.75" customHeight="1" x14ac:dyDescent="0.25">
      <c r="A288" s="42"/>
      <c r="B288" s="42"/>
      <c r="C288" s="43"/>
      <c r="D288" s="43"/>
      <c r="E288" s="42"/>
      <c r="F288" s="42"/>
      <c r="G288" s="44"/>
      <c r="H288" s="42"/>
      <c r="I288" s="42"/>
      <c r="J288" s="42"/>
      <c r="K288" s="42"/>
      <c r="L288" s="20"/>
      <c r="M288" s="20"/>
      <c r="N288" s="20"/>
      <c r="O288" s="20"/>
      <c r="P288" s="20"/>
      <c r="Q288" s="20"/>
      <c r="R288" s="20"/>
      <c r="S288" s="20"/>
      <c r="T288" s="20"/>
      <c r="U288" s="20"/>
      <c r="V288" s="20"/>
      <c r="W288" s="20"/>
      <c r="X288" s="20"/>
      <c r="Y288" s="20"/>
      <c r="Z288" s="21"/>
      <c r="AA288" s="22"/>
      <c r="AB288" s="22"/>
    </row>
    <row r="289" spans="1:28" ht="15.75" customHeight="1" x14ac:dyDescent="0.25">
      <c r="A289" s="42"/>
      <c r="B289" s="42"/>
      <c r="C289" s="43"/>
      <c r="D289" s="43"/>
      <c r="E289" s="42"/>
      <c r="F289" s="42"/>
      <c r="G289" s="44"/>
      <c r="H289" s="42"/>
      <c r="I289" s="42"/>
      <c r="J289" s="42"/>
      <c r="K289" s="42"/>
      <c r="L289" s="20"/>
      <c r="M289" s="20"/>
      <c r="N289" s="20"/>
      <c r="O289" s="20"/>
      <c r="P289" s="20"/>
      <c r="Q289" s="20"/>
      <c r="R289" s="20"/>
      <c r="S289" s="20"/>
      <c r="T289" s="20"/>
      <c r="U289" s="20"/>
      <c r="V289" s="20"/>
      <c r="W289" s="20"/>
      <c r="X289" s="20"/>
      <c r="Y289" s="20"/>
      <c r="Z289" s="21"/>
      <c r="AA289" s="22"/>
      <c r="AB289" s="22"/>
    </row>
    <row r="290" spans="1:28" ht="15.75" customHeight="1" x14ac:dyDescent="0.25">
      <c r="A290" s="42"/>
      <c r="B290" s="42"/>
      <c r="C290" s="43"/>
      <c r="D290" s="43"/>
      <c r="E290" s="42"/>
      <c r="F290" s="42"/>
      <c r="G290" s="44"/>
      <c r="H290" s="42"/>
      <c r="I290" s="42"/>
      <c r="J290" s="42"/>
      <c r="K290" s="42"/>
      <c r="L290" s="20"/>
      <c r="M290" s="20"/>
      <c r="N290" s="20"/>
      <c r="O290" s="20"/>
      <c r="P290" s="20"/>
      <c r="Q290" s="20"/>
      <c r="R290" s="20"/>
      <c r="S290" s="20"/>
      <c r="T290" s="20"/>
      <c r="U290" s="20"/>
      <c r="V290" s="20"/>
      <c r="W290" s="20"/>
      <c r="X290" s="20"/>
      <c r="Y290" s="20"/>
      <c r="Z290" s="21"/>
      <c r="AA290" s="22"/>
      <c r="AB290" s="22"/>
    </row>
    <row r="291" spans="1:28" ht="15.75" customHeight="1" x14ac:dyDescent="0.25">
      <c r="A291" s="42"/>
      <c r="B291" s="42"/>
      <c r="C291" s="43"/>
      <c r="D291" s="43"/>
      <c r="E291" s="42"/>
      <c r="F291" s="42"/>
      <c r="G291" s="44"/>
      <c r="H291" s="42"/>
      <c r="I291" s="42"/>
      <c r="J291" s="42"/>
      <c r="K291" s="42"/>
      <c r="L291" s="20"/>
      <c r="M291" s="20"/>
      <c r="N291" s="20"/>
      <c r="O291" s="20"/>
      <c r="P291" s="20"/>
      <c r="Q291" s="20"/>
      <c r="R291" s="20"/>
      <c r="S291" s="20"/>
      <c r="T291" s="20"/>
      <c r="U291" s="20"/>
      <c r="V291" s="20"/>
      <c r="W291" s="20"/>
      <c r="X291" s="20"/>
      <c r="Y291" s="20"/>
      <c r="Z291" s="21"/>
      <c r="AA291" s="22"/>
      <c r="AB291" s="22"/>
    </row>
    <row r="292" spans="1:28" ht="15.75" customHeight="1" x14ac:dyDescent="0.25">
      <c r="A292" s="42"/>
      <c r="B292" s="42"/>
      <c r="C292" s="43"/>
      <c r="D292" s="43"/>
      <c r="E292" s="42"/>
      <c r="F292" s="42"/>
      <c r="G292" s="44"/>
      <c r="H292" s="42"/>
      <c r="I292" s="42"/>
      <c r="J292" s="42"/>
      <c r="K292" s="42"/>
      <c r="L292" s="20"/>
      <c r="M292" s="20"/>
      <c r="N292" s="20"/>
      <c r="O292" s="20"/>
      <c r="P292" s="20"/>
      <c r="Q292" s="20"/>
      <c r="R292" s="20"/>
      <c r="S292" s="20"/>
      <c r="T292" s="20"/>
      <c r="U292" s="20"/>
      <c r="V292" s="20"/>
      <c r="W292" s="20"/>
      <c r="X292" s="20"/>
      <c r="Y292" s="20"/>
      <c r="Z292" s="21"/>
      <c r="AA292" s="22"/>
      <c r="AB292" s="22"/>
    </row>
    <row r="293" spans="1:28" ht="15.75" customHeight="1" x14ac:dyDescent="0.25">
      <c r="A293" s="42"/>
      <c r="B293" s="42"/>
      <c r="C293" s="43"/>
      <c r="D293" s="43"/>
      <c r="E293" s="42"/>
      <c r="F293" s="42"/>
      <c r="G293" s="44"/>
      <c r="H293" s="42"/>
      <c r="I293" s="42"/>
      <c r="J293" s="42"/>
      <c r="K293" s="42"/>
      <c r="L293" s="20"/>
      <c r="M293" s="20"/>
      <c r="N293" s="20"/>
      <c r="O293" s="20"/>
      <c r="P293" s="20"/>
      <c r="Q293" s="20"/>
      <c r="R293" s="20"/>
      <c r="S293" s="20"/>
      <c r="T293" s="20"/>
      <c r="U293" s="20"/>
      <c r="V293" s="20"/>
      <c r="W293" s="20"/>
      <c r="X293" s="20"/>
      <c r="Y293" s="20"/>
      <c r="Z293" s="21"/>
      <c r="AA293" s="22"/>
      <c r="AB293" s="22"/>
    </row>
    <row r="294" spans="1:28" ht="15.75" customHeight="1" x14ac:dyDescent="0.25">
      <c r="A294" s="42"/>
      <c r="B294" s="42"/>
      <c r="C294" s="43"/>
      <c r="D294" s="43"/>
      <c r="E294" s="42"/>
      <c r="F294" s="42"/>
      <c r="G294" s="44"/>
      <c r="H294" s="42"/>
      <c r="I294" s="42"/>
      <c r="J294" s="42"/>
      <c r="K294" s="42"/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0"/>
      <c r="W294" s="20"/>
      <c r="X294" s="20"/>
      <c r="Y294" s="20"/>
      <c r="Z294" s="21"/>
      <c r="AA294" s="22"/>
      <c r="AB294" s="22"/>
    </row>
    <row r="295" spans="1:28" ht="15.75" customHeight="1" x14ac:dyDescent="0.25">
      <c r="A295" s="42"/>
      <c r="B295" s="42"/>
      <c r="C295" s="43"/>
      <c r="D295" s="43"/>
      <c r="E295" s="42"/>
      <c r="F295" s="42"/>
      <c r="G295" s="44"/>
      <c r="H295" s="42"/>
      <c r="I295" s="42"/>
      <c r="J295" s="42"/>
      <c r="K295" s="42"/>
      <c r="L295" s="20"/>
      <c r="M295" s="20"/>
      <c r="N295" s="20"/>
      <c r="O295" s="20"/>
      <c r="P295" s="20"/>
      <c r="Q295" s="20"/>
      <c r="R295" s="20"/>
      <c r="S295" s="20"/>
      <c r="T295" s="20"/>
      <c r="U295" s="20"/>
      <c r="V295" s="20"/>
      <c r="W295" s="20"/>
      <c r="X295" s="20"/>
      <c r="Y295" s="20"/>
      <c r="Z295" s="21"/>
      <c r="AA295" s="22"/>
      <c r="AB295" s="22"/>
    </row>
    <row r="296" spans="1:28" ht="15.75" customHeight="1" x14ac:dyDescent="0.25">
      <c r="A296" s="42"/>
      <c r="B296" s="42"/>
      <c r="C296" s="43"/>
      <c r="D296" s="43"/>
      <c r="E296" s="42"/>
      <c r="F296" s="42"/>
      <c r="G296" s="44"/>
      <c r="H296" s="42"/>
      <c r="I296" s="42"/>
      <c r="J296" s="42"/>
      <c r="K296" s="42"/>
      <c r="L296" s="20"/>
      <c r="M296" s="20"/>
      <c r="N296" s="20"/>
      <c r="O296" s="20"/>
      <c r="P296" s="20"/>
      <c r="Q296" s="20"/>
      <c r="R296" s="20"/>
      <c r="S296" s="20"/>
      <c r="T296" s="20"/>
      <c r="U296" s="20"/>
      <c r="V296" s="20"/>
      <c r="W296" s="20"/>
      <c r="X296" s="20"/>
      <c r="Y296" s="20"/>
      <c r="Z296" s="21"/>
      <c r="AA296" s="22"/>
      <c r="AB296" s="22"/>
    </row>
    <row r="297" spans="1:28" ht="15.75" customHeight="1" x14ac:dyDescent="0.25">
      <c r="A297" s="42"/>
      <c r="B297" s="42"/>
      <c r="C297" s="43"/>
      <c r="D297" s="43"/>
      <c r="E297" s="42"/>
      <c r="F297" s="42"/>
      <c r="G297" s="44"/>
      <c r="H297" s="42"/>
      <c r="I297" s="42"/>
      <c r="J297" s="42"/>
      <c r="K297" s="42"/>
      <c r="L297" s="20"/>
      <c r="M297" s="20"/>
      <c r="N297" s="20"/>
      <c r="O297" s="20"/>
      <c r="P297" s="20"/>
      <c r="Q297" s="20"/>
      <c r="R297" s="20"/>
      <c r="S297" s="20"/>
      <c r="T297" s="20"/>
      <c r="U297" s="20"/>
      <c r="V297" s="20"/>
      <c r="W297" s="20"/>
      <c r="X297" s="20"/>
      <c r="Y297" s="20"/>
      <c r="Z297" s="21"/>
      <c r="AA297" s="22"/>
      <c r="AB297" s="22"/>
    </row>
    <row r="298" spans="1:28" ht="15.75" customHeight="1" x14ac:dyDescent="0.25">
      <c r="A298" s="42"/>
      <c r="B298" s="42"/>
      <c r="C298" s="43"/>
      <c r="D298" s="43"/>
      <c r="E298" s="42"/>
      <c r="F298" s="42"/>
      <c r="G298" s="44"/>
      <c r="H298" s="42"/>
      <c r="I298" s="42"/>
      <c r="J298" s="42"/>
      <c r="K298" s="42"/>
      <c r="L298" s="20"/>
      <c r="M298" s="20"/>
      <c r="N298" s="20"/>
      <c r="O298" s="20"/>
      <c r="P298" s="20"/>
      <c r="Q298" s="20"/>
      <c r="R298" s="20"/>
      <c r="S298" s="20"/>
      <c r="T298" s="20"/>
      <c r="U298" s="20"/>
      <c r="V298" s="20"/>
      <c r="W298" s="20"/>
      <c r="X298" s="20"/>
      <c r="Y298" s="20"/>
      <c r="Z298" s="21"/>
      <c r="AA298" s="22"/>
      <c r="AB298" s="22"/>
    </row>
    <row r="299" spans="1:28" ht="15.75" customHeight="1" x14ac:dyDescent="0.25">
      <c r="A299" s="42"/>
      <c r="B299" s="42"/>
      <c r="C299" s="43"/>
      <c r="D299" s="43"/>
      <c r="E299" s="42"/>
      <c r="F299" s="42"/>
      <c r="G299" s="44"/>
      <c r="H299" s="42"/>
      <c r="I299" s="42"/>
      <c r="J299" s="42"/>
      <c r="K299" s="42"/>
      <c r="L299" s="20"/>
      <c r="M299" s="20"/>
      <c r="N299" s="20"/>
      <c r="O299" s="20"/>
      <c r="P299" s="20"/>
      <c r="Q299" s="20"/>
      <c r="R299" s="20"/>
      <c r="S299" s="20"/>
      <c r="T299" s="20"/>
      <c r="U299" s="20"/>
      <c r="V299" s="20"/>
      <c r="W299" s="20"/>
      <c r="X299" s="20"/>
      <c r="Y299" s="20"/>
      <c r="Z299" s="21"/>
      <c r="AA299" s="22"/>
      <c r="AB299" s="22"/>
    </row>
    <row r="300" spans="1:28" ht="15.75" customHeight="1" x14ac:dyDescent="0.25">
      <c r="A300" s="42"/>
      <c r="B300" s="42"/>
      <c r="C300" s="43"/>
      <c r="D300" s="43"/>
      <c r="E300" s="42"/>
      <c r="F300" s="42"/>
      <c r="G300" s="44"/>
      <c r="H300" s="42"/>
      <c r="I300" s="42"/>
      <c r="J300" s="42"/>
      <c r="K300" s="42"/>
      <c r="L300" s="20"/>
      <c r="M300" s="20"/>
      <c r="N300" s="20"/>
      <c r="O300" s="20"/>
      <c r="P300" s="20"/>
      <c r="Q300" s="20"/>
      <c r="R300" s="20"/>
      <c r="S300" s="20"/>
      <c r="T300" s="20"/>
      <c r="U300" s="20"/>
      <c r="V300" s="20"/>
      <c r="W300" s="20"/>
      <c r="X300" s="20"/>
      <c r="Y300" s="20"/>
      <c r="Z300" s="21"/>
      <c r="AA300" s="22"/>
      <c r="AB300" s="22"/>
    </row>
    <row r="301" spans="1:28" ht="15.75" customHeight="1" x14ac:dyDescent="0.25">
      <c r="A301" s="42"/>
      <c r="B301" s="42"/>
      <c r="C301" s="43"/>
      <c r="D301" s="43"/>
      <c r="E301" s="42"/>
      <c r="F301" s="42"/>
      <c r="G301" s="44"/>
      <c r="H301" s="42"/>
      <c r="I301" s="42"/>
      <c r="J301" s="42"/>
      <c r="K301" s="42"/>
      <c r="L301" s="20"/>
      <c r="M301" s="20"/>
      <c r="N301" s="20"/>
      <c r="O301" s="20"/>
      <c r="P301" s="20"/>
      <c r="Q301" s="20"/>
      <c r="R301" s="20"/>
      <c r="S301" s="20"/>
      <c r="T301" s="20"/>
      <c r="U301" s="20"/>
      <c r="V301" s="20"/>
      <c r="W301" s="20"/>
      <c r="X301" s="20"/>
      <c r="Y301" s="20"/>
      <c r="Z301" s="21"/>
      <c r="AA301" s="22"/>
      <c r="AB301" s="22"/>
    </row>
    <row r="302" spans="1:28" ht="15.75" customHeight="1" x14ac:dyDescent="0.25">
      <c r="A302" s="42"/>
      <c r="B302" s="42"/>
      <c r="C302" s="43"/>
      <c r="D302" s="43"/>
      <c r="E302" s="42"/>
      <c r="F302" s="42"/>
      <c r="G302" s="44"/>
      <c r="H302" s="42"/>
      <c r="I302" s="42"/>
      <c r="J302" s="42"/>
      <c r="K302" s="42"/>
      <c r="L302" s="20"/>
      <c r="M302" s="20"/>
      <c r="N302" s="20"/>
      <c r="O302" s="20"/>
      <c r="P302" s="20"/>
      <c r="Q302" s="20"/>
      <c r="R302" s="20"/>
      <c r="S302" s="20"/>
      <c r="T302" s="20"/>
      <c r="U302" s="20"/>
      <c r="V302" s="20"/>
      <c r="W302" s="20"/>
      <c r="X302" s="20"/>
      <c r="Y302" s="20"/>
      <c r="Z302" s="21"/>
      <c r="AA302" s="22"/>
      <c r="AB302" s="22"/>
    </row>
    <row r="303" spans="1:28" ht="15.75" customHeight="1" x14ac:dyDescent="0.25">
      <c r="A303" s="42"/>
      <c r="B303" s="42"/>
      <c r="C303" s="43"/>
      <c r="D303" s="43"/>
      <c r="E303" s="42"/>
      <c r="F303" s="42"/>
      <c r="G303" s="44"/>
      <c r="H303" s="42"/>
      <c r="I303" s="42"/>
      <c r="J303" s="42"/>
      <c r="K303" s="42"/>
      <c r="L303" s="20"/>
      <c r="M303" s="20"/>
      <c r="N303" s="20"/>
      <c r="O303" s="20"/>
      <c r="P303" s="20"/>
      <c r="Q303" s="20"/>
      <c r="R303" s="20"/>
      <c r="S303" s="20"/>
      <c r="T303" s="20"/>
      <c r="U303" s="20"/>
      <c r="V303" s="20"/>
      <c r="W303" s="20"/>
      <c r="X303" s="20"/>
      <c r="Y303" s="20"/>
      <c r="Z303" s="21"/>
      <c r="AA303" s="22"/>
      <c r="AB303" s="22"/>
    </row>
    <row r="304" spans="1:28" ht="15.75" customHeight="1" x14ac:dyDescent="0.25">
      <c r="A304" s="42"/>
      <c r="B304" s="42"/>
      <c r="C304" s="43"/>
      <c r="D304" s="43"/>
      <c r="E304" s="42"/>
      <c r="F304" s="42"/>
      <c r="G304" s="44"/>
      <c r="H304" s="42"/>
      <c r="I304" s="42"/>
      <c r="J304" s="42"/>
      <c r="K304" s="42"/>
      <c r="L304" s="20"/>
      <c r="M304" s="20"/>
      <c r="N304" s="20"/>
      <c r="O304" s="20"/>
      <c r="P304" s="20"/>
      <c r="Q304" s="20"/>
      <c r="R304" s="20"/>
      <c r="S304" s="20"/>
      <c r="T304" s="20"/>
      <c r="U304" s="20"/>
      <c r="V304" s="20"/>
      <c r="W304" s="20"/>
      <c r="X304" s="20"/>
      <c r="Y304" s="20"/>
      <c r="Z304" s="21"/>
      <c r="AA304" s="22"/>
      <c r="AB304" s="22"/>
    </row>
    <row r="305" spans="1:28" ht="15.75" customHeight="1" x14ac:dyDescent="0.25">
      <c r="A305" s="42"/>
      <c r="B305" s="42"/>
      <c r="C305" s="43"/>
      <c r="D305" s="43"/>
      <c r="E305" s="42"/>
      <c r="F305" s="42"/>
      <c r="G305" s="44"/>
      <c r="H305" s="42"/>
      <c r="I305" s="42"/>
      <c r="J305" s="42"/>
      <c r="K305" s="42"/>
      <c r="L305" s="20"/>
      <c r="M305" s="20"/>
      <c r="N305" s="20"/>
      <c r="O305" s="20"/>
      <c r="P305" s="20"/>
      <c r="Q305" s="20"/>
      <c r="R305" s="20"/>
      <c r="S305" s="20"/>
      <c r="T305" s="20"/>
      <c r="U305" s="20"/>
      <c r="V305" s="20"/>
      <c r="W305" s="20"/>
      <c r="X305" s="20"/>
      <c r="Y305" s="20"/>
      <c r="Z305" s="21"/>
      <c r="AA305" s="22"/>
      <c r="AB305" s="22"/>
    </row>
    <row r="306" spans="1:28" ht="15.75" customHeight="1" x14ac:dyDescent="0.25">
      <c r="A306" s="42"/>
      <c r="B306" s="42"/>
      <c r="C306" s="43"/>
      <c r="D306" s="43"/>
      <c r="E306" s="42"/>
      <c r="F306" s="42"/>
      <c r="G306" s="44"/>
      <c r="H306" s="42"/>
      <c r="I306" s="42"/>
      <c r="J306" s="42"/>
      <c r="K306" s="42"/>
      <c r="L306" s="20"/>
      <c r="M306" s="20"/>
      <c r="N306" s="20"/>
      <c r="O306" s="20"/>
      <c r="P306" s="20"/>
      <c r="Q306" s="20"/>
      <c r="R306" s="20"/>
      <c r="S306" s="20"/>
      <c r="T306" s="20"/>
      <c r="U306" s="20"/>
      <c r="V306" s="20"/>
      <c r="W306" s="20"/>
      <c r="X306" s="20"/>
      <c r="Y306" s="20"/>
      <c r="Z306" s="21"/>
      <c r="AA306" s="22"/>
      <c r="AB306" s="22"/>
    </row>
    <row r="307" spans="1:28" ht="15.75" customHeight="1" x14ac:dyDescent="0.25">
      <c r="A307" s="42"/>
      <c r="B307" s="42"/>
      <c r="C307" s="43"/>
      <c r="D307" s="43"/>
      <c r="E307" s="42"/>
      <c r="F307" s="42"/>
      <c r="G307" s="44"/>
      <c r="H307" s="42"/>
      <c r="I307" s="42"/>
      <c r="J307" s="42"/>
      <c r="K307" s="42"/>
      <c r="L307" s="20"/>
      <c r="M307" s="20"/>
      <c r="N307" s="20"/>
      <c r="O307" s="20"/>
      <c r="P307" s="20"/>
      <c r="Q307" s="20"/>
      <c r="R307" s="20"/>
      <c r="S307" s="20"/>
      <c r="T307" s="20"/>
      <c r="U307" s="20"/>
      <c r="V307" s="20"/>
      <c r="W307" s="20"/>
      <c r="X307" s="20"/>
      <c r="Y307" s="20"/>
      <c r="Z307" s="21"/>
      <c r="AA307" s="22"/>
      <c r="AB307" s="22"/>
    </row>
    <row r="308" spans="1:28" ht="15.75" customHeight="1" x14ac:dyDescent="0.25">
      <c r="A308" s="42"/>
      <c r="B308" s="42"/>
      <c r="C308" s="43"/>
      <c r="D308" s="43"/>
      <c r="E308" s="42"/>
      <c r="F308" s="42"/>
      <c r="G308" s="44"/>
      <c r="H308" s="42"/>
      <c r="I308" s="42"/>
      <c r="J308" s="42"/>
      <c r="K308" s="42"/>
      <c r="L308" s="20"/>
      <c r="M308" s="20"/>
      <c r="N308" s="20"/>
      <c r="O308" s="20"/>
      <c r="P308" s="20"/>
      <c r="Q308" s="20"/>
      <c r="R308" s="20"/>
      <c r="S308" s="20"/>
      <c r="T308" s="20"/>
      <c r="U308" s="20"/>
      <c r="V308" s="20"/>
      <c r="W308" s="20"/>
      <c r="X308" s="20"/>
      <c r="Y308" s="20"/>
      <c r="Z308" s="21"/>
      <c r="AA308" s="22"/>
      <c r="AB308" s="22"/>
    </row>
    <row r="309" spans="1:28" ht="15.75" customHeight="1" x14ac:dyDescent="0.25">
      <c r="A309" s="45"/>
      <c r="B309" s="45"/>
      <c r="C309" s="46"/>
      <c r="D309" s="46"/>
      <c r="E309" s="45"/>
      <c r="F309" s="45"/>
      <c r="G309" s="47"/>
      <c r="H309" s="45"/>
      <c r="I309" s="45"/>
      <c r="J309" s="45"/>
      <c r="K309" s="45"/>
      <c r="L309" s="20"/>
      <c r="M309" s="20"/>
      <c r="N309" s="20"/>
      <c r="O309" s="20"/>
      <c r="P309" s="20"/>
      <c r="Q309" s="20"/>
      <c r="R309" s="20"/>
      <c r="S309" s="20"/>
      <c r="T309" s="20"/>
      <c r="U309" s="20"/>
      <c r="V309" s="20"/>
      <c r="W309" s="20"/>
      <c r="X309" s="20"/>
      <c r="Y309" s="20"/>
      <c r="Z309" s="21"/>
      <c r="AA309" s="22"/>
      <c r="AB309" s="23"/>
    </row>
    <row r="310" spans="1:28" ht="15.75" customHeight="1" x14ac:dyDescent="0.25">
      <c r="A310" s="45"/>
      <c r="B310" s="45"/>
      <c r="C310" s="46"/>
      <c r="D310" s="46"/>
      <c r="E310" s="45"/>
      <c r="F310" s="45"/>
      <c r="G310" s="47"/>
      <c r="H310" s="45"/>
      <c r="I310" s="45"/>
      <c r="J310" s="45"/>
      <c r="K310" s="45"/>
      <c r="L310" s="20"/>
      <c r="M310" s="20"/>
      <c r="N310" s="20"/>
      <c r="O310" s="20"/>
      <c r="P310" s="20"/>
      <c r="Q310" s="20"/>
      <c r="R310" s="20"/>
      <c r="S310" s="20"/>
      <c r="T310" s="20"/>
      <c r="U310" s="20"/>
      <c r="V310" s="20"/>
      <c r="W310" s="20"/>
      <c r="X310" s="20"/>
      <c r="Y310" s="20"/>
      <c r="Z310" s="21"/>
      <c r="AA310" s="22"/>
      <c r="AB310" s="23"/>
    </row>
    <row r="311" spans="1:28" ht="15.75" customHeight="1" x14ac:dyDescent="0.25">
      <c r="A311" s="45"/>
      <c r="B311" s="45"/>
      <c r="C311" s="46"/>
      <c r="D311" s="46"/>
      <c r="E311" s="45"/>
      <c r="F311" s="45"/>
      <c r="G311" s="47"/>
      <c r="H311" s="45"/>
      <c r="I311" s="45"/>
      <c r="J311" s="45"/>
      <c r="K311" s="45"/>
      <c r="L311" s="20"/>
      <c r="M311" s="20"/>
      <c r="N311" s="20"/>
      <c r="O311" s="20"/>
      <c r="P311" s="20"/>
      <c r="Q311" s="20"/>
      <c r="R311" s="20"/>
      <c r="S311" s="20"/>
      <c r="T311" s="20"/>
      <c r="U311" s="20"/>
      <c r="V311" s="20"/>
      <c r="W311" s="20"/>
      <c r="X311" s="20"/>
      <c r="Y311" s="20"/>
      <c r="Z311" s="21"/>
      <c r="AA311" s="22"/>
      <c r="AB311" s="23"/>
    </row>
    <row r="312" spans="1:28" ht="15.75" customHeight="1" x14ac:dyDescent="0.25">
      <c r="A312" s="45"/>
      <c r="B312" s="45"/>
      <c r="C312" s="46"/>
      <c r="D312" s="46"/>
      <c r="E312" s="45"/>
      <c r="F312" s="45"/>
      <c r="G312" s="47"/>
      <c r="H312" s="45"/>
      <c r="I312" s="45"/>
      <c r="J312" s="45"/>
      <c r="K312" s="45"/>
      <c r="L312" s="20"/>
      <c r="M312" s="20"/>
      <c r="N312" s="20"/>
      <c r="O312" s="20"/>
      <c r="P312" s="20"/>
      <c r="Q312" s="20"/>
      <c r="R312" s="20"/>
      <c r="S312" s="20"/>
      <c r="T312" s="20"/>
      <c r="U312" s="20"/>
      <c r="V312" s="20"/>
      <c r="W312" s="20"/>
      <c r="X312" s="20"/>
      <c r="Y312" s="20"/>
      <c r="Z312" s="21"/>
      <c r="AA312" s="22"/>
      <c r="AB312" s="23"/>
    </row>
    <row r="313" spans="1:28" ht="15.75" customHeight="1" x14ac:dyDescent="0.25">
      <c r="A313" s="45"/>
      <c r="B313" s="45"/>
      <c r="C313" s="46"/>
      <c r="D313" s="46"/>
      <c r="E313" s="45"/>
      <c r="F313" s="45"/>
      <c r="G313" s="47"/>
      <c r="H313" s="45"/>
      <c r="I313" s="45"/>
      <c r="J313" s="45"/>
      <c r="K313" s="45"/>
      <c r="L313" s="20"/>
      <c r="M313" s="20"/>
      <c r="N313" s="20"/>
      <c r="O313" s="20"/>
      <c r="P313" s="20"/>
      <c r="Q313" s="20"/>
      <c r="R313" s="20"/>
      <c r="S313" s="20"/>
      <c r="T313" s="20"/>
      <c r="U313" s="20"/>
      <c r="V313" s="20"/>
      <c r="W313" s="20"/>
      <c r="X313" s="20"/>
      <c r="Y313" s="20"/>
      <c r="Z313" s="21"/>
      <c r="AA313" s="22"/>
      <c r="AB313" s="23"/>
    </row>
    <row r="314" spans="1:28" ht="15.75" customHeight="1" x14ac:dyDescent="0.25">
      <c r="A314" s="45"/>
      <c r="B314" s="45"/>
      <c r="C314" s="46"/>
      <c r="D314" s="46"/>
      <c r="E314" s="45"/>
      <c r="F314" s="45"/>
      <c r="G314" s="47"/>
      <c r="H314" s="45"/>
      <c r="I314" s="45"/>
      <c r="J314" s="45"/>
      <c r="K314" s="45"/>
      <c r="L314" s="20"/>
      <c r="M314" s="20"/>
      <c r="N314" s="20"/>
      <c r="O314" s="20"/>
      <c r="P314" s="20"/>
      <c r="Q314" s="20"/>
      <c r="R314" s="20"/>
      <c r="S314" s="20"/>
      <c r="T314" s="20"/>
      <c r="U314" s="20"/>
      <c r="V314" s="20"/>
      <c r="W314" s="20"/>
      <c r="X314" s="20"/>
      <c r="Y314" s="20"/>
      <c r="Z314" s="21"/>
      <c r="AA314" s="22"/>
      <c r="AB314" s="23"/>
    </row>
    <row r="315" spans="1:28" ht="15.75" customHeight="1" x14ac:dyDescent="0.25">
      <c r="A315" s="45"/>
      <c r="B315" s="45"/>
      <c r="C315" s="46"/>
      <c r="D315" s="46"/>
      <c r="E315" s="45"/>
      <c r="F315" s="45"/>
      <c r="G315" s="47"/>
      <c r="H315" s="45"/>
      <c r="I315" s="45"/>
      <c r="J315" s="45"/>
      <c r="K315" s="45"/>
      <c r="L315" s="20"/>
      <c r="M315" s="20"/>
      <c r="N315" s="20"/>
      <c r="O315" s="20"/>
      <c r="P315" s="20"/>
      <c r="Q315" s="20"/>
      <c r="R315" s="20"/>
      <c r="S315" s="20"/>
      <c r="T315" s="20"/>
      <c r="U315" s="20"/>
      <c r="V315" s="20"/>
      <c r="W315" s="20"/>
      <c r="X315" s="20"/>
      <c r="Y315" s="20"/>
      <c r="Z315" s="21"/>
      <c r="AA315" s="22"/>
      <c r="AB315" s="23"/>
    </row>
    <row r="316" spans="1:28" ht="15.75" customHeight="1" x14ac:dyDescent="0.25">
      <c r="A316" s="45"/>
      <c r="B316" s="45"/>
      <c r="C316" s="46"/>
      <c r="D316" s="46"/>
      <c r="E316" s="45"/>
      <c r="F316" s="45"/>
      <c r="G316" s="47"/>
      <c r="H316" s="45"/>
      <c r="I316" s="45"/>
      <c r="J316" s="45"/>
      <c r="K316" s="45"/>
      <c r="L316" s="20"/>
      <c r="M316" s="20"/>
      <c r="N316" s="20"/>
      <c r="O316" s="20"/>
      <c r="P316" s="20"/>
      <c r="Q316" s="20"/>
      <c r="R316" s="20"/>
      <c r="S316" s="20"/>
      <c r="T316" s="20"/>
      <c r="U316" s="20"/>
      <c r="V316" s="20"/>
      <c r="W316" s="20"/>
      <c r="X316" s="20"/>
      <c r="Y316" s="20"/>
      <c r="Z316" s="21"/>
      <c r="AA316" s="22"/>
      <c r="AB316" s="23"/>
    </row>
    <row r="317" spans="1:28" ht="15.75" customHeight="1" x14ac:dyDescent="0.25">
      <c r="A317" s="45"/>
      <c r="B317" s="45"/>
      <c r="C317" s="46"/>
      <c r="D317" s="46"/>
      <c r="E317" s="45"/>
      <c r="F317" s="45"/>
      <c r="G317" s="47"/>
      <c r="H317" s="45"/>
      <c r="I317" s="45"/>
      <c r="J317" s="45"/>
      <c r="K317" s="45"/>
      <c r="L317" s="20"/>
      <c r="M317" s="20"/>
      <c r="N317" s="20"/>
      <c r="O317" s="20"/>
      <c r="P317" s="20"/>
      <c r="Q317" s="20"/>
      <c r="R317" s="20"/>
      <c r="S317" s="20"/>
      <c r="T317" s="20"/>
      <c r="U317" s="20"/>
      <c r="V317" s="20"/>
      <c r="W317" s="20"/>
      <c r="X317" s="20"/>
      <c r="Y317" s="20"/>
      <c r="Z317" s="21"/>
      <c r="AA317" s="22"/>
      <c r="AB317" s="23"/>
    </row>
    <row r="318" spans="1:28" ht="15.75" customHeight="1" x14ac:dyDescent="0.25">
      <c r="A318" s="45"/>
      <c r="B318" s="45"/>
      <c r="C318" s="46"/>
      <c r="D318" s="46"/>
      <c r="E318" s="45"/>
      <c r="F318" s="45"/>
      <c r="G318" s="47"/>
      <c r="H318" s="45"/>
      <c r="I318" s="45"/>
      <c r="J318" s="45"/>
      <c r="K318" s="45"/>
      <c r="L318" s="20"/>
      <c r="M318" s="20"/>
      <c r="N318" s="20"/>
      <c r="O318" s="20"/>
      <c r="P318" s="20"/>
      <c r="Q318" s="20"/>
      <c r="R318" s="20"/>
      <c r="S318" s="20"/>
      <c r="T318" s="20"/>
      <c r="U318" s="20"/>
      <c r="V318" s="20"/>
      <c r="W318" s="20"/>
      <c r="X318" s="20"/>
      <c r="Y318" s="20"/>
      <c r="Z318" s="21"/>
      <c r="AA318" s="22"/>
      <c r="AB318" s="23"/>
    </row>
    <row r="319" spans="1:28" ht="15.75" customHeight="1" x14ac:dyDescent="0.25">
      <c r="A319" s="45"/>
      <c r="B319" s="45"/>
      <c r="C319" s="46"/>
      <c r="D319" s="46"/>
      <c r="E319" s="45"/>
      <c r="F319" s="45"/>
      <c r="G319" s="47"/>
      <c r="H319" s="45"/>
      <c r="I319" s="45"/>
      <c r="J319" s="45"/>
      <c r="K319" s="45"/>
      <c r="L319" s="20"/>
      <c r="M319" s="20"/>
      <c r="N319" s="20"/>
      <c r="O319" s="20"/>
      <c r="P319" s="20"/>
      <c r="Q319" s="20"/>
      <c r="R319" s="20"/>
      <c r="S319" s="20"/>
      <c r="T319" s="20"/>
      <c r="U319" s="20"/>
      <c r="V319" s="20"/>
      <c r="W319" s="20"/>
      <c r="X319" s="20"/>
      <c r="Y319" s="20"/>
      <c r="Z319" s="21"/>
      <c r="AA319" s="22"/>
      <c r="AB319" s="23"/>
    </row>
    <row r="320" spans="1:28" ht="15.75" customHeight="1" x14ac:dyDescent="0.25">
      <c r="A320" s="45"/>
      <c r="B320" s="45"/>
      <c r="C320" s="46"/>
      <c r="D320" s="46"/>
      <c r="E320" s="45"/>
      <c r="F320" s="45"/>
      <c r="G320" s="47"/>
      <c r="H320" s="45"/>
      <c r="I320" s="45"/>
      <c r="J320" s="45"/>
      <c r="K320" s="45"/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1"/>
      <c r="AA320" s="22"/>
      <c r="AB320" s="23"/>
    </row>
    <row r="321" spans="1:28" ht="15.75" customHeight="1" x14ac:dyDescent="0.25">
      <c r="A321" s="45"/>
      <c r="B321" s="45"/>
      <c r="C321" s="46"/>
      <c r="D321" s="46"/>
      <c r="E321" s="45"/>
      <c r="F321" s="45"/>
      <c r="G321" s="47"/>
      <c r="H321" s="45"/>
      <c r="I321" s="45"/>
      <c r="J321" s="45"/>
      <c r="K321" s="45"/>
      <c r="L321" s="20"/>
      <c r="M321" s="20"/>
      <c r="N321" s="20"/>
      <c r="O321" s="20"/>
      <c r="P321" s="20"/>
      <c r="Q321" s="20"/>
      <c r="R321" s="20"/>
      <c r="S321" s="20"/>
      <c r="T321" s="20"/>
      <c r="U321" s="20"/>
      <c r="V321" s="20"/>
      <c r="W321" s="20"/>
      <c r="X321" s="20"/>
      <c r="Y321" s="20"/>
      <c r="Z321" s="21"/>
      <c r="AA321" s="22"/>
      <c r="AB321" s="23"/>
    </row>
    <row r="322" spans="1:28" ht="15.75" customHeight="1" x14ac:dyDescent="0.25">
      <c r="A322" s="45"/>
      <c r="B322" s="45"/>
      <c r="C322" s="46"/>
      <c r="D322" s="46"/>
      <c r="E322" s="45"/>
      <c r="F322" s="45"/>
      <c r="G322" s="47"/>
      <c r="H322" s="45"/>
      <c r="I322" s="45"/>
      <c r="J322" s="45"/>
      <c r="K322" s="45"/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0"/>
      <c r="W322" s="20"/>
      <c r="X322" s="20"/>
      <c r="Y322" s="20"/>
      <c r="Z322" s="21"/>
      <c r="AA322" s="22"/>
      <c r="AB322" s="23"/>
    </row>
    <row r="323" spans="1:28" ht="15.75" customHeight="1" x14ac:dyDescent="0.25">
      <c r="A323" s="45"/>
      <c r="B323" s="45"/>
      <c r="C323" s="46"/>
      <c r="D323" s="46"/>
      <c r="E323" s="45"/>
      <c r="F323" s="45"/>
      <c r="G323" s="47"/>
      <c r="H323" s="45"/>
      <c r="I323" s="45"/>
      <c r="J323" s="45"/>
      <c r="K323" s="45"/>
      <c r="L323" s="20"/>
      <c r="M323" s="20"/>
      <c r="N323" s="20"/>
      <c r="O323" s="20"/>
      <c r="P323" s="20"/>
      <c r="Q323" s="20"/>
      <c r="R323" s="20"/>
      <c r="S323" s="20"/>
      <c r="T323" s="20"/>
      <c r="U323" s="20"/>
      <c r="V323" s="20"/>
      <c r="W323" s="20"/>
      <c r="X323" s="20"/>
      <c r="Y323" s="20"/>
      <c r="Z323" s="21"/>
      <c r="AA323" s="22"/>
      <c r="AB323" s="23"/>
    </row>
    <row r="324" spans="1:28" ht="15.75" customHeight="1" x14ac:dyDescent="0.25">
      <c r="A324" s="45"/>
      <c r="B324" s="45"/>
      <c r="C324" s="46"/>
      <c r="D324" s="46"/>
      <c r="E324" s="45"/>
      <c r="F324" s="45"/>
      <c r="G324" s="47"/>
      <c r="H324" s="45"/>
      <c r="I324" s="45"/>
      <c r="J324" s="45"/>
      <c r="K324" s="45"/>
      <c r="L324" s="20"/>
      <c r="M324" s="20"/>
      <c r="N324" s="20"/>
      <c r="O324" s="20"/>
      <c r="P324" s="20"/>
      <c r="Q324" s="20"/>
      <c r="R324" s="20"/>
      <c r="S324" s="20"/>
      <c r="T324" s="20"/>
      <c r="U324" s="20"/>
      <c r="V324" s="20"/>
      <c r="W324" s="20"/>
      <c r="X324" s="20"/>
      <c r="Y324" s="20"/>
      <c r="Z324" s="21"/>
      <c r="AA324" s="22"/>
      <c r="AB324" s="23"/>
    </row>
    <row r="325" spans="1:28" ht="15.75" customHeight="1" x14ac:dyDescent="0.25">
      <c r="A325" s="45"/>
      <c r="B325" s="45"/>
      <c r="C325" s="46"/>
      <c r="D325" s="46"/>
      <c r="E325" s="45"/>
      <c r="F325" s="45"/>
      <c r="G325" s="47"/>
      <c r="H325" s="45"/>
      <c r="I325" s="45"/>
      <c r="J325" s="45"/>
      <c r="K325" s="45"/>
      <c r="L325" s="20"/>
      <c r="M325" s="20"/>
      <c r="N325" s="20"/>
      <c r="O325" s="20"/>
      <c r="P325" s="20"/>
      <c r="Q325" s="20"/>
      <c r="R325" s="20"/>
      <c r="S325" s="20"/>
      <c r="T325" s="20"/>
      <c r="U325" s="20"/>
      <c r="V325" s="20"/>
      <c r="W325" s="20"/>
      <c r="X325" s="20"/>
      <c r="Y325" s="20"/>
      <c r="Z325" s="21"/>
      <c r="AA325" s="22"/>
      <c r="AB325" s="23"/>
    </row>
    <row r="326" spans="1:28" ht="15.75" customHeight="1" x14ac:dyDescent="0.25">
      <c r="A326" s="45"/>
      <c r="B326" s="45"/>
      <c r="C326" s="46"/>
      <c r="D326" s="46"/>
      <c r="E326" s="45"/>
      <c r="F326" s="45"/>
      <c r="G326" s="47"/>
      <c r="H326" s="45"/>
      <c r="I326" s="45"/>
      <c r="J326" s="45"/>
      <c r="K326" s="45"/>
      <c r="L326" s="20"/>
      <c r="M326" s="20"/>
      <c r="N326" s="20"/>
      <c r="O326" s="20"/>
      <c r="P326" s="20"/>
      <c r="Q326" s="20"/>
      <c r="R326" s="20"/>
      <c r="S326" s="20"/>
      <c r="T326" s="20"/>
      <c r="U326" s="20"/>
      <c r="V326" s="20"/>
      <c r="W326" s="20"/>
      <c r="X326" s="20"/>
      <c r="Y326" s="20"/>
      <c r="Z326" s="21"/>
      <c r="AA326" s="22"/>
      <c r="AB326" s="23"/>
    </row>
    <row r="327" spans="1:28" ht="15.75" customHeight="1" x14ac:dyDescent="0.25">
      <c r="A327" s="45"/>
      <c r="B327" s="45"/>
      <c r="C327" s="46"/>
      <c r="D327" s="46"/>
      <c r="E327" s="45"/>
      <c r="F327" s="45"/>
      <c r="G327" s="47"/>
      <c r="H327" s="45"/>
      <c r="I327" s="45"/>
      <c r="J327" s="45"/>
      <c r="K327" s="45"/>
      <c r="L327" s="20"/>
      <c r="M327" s="20"/>
      <c r="N327" s="20"/>
      <c r="O327" s="20"/>
      <c r="P327" s="20"/>
      <c r="Q327" s="20"/>
      <c r="R327" s="20"/>
      <c r="S327" s="20"/>
      <c r="T327" s="20"/>
      <c r="U327" s="20"/>
      <c r="V327" s="20"/>
      <c r="W327" s="20"/>
      <c r="X327" s="20"/>
      <c r="Y327" s="20"/>
      <c r="Z327" s="21"/>
      <c r="AA327" s="22"/>
      <c r="AB327" s="23"/>
    </row>
    <row r="328" spans="1:28" ht="15.75" customHeight="1" x14ac:dyDescent="0.25">
      <c r="A328" s="45"/>
      <c r="B328" s="45"/>
      <c r="C328" s="46"/>
      <c r="D328" s="46"/>
      <c r="E328" s="45"/>
      <c r="F328" s="45"/>
      <c r="G328" s="47"/>
      <c r="H328" s="45"/>
      <c r="I328" s="45"/>
      <c r="J328" s="45"/>
      <c r="K328" s="45"/>
      <c r="L328" s="20"/>
      <c r="M328" s="20"/>
      <c r="N328" s="20"/>
      <c r="O328" s="20"/>
      <c r="P328" s="20"/>
      <c r="Q328" s="20"/>
      <c r="R328" s="20"/>
      <c r="S328" s="20"/>
      <c r="T328" s="20"/>
      <c r="U328" s="20"/>
      <c r="V328" s="20"/>
      <c r="W328" s="20"/>
      <c r="X328" s="20"/>
      <c r="Y328" s="20"/>
      <c r="Z328" s="21"/>
      <c r="AA328" s="22"/>
      <c r="AB328" s="23"/>
    </row>
    <row r="329" spans="1:28" ht="15.75" customHeight="1" x14ac:dyDescent="0.25">
      <c r="A329" s="45"/>
      <c r="B329" s="45"/>
      <c r="C329" s="46"/>
      <c r="D329" s="46"/>
      <c r="E329" s="45"/>
      <c r="F329" s="45"/>
      <c r="G329" s="47"/>
      <c r="H329" s="45"/>
      <c r="I329" s="45"/>
      <c r="J329" s="45"/>
      <c r="K329" s="45"/>
      <c r="L329" s="20"/>
      <c r="M329" s="20"/>
      <c r="N329" s="20"/>
      <c r="O329" s="20"/>
      <c r="P329" s="20"/>
      <c r="Q329" s="20"/>
      <c r="R329" s="20"/>
      <c r="S329" s="20"/>
      <c r="T329" s="20"/>
      <c r="U329" s="20"/>
      <c r="V329" s="20"/>
      <c r="W329" s="20"/>
      <c r="X329" s="20"/>
      <c r="Y329" s="20"/>
      <c r="Z329" s="21"/>
      <c r="AA329" s="22"/>
      <c r="AB329" s="23"/>
    </row>
    <row r="330" spans="1:28" ht="15.75" customHeight="1" x14ac:dyDescent="0.25">
      <c r="A330" s="45"/>
      <c r="B330" s="45"/>
      <c r="C330" s="46"/>
      <c r="D330" s="46"/>
      <c r="E330" s="45"/>
      <c r="F330" s="45"/>
      <c r="G330" s="47"/>
      <c r="H330" s="45"/>
      <c r="I330" s="45"/>
      <c r="J330" s="45"/>
      <c r="K330" s="45"/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0"/>
      <c r="W330" s="20"/>
      <c r="X330" s="20"/>
      <c r="Y330" s="20"/>
      <c r="Z330" s="21"/>
      <c r="AA330" s="22"/>
      <c r="AB330" s="23"/>
    </row>
    <row r="331" spans="1:28" ht="15.75" customHeight="1" x14ac:dyDescent="0.25">
      <c r="A331" s="45"/>
      <c r="B331" s="45"/>
      <c r="C331" s="46"/>
      <c r="D331" s="46"/>
      <c r="E331" s="45"/>
      <c r="F331" s="45"/>
      <c r="G331" s="47"/>
      <c r="H331" s="45"/>
      <c r="I331" s="45"/>
      <c r="J331" s="45"/>
      <c r="K331" s="45"/>
      <c r="L331" s="20"/>
      <c r="M331" s="20"/>
      <c r="N331" s="20"/>
      <c r="O331" s="20"/>
      <c r="P331" s="20"/>
      <c r="Q331" s="20"/>
      <c r="R331" s="20"/>
      <c r="S331" s="20"/>
      <c r="T331" s="20"/>
      <c r="U331" s="20"/>
      <c r="V331" s="20"/>
      <c r="W331" s="20"/>
      <c r="X331" s="20"/>
      <c r="Y331" s="20"/>
      <c r="Z331" s="21"/>
      <c r="AA331" s="22"/>
      <c r="AB331" s="23"/>
    </row>
    <row r="332" spans="1:28" ht="15.75" customHeight="1" x14ac:dyDescent="0.25">
      <c r="A332" s="45"/>
      <c r="B332" s="45"/>
      <c r="C332" s="46"/>
      <c r="D332" s="46"/>
      <c r="E332" s="45"/>
      <c r="F332" s="45"/>
      <c r="G332" s="47"/>
      <c r="H332" s="45"/>
      <c r="I332" s="45"/>
      <c r="J332" s="45"/>
      <c r="K332" s="45"/>
      <c r="L332" s="20"/>
      <c r="M332" s="20"/>
      <c r="N332" s="20"/>
      <c r="O332" s="20"/>
      <c r="P332" s="20"/>
      <c r="Q332" s="20"/>
      <c r="R332" s="20"/>
      <c r="S332" s="20"/>
      <c r="T332" s="20"/>
      <c r="U332" s="20"/>
      <c r="V332" s="20"/>
      <c r="W332" s="20"/>
      <c r="X332" s="20"/>
      <c r="Y332" s="20"/>
      <c r="Z332" s="21"/>
      <c r="AA332" s="22"/>
      <c r="AB332" s="23"/>
    </row>
    <row r="333" spans="1:28" ht="15.75" customHeight="1" x14ac:dyDescent="0.25">
      <c r="A333" s="45"/>
      <c r="B333" s="45"/>
      <c r="C333" s="46"/>
      <c r="D333" s="46"/>
      <c r="E333" s="45"/>
      <c r="F333" s="45"/>
      <c r="G333" s="47"/>
      <c r="H333" s="45"/>
      <c r="I333" s="45"/>
      <c r="J333" s="45"/>
      <c r="K333" s="45"/>
      <c r="L333" s="20"/>
      <c r="M333" s="20"/>
      <c r="N333" s="20"/>
      <c r="O333" s="20"/>
      <c r="P333" s="20"/>
      <c r="Q333" s="20"/>
      <c r="R333" s="20"/>
      <c r="S333" s="20"/>
      <c r="T333" s="20"/>
      <c r="U333" s="20"/>
      <c r="V333" s="20"/>
      <c r="W333" s="20"/>
      <c r="X333" s="20"/>
      <c r="Y333" s="20"/>
      <c r="Z333" s="21"/>
      <c r="AA333" s="22"/>
      <c r="AB333" s="23"/>
    </row>
    <row r="334" spans="1:28" ht="15.75" customHeight="1" x14ac:dyDescent="0.25">
      <c r="A334" s="45"/>
      <c r="B334" s="45"/>
      <c r="C334" s="46"/>
      <c r="D334" s="46"/>
      <c r="E334" s="45"/>
      <c r="F334" s="45"/>
      <c r="G334" s="47"/>
      <c r="H334" s="45"/>
      <c r="I334" s="45"/>
      <c r="J334" s="45"/>
      <c r="K334" s="45"/>
      <c r="L334" s="20"/>
      <c r="M334" s="20"/>
      <c r="N334" s="20"/>
      <c r="O334" s="20"/>
      <c r="P334" s="20"/>
      <c r="Q334" s="20"/>
      <c r="R334" s="20"/>
      <c r="S334" s="20"/>
      <c r="T334" s="20"/>
      <c r="U334" s="20"/>
      <c r="V334" s="20"/>
      <c r="W334" s="20"/>
      <c r="X334" s="20"/>
      <c r="Y334" s="20"/>
      <c r="Z334" s="21"/>
      <c r="AA334" s="22"/>
      <c r="AB334" s="23"/>
    </row>
    <row r="335" spans="1:28" ht="15.75" customHeight="1" x14ac:dyDescent="0.25">
      <c r="A335" s="45"/>
      <c r="B335" s="45"/>
      <c r="C335" s="46"/>
      <c r="D335" s="46"/>
      <c r="E335" s="45"/>
      <c r="F335" s="45"/>
      <c r="G335" s="47"/>
      <c r="H335" s="45"/>
      <c r="I335" s="45"/>
      <c r="J335" s="45"/>
      <c r="K335" s="45"/>
      <c r="L335" s="20"/>
      <c r="M335" s="20"/>
      <c r="N335" s="20"/>
      <c r="O335" s="20"/>
      <c r="P335" s="20"/>
      <c r="Q335" s="20"/>
      <c r="R335" s="20"/>
      <c r="S335" s="20"/>
      <c r="T335" s="20"/>
      <c r="U335" s="20"/>
      <c r="V335" s="20"/>
      <c r="W335" s="20"/>
      <c r="X335" s="20"/>
      <c r="Y335" s="20"/>
      <c r="Z335" s="21"/>
      <c r="AA335" s="22"/>
      <c r="AB335" s="23"/>
    </row>
    <row r="336" spans="1:28" ht="15.75" customHeight="1" x14ac:dyDescent="0.25">
      <c r="A336" s="45"/>
      <c r="B336" s="45"/>
      <c r="C336" s="46"/>
      <c r="D336" s="46"/>
      <c r="E336" s="45"/>
      <c r="F336" s="45"/>
      <c r="G336" s="47"/>
      <c r="H336" s="45"/>
      <c r="I336" s="45"/>
      <c r="J336" s="45"/>
      <c r="K336" s="45"/>
      <c r="L336" s="20"/>
      <c r="M336" s="20"/>
      <c r="N336" s="20"/>
      <c r="O336" s="20"/>
      <c r="P336" s="20"/>
      <c r="Q336" s="20"/>
      <c r="R336" s="20"/>
      <c r="S336" s="20"/>
      <c r="T336" s="20"/>
      <c r="U336" s="20"/>
      <c r="V336" s="20"/>
      <c r="W336" s="20"/>
      <c r="X336" s="20"/>
      <c r="Y336" s="20"/>
      <c r="Z336" s="21"/>
      <c r="AA336" s="22"/>
      <c r="AB336" s="23"/>
    </row>
    <row r="337" spans="1:28" ht="15.75" customHeight="1" x14ac:dyDescent="0.25">
      <c r="A337" s="45"/>
      <c r="B337" s="45"/>
      <c r="C337" s="46"/>
      <c r="D337" s="46"/>
      <c r="E337" s="45"/>
      <c r="F337" s="45"/>
      <c r="G337" s="47"/>
      <c r="H337" s="45"/>
      <c r="I337" s="45"/>
      <c r="J337" s="45"/>
      <c r="K337" s="45"/>
      <c r="L337" s="20"/>
      <c r="M337" s="20"/>
      <c r="N337" s="20"/>
      <c r="O337" s="20"/>
      <c r="P337" s="20"/>
      <c r="Q337" s="20"/>
      <c r="R337" s="20"/>
      <c r="S337" s="20"/>
      <c r="T337" s="20"/>
      <c r="U337" s="20"/>
      <c r="V337" s="20"/>
      <c r="W337" s="20"/>
      <c r="X337" s="20"/>
      <c r="Y337" s="20"/>
      <c r="Z337" s="21"/>
      <c r="AA337" s="22"/>
      <c r="AB337" s="23"/>
    </row>
    <row r="338" spans="1:28" ht="15.75" customHeight="1" x14ac:dyDescent="0.25">
      <c r="A338" s="45"/>
      <c r="B338" s="45"/>
      <c r="C338" s="46"/>
      <c r="D338" s="46"/>
      <c r="E338" s="45"/>
      <c r="F338" s="45"/>
      <c r="G338" s="47"/>
      <c r="H338" s="45"/>
      <c r="I338" s="45"/>
      <c r="J338" s="45"/>
      <c r="K338" s="45"/>
      <c r="L338" s="20"/>
      <c r="M338" s="20"/>
      <c r="N338" s="20"/>
      <c r="O338" s="20"/>
      <c r="P338" s="20"/>
      <c r="Q338" s="20"/>
      <c r="R338" s="20"/>
      <c r="S338" s="20"/>
      <c r="T338" s="20"/>
      <c r="U338" s="20"/>
      <c r="V338" s="20"/>
      <c r="W338" s="20"/>
      <c r="X338" s="20"/>
      <c r="Y338" s="20"/>
      <c r="Z338" s="21"/>
      <c r="AA338" s="22"/>
      <c r="AB338" s="23"/>
    </row>
    <row r="339" spans="1:28" ht="15.75" customHeight="1" x14ac:dyDescent="0.25">
      <c r="A339" s="45"/>
      <c r="B339" s="45"/>
      <c r="C339" s="46"/>
      <c r="D339" s="46"/>
      <c r="E339" s="45"/>
      <c r="F339" s="45"/>
      <c r="G339" s="47"/>
      <c r="H339" s="45"/>
      <c r="I339" s="45"/>
      <c r="J339" s="45"/>
      <c r="K339" s="45"/>
      <c r="L339" s="20"/>
      <c r="M339" s="20"/>
      <c r="N339" s="20"/>
      <c r="O339" s="20"/>
      <c r="P339" s="20"/>
      <c r="Q339" s="20"/>
      <c r="R339" s="20"/>
      <c r="S339" s="20"/>
      <c r="T339" s="20"/>
      <c r="U339" s="20"/>
      <c r="V339" s="20"/>
      <c r="W339" s="20"/>
      <c r="X339" s="20"/>
      <c r="Y339" s="20"/>
      <c r="Z339" s="21"/>
      <c r="AA339" s="22"/>
      <c r="AB339" s="23"/>
    </row>
    <row r="340" spans="1:28" ht="15.75" customHeight="1" x14ac:dyDescent="0.25">
      <c r="A340" s="45"/>
      <c r="B340" s="45"/>
      <c r="C340" s="46"/>
      <c r="D340" s="46"/>
      <c r="E340" s="45"/>
      <c r="F340" s="45"/>
      <c r="G340" s="47"/>
      <c r="H340" s="45"/>
      <c r="I340" s="45"/>
      <c r="J340" s="45"/>
      <c r="K340" s="45"/>
      <c r="L340" s="20"/>
      <c r="M340" s="20"/>
      <c r="N340" s="20"/>
      <c r="O340" s="20"/>
      <c r="P340" s="20"/>
      <c r="Q340" s="20"/>
      <c r="R340" s="20"/>
      <c r="S340" s="20"/>
      <c r="T340" s="20"/>
      <c r="U340" s="20"/>
      <c r="V340" s="20"/>
      <c r="W340" s="20"/>
      <c r="X340" s="20"/>
      <c r="Y340" s="20"/>
      <c r="Z340" s="21"/>
      <c r="AA340" s="22"/>
      <c r="AB340" s="23"/>
    </row>
    <row r="341" spans="1:28" ht="15.75" customHeight="1" x14ac:dyDescent="0.25">
      <c r="A341" s="45"/>
      <c r="B341" s="45"/>
      <c r="C341" s="46"/>
      <c r="D341" s="46"/>
      <c r="E341" s="45"/>
      <c r="F341" s="45"/>
      <c r="G341" s="47"/>
      <c r="H341" s="45"/>
      <c r="I341" s="45"/>
      <c r="J341" s="45"/>
      <c r="K341" s="45"/>
      <c r="L341" s="20"/>
      <c r="M341" s="20"/>
      <c r="N341" s="20"/>
      <c r="O341" s="20"/>
      <c r="P341" s="20"/>
      <c r="Q341" s="20"/>
      <c r="R341" s="20"/>
      <c r="S341" s="20"/>
      <c r="T341" s="20"/>
      <c r="U341" s="20"/>
      <c r="V341" s="20"/>
      <c r="W341" s="20"/>
      <c r="X341" s="20"/>
      <c r="Y341" s="20"/>
      <c r="Z341" s="21"/>
      <c r="AA341" s="22"/>
      <c r="AB341" s="23"/>
    </row>
    <row r="342" spans="1:28" ht="15.75" customHeight="1" x14ac:dyDescent="0.25">
      <c r="A342" s="45"/>
      <c r="B342" s="45"/>
      <c r="C342" s="46"/>
      <c r="D342" s="46"/>
      <c r="E342" s="45"/>
      <c r="F342" s="45"/>
      <c r="G342" s="47"/>
      <c r="H342" s="45"/>
      <c r="I342" s="45"/>
      <c r="J342" s="45"/>
      <c r="K342" s="45"/>
      <c r="L342" s="20"/>
      <c r="M342" s="20"/>
      <c r="N342" s="20"/>
      <c r="O342" s="20"/>
      <c r="P342" s="20"/>
      <c r="Q342" s="20"/>
      <c r="R342" s="20"/>
      <c r="S342" s="20"/>
      <c r="T342" s="20"/>
      <c r="U342" s="20"/>
      <c r="V342" s="20"/>
      <c r="W342" s="20"/>
      <c r="X342" s="20"/>
      <c r="Y342" s="20"/>
      <c r="Z342" s="21"/>
      <c r="AA342" s="22"/>
      <c r="AB342" s="23"/>
    </row>
    <row r="343" spans="1:28" ht="15.75" customHeight="1" x14ac:dyDescent="0.25">
      <c r="A343" s="45"/>
      <c r="B343" s="45"/>
      <c r="C343" s="46"/>
      <c r="D343" s="46"/>
      <c r="E343" s="45"/>
      <c r="F343" s="45"/>
      <c r="G343" s="47"/>
      <c r="H343" s="45"/>
      <c r="I343" s="45"/>
      <c r="J343" s="45"/>
      <c r="K343" s="45"/>
      <c r="L343" s="20"/>
      <c r="M343" s="20"/>
      <c r="N343" s="20"/>
      <c r="O343" s="20"/>
      <c r="P343" s="20"/>
      <c r="Q343" s="20"/>
      <c r="R343" s="20"/>
      <c r="S343" s="20"/>
      <c r="T343" s="20"/>
      <c r="U343" s="20"/>
      <c r="V343" s="20"/>
      <c r="W343" s="20"/>
      <c r="X343" s="20"/>
      <c r="Y343" s="20"/>
      <c r="Z343" s="21"/>
      <c r="AA343" s="22"/>
      <c r="AB343" s="23"/>
    </row>
    <row r="344" spans="1:28" ht="15.75" customHeight="1" x14ac:dyDescent="0.25">
      <c r="A344" s="45"/>
      <c r="B344" s="45"/>
      <c r="C344" s="46"/>
      <c r="D344" s="46"/>
      <c r="E344" s="45"/>
      <c r="F344" s="45"/>
      <c r="G344" s="47"/>
      <c r="H344" s="45"/>
      <c r="I344" s="45"/>
      <c r="J344" s="45"/>
      <c r="K344" s="45"/>
      <c r="L344" s="20"/>
      <c r="M344" s="20"/>
      <c r="N344" s="20"/>
      <c r="O344" s="20"/>
      <c r="P344" s="20"/>
      <c r="Q344" s="20"/>
      <c r="R344" s="20"/>
      <c r="S344" s="20"/>
      <c r="T344" s="20"/>
      <c r="U344" s="20"/>
      <c r="V344" s="20"/>
      <c r="W344" s="20"/>
      <c r="X344" s="20"/>
      <c r="Y344" s="20"/>
      <c r="Z344" s="21"/>
      <c r="AA344" s="22"/>
      <c r="AB344" s="23"/>
    </row>
    <row r="345" spans="1:28" ht="15.75" customHeight="1" x14ac:dyDescent="0.25">
      <c r="A345" s="45"/>
      <c r="B345" s="45"/>
      <c r="C345" s="46"/>
      <c r="D345" s="46"/>
      <c r="E345" s="45"/>
      <c r="F345" s="45"/>
      <c r="G345" s="47"/>
      <c r="H345" s="45"/>
      <c r="I345" s="45"/>
      <c r="J345" s="45"/>
      <c r="K345" s="45"/>
      <c r="L345" s="20"/>
      <c r="M345" s="20"/>
      <c r="N345" s="20"/>
      <c r="O345" s="20"/>
      <c r="P345" s="20"/>
      <c r="Q345" s="20"/>
      <c r="R345" s="20"/>
      <c r="S345" s="20"/>
      <c r="T345" s="20"/>
      <c r="U345" s="20"/>
      <c r="V345" s="20"/>
      <c r="W345" s="20"/>
      <c r="X345" s="20"/>
      <c r="Y345" s="20"/>
      <c r="Z345" s="21"/>
      <c r="AA345" s="22"/>
      <c r="AB345" s="23"/>
    </row>
    <row r="346" spans="1:28" ht="15.75" customHeight="1" x14ac:dyDescent="0.25">
      <c r="A346" s="45"/>
      <c r="B346" s="45"/>
      <c r="C346" s="46"/>
      <c r="D346" s="46"/>
      <c r="E346" s="45"/>
      <c r="F346" s="45"/>
      <c r="G346" s="47"/>
      <c r="H346" s="45"/>
      <c r="I346" s="45"/>
      <c r="J346" s="45"/>
      <c r="K346" s="45"/>
      <c r="L346" s="20"/>
      <c r="M346" s="20"/>
      <c r="N346" s="20"/>
      <c r="O346" s="20"/>
      <c r="P346" s="20"/>
      <c r="Q346" s="20"/>
      <c r="R346" s="20"/>
      <c r="S346" s="20"/>
      <c r="T346" s="20"/>
      <c r="U346" s="20"/>
      <c r="V346" s="20"/>
      <c r="W346" s="20"/>
      <c r="X346" s="20"/>
      <c r="Y346" s="20"/>
      <c r="Z346" s="21"/>
      <c r="AA346" s="22"/>
      <c r="AB346" s="23"/>
    </row>
    <row r="347" spans="1:28" ht="15.75" customHeight="1" x14ac:dyDescent="0.25">
      <c r="A347" s="45"/>
      <c r="B347" s="45"/>
      <c r="C347" s="46"/>
      <c r="D347" s="46"/>
      <c r="E347" s="45"/>
      <c r="F347" s="45"/>
      <c r="G347" s="47"/>
      <c r="H347" s="45"/>
      <c r="I347" s="45"/>
      <c r="J347" s="45"/>
      <c r="K347" s="45"/>
      <c r="L347" s="20"/>
      <c r="M347" s="20"/>
      <c r="N347" s="20"/>
      <c r="O347" s="20"/>
      <c r="P347" s="20"/>
      <c r="Q347" s="20"/>
      <c r="R347" s="20"/>
      <c r="S347" s="20"/>
      <c r="T347" s="20"/>
      <c r="U347" s="20"/>
      <c r="V347" s="20"/>
      <c r="W347" s="20"/>
      <c r="X347" s="20"/>
      <c r="Y347" s="20"/>
      <c r="Z347" s="21"/>
      <c r="AA347" s="22"/>
      <c r="AB347" s="23"/>
    </row>
    <row r="348" spans="1:28" ht="15.75" customHeight="1" x14ac:dyDescent="0.25">
      <c r="A348" s="45"/>
      <c r="B348" s="45"/>
      <c r="C348" s="46"/>
      <c r="D348" s="46"/>
      <c r="E348" s="45"/>
      <c r="F348" s="45"/>
      <c r="G348" s="47"/>
      <c r="H348" s="45"/>
      <c r="I348" s="45"/>
      <c r="J348" s="45"/>
      <c r="K348" s="45"/>
      <c r="L348" s="20"/>
      <c r="M348" s="20"/>
      <c r="N348" s="20"/>
      <c r="O348" s="20"/>
      <c r="P348" s="20"/>
      <c r="Q348" s="20"/>
      <c r="R348" s="20"/>
      <c r="S348" s="20"/>
      <c r="T348" s="20"/>
      <c r="U348" s="20"/>
      <c r="V348" s="20"/>
      <c r="W348" s="20"/>
      <c r="X348" s="20"/>
      <c r="Y348" s="20"/>
      <c r="Z348" s="21"/>
      <c r="AA348" s="22"/>
      <c r="AB348" s="23"/>
    </row>
    <row r="349" spans="1:28" ht="15.75" customHeight="1" x14ac:dyDescent="0.25">
      <c r="A349" s="45"/>
      <c r="B349" s="45"/>
      <c r="C349" s="46"/>
      <c r="D349" s="46"/>
      <c r="E349" s="45"/>
      <c r="F349" s="45"/>
      <c r="G349" s="47"/>
      <c r="H349" s="45"/>
      <c r="I349" s="45"/>
      <c r="J349" s="45"/>
      <c r="K349" s="45"/>
      <c r="L349" s="20"/>
      <c r="M349" s="20"/>
      <c r="N349" s="20"/>
      <c r="O349" s="20"/>
      <c r="P349" s="20"/>
      <c r="Q349" s="20"/>
      <c r="R349" s="20"/>
      <c r="S349" s="20"/>
      <c r="T349" s="20"/>
      <c r="U349" s="20"/>
      <c r="V349" s="20"/>
      <c r="W349" s="20"/>
      <c r="X349" s="20"/>
      <c r="Y349" s="20"/>
      <c r="Z349" s="21"/>
      <c r="AA349" s="22"/>
      <c r="AB349" s="23"/>
    </row>
    <row r="350" spans="1:28" ht="15.75" customHeight="1" x14ac:dyDescent="0.25">
      <c r="A350" s="45"/>
      <c r="B350" s="45"/>
      <c r="C350" s="46"/>
      <c r="D350" s="46"/>
      <c r="E350" s="45"/>
      <c r="F350" s="45"/>
      <c r="G350" s="47"/>
      <c r="H350" s="45"/>
      <c r="I350" s="45"/>
      <c r="J350" s="45"/>
      <c r="K350" s="45"/>
      <c r="L350" s="20"/>
      <c r="M350" s="20"/>
      <c r="N350" s="20"/>
      <c r="O350" s="20"/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1"/>
      <c r="AA350" s="22"/>
      <c r="AB350" s="23"/>
    </row>
    <row r="351" spans="1:28" ht="15.75" customHeight="1" x14ac:dyDescent="0.25">
      <c r="A351" s="45"/>
      <c r="B351" s="45"/>
      <c r="C351" s="46"/>
      <c r="D351" s="46"/>
      <c r="E351" s="45"/>
      <c r="F351" s="45"/>
      <c r="G351" s="47"/>
      <c r="H351" s="45"/>
      <c r="I351" s="45"/>
      <c r="J351" s="45"/>
      <c r="K351" s="45"/>
      <c r="L351" s="20"/>
      <c r="M351" s="20"/>
      <c r="N351" s="20"/>
      <c r="O351" s="20"/>
      <c r="P351" s="20"/>
      <c r="Q351" s="20"/>
      <c r="R351" s="20"/>
      <c r="S351" s="20"/>
      <c r="T351" s="20"/>
      <c r="U351" s="20"/>
      <c r="V351" s="20"/>
      <c r="W351" s="20"/>
      <c r="X351" s="20"/>
      <c r="Y351" s="20"/>
      <c r="Z351" s="21"/>
      <c r="AA351" s="22"/>
      <c r="AB351" s="23"/>
    </row>
    <row r="352" spans="1:28" ht="15.75" customHeight="1" x14ac:dyDescent="0.25">
      <c r="A352" s="45"/>
      <c r="B352" s="45"/>
      <c r="C352" s="46"/>
      <c r="D352" s="46"/>
      <c r="E352" s="45"/>
      <c r="F352" s="45"/>
      <c r="G352" s="47"/>
      <c r="H352" s="45"/>
      <c r="I352" s="45"/>
      <c r="J352" s="45"/>
      <c r="K352" s="45"/>
      <c r="L352" s="20"/>
      <c r="M352" s="20"/>
      <c r="N352" s="20"/>
      <c r="O352" s="20"/>
      <c r="P352" s="20"/>
      <c r="Q352" s="20"/>
      <c r="R352" s="20"/>
      <c r="S352" s="20"/>
      <c r="T352" s="20"/>
      <c r="U352" s="20"/>
      <c r="V352" s="20"/>
      <c r="W352" s="20"/>
      <c r="X352" s="20"/>
      <c r="Y352" s="20"/>
      <c r="Z352" s="21"/>
      <c r="AA352" s="22"/>
      <c r="AB352" s="23"/>
    </row>
    <row r="353" spans="1:28" ht="15.75" customHeight="1" x14ac:dyDescent="0.25">
      <c r="A353" s="45"/>
      <c r="B353" s="45"/>
      <c r="C353" s="46"/>
      <c r="D353" s="46"/>
      <c r="E353" s="45"/>
      <c r="F353" s="45"/>
      <c r="G353" s="47"/>
      <c r="H353" s="45"/>
      <c r="I353" s="45"/>
      <c r="J353" s="45"/>
      <c r="K353" s="45"/>
      <c r="L353" s="20"/>
      <c r="M353" s="20"/>
      <c r="N353" s="20"/>
      <c r="O353" s="20"/>
      <c r="P353" s="20"/>
      <c r="Q353" s="20"/>
      <c r="R353" s="20"/>
      <c r="S353" s="20"/>
      <c r="T353" s="20"/>
      <c r="U353" s="20"/>
      <c r="V353" s="20"/>
      <c r="W353" s="20"/>
      <c r="X353" s="20"/>
      <c r="Y353" s="20"/>
      <c r="Z353" s="21"/>
      <c r="AA353" s="22"/>
      <c r="AB353" s="23"/>
    </row>
    <row r="354" spans="1:28" ht="15.75" customHeight="1" x14ac:dyDescent="0.25">
      <c r="A354" s="45"/>
      <c r="B354" s="45"/>
      <c r="C354" s="46"/>
      <c r="D354" s="46"/>
      <c r="E354" s="45"/>
      <c r="F354" s="45"/>
      <c r="G354" s="47"/>
      <c r="H354" s="45"/>
      <c r="I354" s="45"/>
      <c r="J354" s="45"/>
      <c r="K354" s="45"/>
      <c r="L354" s="20"/>
      <c r="M354" s="20"/>
      <c r="N354" s="20"/>
      <c r="O354" s="20"/>
      <c r="P354" s="20"/>
      <c r="Q354" s="20"/>
      <c r="R354" s="20"/>
      <c r="S354" s="20"/>
      <c r="T354" s="20"/>
      <c r="U354" s="20"/>
      <c r="V354" s="20"/>
      <c r="W354" s="20"/>
      <c r="X354" s="20"/>
      <c r="Y354" s="20"/>
      <c r="Z354" s="21"/>
      <c r="AA354" s="22"/>
      <c r="AB354" s="23"/>
    </row>
    <row r="355" spans="1:28" ht="15.75" customHeight="1" x14ac:dyDescent="0.25">
      <c r="A355" s="45"/>
      <c r="B355" s="45"/>
      <c r="C355" s="46"/>
      <c r="D355" s="46"/>
      <c r="E355" s="45"/>
      <c r="F355" s="45"/>
      <c r="G355" s="47"/>
      <c r="H355" s="45"/>
      <c r="I355" s="45"/>
      <c r="J355" s="45"/>
      <c r="K355" s="45"/>
      <c r="L355" s="20"/>
      <c r="M355" s="20"/>
      <c r="N355" s="20"/>
      <c r="O355" s="20"/>
      <c r="P355" s="20"/>
      <c r="Q355" s="20"/>
      <c r="R355" s="20"/>
      <c r="S355" s="20"/>
      <c r="T355" s="20"/>
      <c r="U355" s="20"/>
      <c r="V355" s="20"/>
      <c r="W355" s="20"/>
      <c r="X355" s="20"/>
      <c r="Y355" s="20"/>
      <c r="Z355" s="21"/>
      <c r="AA355" s="22"/>
      <c r="AB355" s="23"/>
    </row>
    <row r="356" spans="1:28" ht="15.75" customHeight="1" x14ac:dyDescent="0.25">
      <c r="A356" s="45"/>
      <c r="B356" s="45"/>
      <c r="C356" s="46"/>
      <c r="D356" s="46"/>
      <c r="E356" s="45"/>
      <c r="F356" s="45"/>
      <c r="G356" s="47"/>
      <c r="H356" s="45"/>
      <c r="I356" s="45"/>
      <c r="J356" s="45"/>
      <c r="K356" s="45"/>
      <c r="L356" s="20"/>
      <c r="M356" s="20"/>
      <c r="N356" s="20"/>
      <c r="O356" s="20"/>
      <c r="P356" s="20"/>
      <c r="Q356" s="20"/>
      <c r="R356" s="20"/>
      <c r="S356" s="20"/>
      <c r="T356" s="20"/>
      <c r="U356" s="20"/>
      <c r="V356" s="20"/>
      <c r="W356" s="20"/>
      <c r="X356" s="20"/>
      <c r="Y356" s="20"/>
      <c r="Z356" s="21"/>
      <c r="AA356" s="22"/>
      <c r="AB356" s="23"/>
    </row>
    <row r="357" spans="1:28" ht="15.75" customHeight="1" x14ac:dyDescent="0.25">
      <c r="A357" s="45"/>
      <c r="B357" s="45"/>
      <c r="C357" s="46"/>
      <c r="D357" s="46"/>
      <c r="E357" s="45"/>
      <c r="F357" s="45"/>
      <c r="G357" s="47"/>
      <c r="H357" s="45"/>
      <c r="I357" s="45"/>
      <c r="J357" s="45"/>
      <c r="K357" s="45"/>
      <c r="L357" s="20"/>
      <c r="M357" s="20"/>
      <c r="N357" s="20"/>
      <c r="O357" s="20"/>
      <c r="P357" s="20"/>
      <c r="Q357" s="20"/>
      <c r="R357" s="20"/>
      <c r="S357" s="20"/>
      <c r="T357" s="20"/>
      <c r="U357" s="20"/>
      <c r="V357" s="20"/>
      <c r="W357" s="20"/>
      <c r="X357" s="20"/>
      <c r="Y357" s="20"/>
      <c r="Z357" s="21"/>
      <c r="AA357" s="22"/>
      <c r="AB357" s="23"/>
    </row>
    <row r="358" spans="1:28" ht="15.75" customHeight="1" x14ac:dyDescent="0.25">
      <c r="A358" s="45"/>
      <c r="B358" s="45"/>
      <c r="C358" s="46"/>
      <c r="D358" s="46"/>
      <c r="E358" s="45"/>
      <c r="F358" s="45"/>
      <c r="G358" s="47"/>
      <c r="H358" s="45"/>
      <c r="I358" s="45"/>
      <c r="J358" s="45"/>
      <c r="K358" s="45"/>
      <c r="L358" s="20"/>
      <c r="M358" s="20"/>
      <c r="N358" s="20"/>
      <c r="O358" s="20"/>
      <c r="P358" s="20"/>
      <c r="Q358" s="20"/>
      <c r="R358" s="20"/>
      <c r="S358" s="20"/>
      <c r="T358" s="20"/>
      <c r="U358" s="20"/>
      <c r="V358" s="20"/>
      <c r="W358" s="20"/>
      <c r="X358" s="20"/>
      <c r="Y358" s="20"/>
      <c r="Z358" s="21"/>
      <c r="AA358" s="22"/>
      <c r="AB358" s="23"/>
    </row>
    <row r="359" spans="1:28" ht="15.75" customHeight="1" x14ac:dyDescent="0.25">
      <c r="A359" s="45"/>
      <c r="B359" s="45"/>
      <c r="C359" s="46"/>
      <c r="D359" s="46"/>
      <c r="E359" s="45"/>
      <c r="F359" s="45"/>
      <c r="G359" s="47"/>
      <c r="H359" s="45"/>
      <c r="I359" s="45"/>
      <c r="J359" s="45"/>
      <c r="K359" s="45"/>
      <c r="L359" s="20"/>
      <c r="M359" s="20"/>
      <c r="N359" s="20"/>
      <c r="O359" s="20"/>
      <c r="P359" s="20"/>
      <c r="Q359" s="20"/>
      <c r="R359" s="20"/>
      <c r="S359" s="20"/>
      <c r="T359" s="20"/>
      <c r="U359" s="20"/>
      <c r="V359" s="20"/>
      <c r="W359" s="20"/>
      <c r="X359" s="20"/>
      <c r="Y359" s="20"/>
      <c r="Z359" s="21"/>
      <c r="AA359" s="22"/>
      <c r="AB359" s="23"/>
    </row>
    <row r="360" spans="1:28" ht="15.75" customHeight="1" x14ac:dyDescent="0.25">
      <c r="A360" s="45"/>
      <c r="B360" s="45"/>
      <c r="C360" s="46"/>
      <c r="D360" s="46"/>
      <c r="E360" s="45"/>
      <c r="F360" s="45"/>
      <c r="G360" s="47"/>
      <c r="H360" s="45"/>
      <c r="I360" s="45"/>
      <c r="J360" s="45"/>
      <c r="K360" s="45"/>
      <c r="L360" s="20"/>
      <c r="M360" s="20"/>
      <c r="N360" s="20"/>
      <c r="O360" s="20"/>
      <c r="P360" s="20"/>
      <c r="Q360" s="20"/>
      <c r="R360" s="20"/>
      <c r="S360" s="20"/>
      <c r="T360" s="20"/>
      <c r="U360" s="20"/>
      <c r="V360" s="20"/>
      <c r="W360" s="20"/>
      <c r="X360" s="20"/>
      <c r="Y360" s="20"/>
      <c r="Z360" s="21"/>
      <c r="AA360" s="22"/>
      <c r="AB360" s="23"/>
    </row>
    <row r="361" spans="1:28" ht="15.75" customHeight="1" x14ac:dyDescent="0.25">
      <c r="A361" s="45"/>
      <c r="B361" s="45"/>
      <c r="C361" s="46"/>
      <c r="D361" s="46"/>
      <c r="E361" s="45"/>
      <c r="F361" s="45"/>
      <c r="G361" s="47"/>
      <c r="H361" s="45"/>
      <c r="I361" s="45"/>
      <c r="J361" s="45"/>
      <c r="K361" s="45"/>
      <c r="L361" s="20"/>
      <c r="M361" s="20"/>
      <c r="N361" s="20"/>
      <c r="O361" s="20"/>
      <c r="P361" s="20"/>
      <c r="Q361" s="20"/>
      <c r="R361" s="20"/>
      <c r="S361" s="20"/>
      <c r="T361" s="20"/>
      <c r="U361" s="20"/>
      <c r="V361" s="20"/>
      <c r="W361" s="20"/>
      <c r="X361" s="20"/>
      <c r="Y361" s="20"/>
      <c r="Z361" s="21"/>
      <c r="AA361" s="22"/>
      <c r="AB361" s="23"/>
    </row>
    <row r="362" spans="1:28" ht="15.75" customHeight="1" x14ac:dyDescent="0.25">
      <c r="A362" s="45"/>
      <c r="B362" s="45"/>
      <c r="C362" s="46"/>
      <c r="D362" s="46"/>
      <c r="E362" s="45"/>
      <c r="F362" s="45"/>
      <c r="G362" s="47"/>
      <c r="H362" s="45"/>
      <c r="I362" s="45"/>
      <c r="J362" s="45"/>
      <c r="K362" s="45"/>
      <c r="L362" s="20"/>
      <c r="M362" s="20"/>
      <c r="N362" s="20"/>
      <c r="O362" s="20"/>
      <c r="P362" s="20"/>
      <c r="Q362" s="20"/>
      <c r="R362" s="20"/>
      <c r="S362" s="20"/>
      <c r="T362" s="20"/>
      <c r="U362" s="20"/>
      <c r="V362" s="20"/>
      <c r="W362" s="20"/>
      <c r="X362" s="20"/>
      <c r="Y362" s="20"/>
      <c r="Z362" s="21"/>
      <c r="AA362" s="22"/>
      <c r="AB362" s="23"/>
    </row>
    <row r="363" spans="1:28" ht="15.75" customHeight="1" x14ac:dyDescent="0.25">
      <c r="A363" s="45"/>
      <c r="B363" s="45"/>
      <c r="C363" s="46"/>
      <c r="D363" s="46"/>
      <c r="E363" s="45"/>
      <c r="F363" s="45"/>
      <c r="G363" s="47"/>
      <c r="H363" s="45"/>
      <c r="I363" s="45"/>
      <c r="J363" s="45"/>
      <c r="K363" s="45"/>
      <c r="L363" s="20"/>
      <c r="M363" s="20"/>
      <c r="N363" s="20"/>
      <c r="O363" s="20"/>
      <c r="P363" s="20"/>
      <c r="Q363" s="20"/>
      <c r="R363" s="20"/>
      <c r="S363" s="20"/>
      <c r="T363" s="20"/>
      <c r="U363" s="20"/>
      <c r="V363" s="20"/>
      <c r="W363" s="20"/>
      <c r="X363" s="20"/>
      <c r="Y363" s="20"/>
      <c r="Z363" s="21"/>
      <c r="AA363" s="22"/>
      <c r="AB363" s="23"/>
    </row>
    <row r="364" spans="1:28" ht="15.75" customHeight="1" x14ac:dyDescent="0.25">
      <c r="A364" s="45"/>
      <c r="B364" s="45"/>
      <c r="C364" s="46"/>
      <c r="D364" s="46"/>
      <c r="E364" s="45"/>
      <c r="F364" s="45"/>
      <c r="G364" s="47"/>
      <c r="H364" s="45"/>
      <c r="I364" s="45"/>
      <c r="J364" s="45"/>
      <c r="K364" s="45"/>
      <c r="L364" s="20"/>
      <c r="M364" s="20"/>
      <c r="N364" s="20"/>
      <c r="O364" s="20"/>
      <c r="P364" s="20"/>
      <c r="Q364" s="20"/>
      <c r="R364" s="20"/>
      <c r="S364" s="20"/>
      <c r="T364" s="20"/>
      <c r="U364" s="20"/>
      <c r="V364" s="20"/>
      <c r="W364" s="20"/>
      <c r="X364" s="20"/>
      <c r="Y364" s="20"/>
      <c r="Z364" s="21"/>
      <c r="AA364" s="22"/>
      <c r="AB364" s="23"/>
    </row>
    <row r="365" spans="1:28" ht="15.75" customHeight="1" x14ac:dyDescent="0.25">
      <c r="A365" s="45"/>
      <c r="B365" s="45"/>
      <c r="C365" s="46"/>
      <c r="D365" s="46"/>
      <c r="E365" s="45"/>
      <c r="F365" s="45"/>
      <c r="G365" s="47"/>
      <c r="H365" s="45"/>
      <c r="I365" s="45"/>
      <c r="J365" s="45"/>
      <c r="K365" s="45"/>
      <c r="L365" s="20"/>
      <c r="M365" s="20"/>
      <c r="N365" s="20"/>
      <c r="O365" s="20"/>
      <c r="P365" s="20"/>
      <c r="Q365" s="20"/>
      <c r="R365" s="20"/>
      <c r="S365" s="20"/>
      <c r="T365" s="20"/>
      <c r="U365" s="20"/>
      <c r="V365" s="20"/>
      <c r="W365" s="20"/>
      <c r="X365" s="20"/>
      <c r="Y365" s="20"/>
      <c r="Z365" s="21"/>
      <c r="AA365" s="22"/>
      <c r="AB365" s="23"/>
    </row>
    <row r="366" spans="1:28" ht="15.75" customHeight="1" x14ac:dyDescent="0.25">
      <c r="A366" s="45"/>
      <c r="B366" s="45"/>
      <c r="C366" s="46"/>
      <c r="D366" s="46"/>
      <c r="E366" s="45"/>
      <c r="F366" s="45"/>
      <c r="G366" s="47"/>
      <c r="H366" s="45"/>
      <c r="I366" s="45"/>
      <c r="J366" s="45"/>
      <c r="K366" s="45"/>
      <c r="L366" s="20"/>
      <c r="M366" s="20"/>
      <c r="N366" s="20"/>
      <c r="O366" s="20"/>
      <c r="P366" s="20"/>
      <c r="Q366" s="20"/>
      <c r="R366" s="20"/>
      <c r="S366" s="20"/>
      <c r="T366" s="20"/>
      <c r="U366" s="20"/>
      <c r="V366" s="20"/>
      <c r="W366" s="20"/>
      <c r="X366" s="20"/>
      <c r="Y366" s="20"/>
      <c r="Z366" s="21"/>
      <c r="AA366" s="22"/>
      <c r="AB366" s="23"/>
    </row>
    <row r="367" spans="1:28" ht="15.75" customHeight="1" x14ac:dyDescent="0.25">
      <c r="A367" s="45"/>
      <c r="B367" s="45"/>
      <c r="C367" s="46"/>
      <c r="D367" s="46"/>
      <c r="E367" s="45"/>
      <c r="F367" s="45"/>
      <c r="G367" s="47"/>
      <c r="H367" s="45"/>
      <c r="I367" s="45"/>
      <c r="J367" s="45"/>
      <c r="K367" s="45"/>
      <c r="L367" s="20"/>
      <c r="M367" s="20"/>
      <c r="N367" s="20"/>
      <c r="O367" s="20"/>
      <c r="P367" s="20"/>
      <c r="Q367" s="20"/>
      <c r="R367" s="20"/>
      <c r="S367" s="20"/>
      <c r="T367" s="20"/>
      <c r="U367" s="20"/>
      <c r="V367" s="20"/>
      <c r="W367" s="20"/>
      <c r="X367" s="20"/>
      <c r="Y367" s="20"/>
      <c r="Z367" s="21"/>
      <c r="AA367" s="22"/>
      <c r="AB367" s="23"/>
    </row>
    <row r="368" spans="1:28" ht="15.75" customHeight="1" x14ac:dyDescent="0.25">
      <c r="A368" s="45"/>
      <c r="B368" s="45"/>
      <c r="C368" s="46"/>
      <c r="D368" s="46"/>
      <c r="E368" s="45"/>
      <c r="F368" s="45"/>
      <c r="G368" s="47"/>
      <c r="H368" s="45"/>
      <c r="I368" s="45"/>
      <c r="J368" s="45"/>
      <c r="K368" s="45"/>
      <c r="L368" s="20"/>
      <c r="M368" s="20"/>
      <c r="N368" s="20"/>
      <c r="O368" s="20"/>
      <c r="P368" s="20"/>
      <c r="Q368" s="20"/>
      <c r="R368" s="20"/>
      <c r="S368" s="20"/>
      <c r="T368" s="20"/>
      <c r="U368" s="20"/>
      <c r="V368" s="20"/>
      <c r="W368" s="20"/>
      <c r="X368" s="20"/>
      <c r="Y368" s="20"/>
      <c r="Z368" s="21"/>
      <c r="AA368" s="22"/>
      <c r="AB368" s="23"/>
    </row>
    <row r="369" spans="1:28" ht="15.75" customHeight="1" x14ac:dyDescent="0.25">
      <c r="A369" s="45"/>
      <c r="B369" s="45"/>
      <c r="C369" s="46"/>
      <c r="D369" s="46"/>
      <c r="E369" s="45"/>
      <c r="F369" s="45"/>
      <c r="G369" s="47"/>
      <c r="H369" s="45"/>
      <c r="I369" s="45"/>
      <c r="J369" s="45"/>
      <c r="K369" s="45"/>
      <c r="L369" s="20"/>
      <c r="M369" s="20"/>
      <c r="N369" s="20"/>
      <c r="O369" s="20"/>
      <c r="P369" s="20"/>
      <c r="Q369" s="20"/>
      <c r="R369" s="20"/>
      <c r="S369" s="20"/>
      <c r="T369" s="20"/>
      <c r="U369" s="20"/>
      <c r="V369" s="20"/>
      <c r="W369" s="20"/>
      <c r="X369" s="20"/>
      <c r="Y369" s="20"/>
      <c r="Z369" s="21"/>
      <c r="AA369" s="22"/>
      <c r="AB369" s="23"/>
    </row>
    <row r="370" spans="1:28" ht="15.75" customHeight="1" x14ac:dyDescent="0.25">
      <c r="A370" s="45"/>
      <c r="B370" s="45"/>
      <c r="C370" s="46"/>
      <c r="D370" s="46"/>
      <c r="E370" s="45"/>
      <c r="F370" s="45"/>
      <c r="G370" s="47"/>
      <c r="H370" s="45"/>
      <c r="I370" s="45"/>
      <c r="J370" s="45"/>
      <c r="K370" s="45"/>
      <c r="L370" s="20"/>
      <c r="M370" s="20"/>
      <c r="N370" s="20"/>
      <c r="O370" s="20"/>
      <c r="P370" s="20"/>
      <c r="Q370" s="20"/>
      <c r="R370" s="20"/>
      <c r="S370" s="20"/>
      <c r="T370" s="20"/>
      <c r="U370" s="20"/>
      <c r="V370" s="20"/>
      <c r="W370" s="20"/>
      <c r="X370" s="20"/>
      <c r="Y370" s="20"/>
      <c r="Z370" s="21"/>
      <c r="AA370" s="22"/>
      <c r="AB370" s="23"/>
    </row>
    <row r="371" spans="1:28" ht="15.75" customHeight="1" x14ac:dyDescent="0.25">
      <c r="A371" s="45"/>
      <c r="B371" s="45"/>
      <c r="C371" s="46"/>
      <c r="D371" s="46"/>
      <c r="E371" s="45"/>
      <c r="F371" s="45"/>
      <c r="G371" s="47"/>
      <c r="H371" s="45"/>
      <c r="I371" s="45"/>
      <c r="J371" s="45"/>
      <c r="K371" s="45"/>
      <c r="L371" s="20"/>
      <c r="M371" s="20"/>
      <c r="N371" s="20"/>
      <c r="O371" s="20"/>
      <c r="P371" s="20"/>
      <c r="Q371" s="20"/>
      <c r="R371" s="20"/>
      <c r="S371" s="20"/>
      <c r="T371" s="20"/>
      <c r="U371" s="20"/>
      <c r="V371" s="20"/>
      <c r="W371" s="20"/>
      <c r="X371" s="20"/>
      <c r="Y371" s="20"/>
      <c r="Z371" s="21"/>
      <c r="AA371" s="22"/>
      <c r="AB371" s="23"/>
    </row>
    <row r="372" spans="1:28" ht="15.75" customHeight="1" x14ac:dyDescent="0.25">
      <c r="A372" s="45"/>
      <c r="B372" s="45"/>
      <c r="C372" s="46"/>
      <c r="D372" s="46"/>
      <c r="E372" s="45"/>
      <c r="F372" s="45"/>
      <c r="G372" s="47"/>
      <c r="H372" s="45"/>
      <c r="I372" s="45"/>
      <c r="J372" s="45"/>
      <c r="K372" s="45"/>
      <c r="L372" s="20"/>
      <c r="M372" s="20"/>
      <c r="N372" s="20"/>
      <c r="O372" s="20"/>
      <c r="P372" s="20"/>
      <c r="Q372" s="20"/>
      <c r="R372" s="20"/>
      <c r="S372" s="20"/>
      <c r="T372" s="20"/>
      <c r="U372" s="20"/>
      <c r="V372" s="20"/>
      <c r="W372" s="20"/>
      <c r="X372" s="20"/>
      <c r="Y372" s="20"/>
      <c r="Z372" s="21"/>
      <c r="AA372" s="22"/>
      <c r="AB372" s="23"/>
    </row>
    <row r="373" spans="1:28" ht="15.75" customHeight="1" x14ac:dyDescent="0.25">
      <c r="A373" s="45"/>
      <c r="B373" s="45"/>
      <c r="C373" s="46"/>
      <c r="D373" s="46"/>
      <c r="E373" s="45"/>
      <c r="F373" s="45"/>
      <c r="G373" s="47"/>
      <c r="H373" s="45"/>
      <c r="I373" s="45"/>
      <c r="J373" s="45"/>
      <c r="K373" s="45"/>
      <c r="L373" s="20"/>
      <c r="M373" s="20"/>
      <c r="N373" s="20"/>
      <c r="O373" s="20"/>
      <c r="P373" s="20"/>
      <c r="Q373" s="20"/>
      <c r="R373" s="20"/>
      <c r="S373" s="20"/>
      <c r="T373" s="20"/>
      <c r="U373" s="20"/>
      <c r="V373" s="20"/>
      <c r="W373" s="20"/>
      <c r="X373" s="20"/>
      <c r="Y373" s="20"/>
      <c r="Z373" s="21"/>
      <c r="AA373" s="22"/>
      <c r="AB373" s="23"/>
    </row>
    <row r="374" spans="1:28" ht="15.75" customHeight="1" x14ac:dyDescent="0.25">
      <c r="A374" s="45"/>
      <c r="B374" s="45"/>
      <c r="C374" s="46"/>
      <c r="D374" s="46"/>
      <c r="E374" s="45"/>
      <c r="F374" s="45"/>
      <c r="G374" s="47"/>
      <c r="H374" s="45"/>
      <c r="I374" s="45"/>
      <c r="J374" s="45"/>
      <c r="K374" s="45"/>
      <c r="L374" s="20"/>
      <c r="M374" s="20"/>
      <c r="N374" s="20"/>
      <c r="O374" s="20"/>
      <c r="P374" s="20"/>
      <c r="Q374" s="20"/>
      <c r="R374" s="20"/>
      <c r="S374" s="20"/>
      <c r="T374" s="20"/>
      <c r="U374" s="20"/>
      <c r="V374" s="20"/>
      <c r="W374" s="20"/>
      <c r="X374" s="20"/>
      <c r="Y374" s="20"/>
      <c r="Z374" s="21"/>
      <c r="AA374" s="22"/>
      <c r="AB374" s="23"/>
    </row>
    <row r="375" spans="1:28" ht="15.75" customHeight="1" x14ac:dyDescent="0.25">
      <c r="A375" s="45"/>
      <c r="B375" s="45"/>
      <c r="C375" s="46"/>
      <c r="D375" s="46"/>
      <c r="E375" s="45"/>
      <c r="F375" s="45"/>
      <c r="G375" s="47"/>
      <c r="H375" s="45"/>
      <c r="I375" s="45"/>
      <c r="J375" s="45"/>
      <c r="K375" s="45"/>
      <c r="L375" s="20"/>
      <c r="M375" s="20"/>
      <c r="N375" s="20"/>
      <c r="O375" s="20"/>
      <c r="P375" s="20"/>
      <c r="Q375" s="20"/>
      <c r="R375" s="20"/>
      <c r="S375" s="20"/>
      <c r="T375" s="20"/>
      <c r="U375" s="20"/>
      <c r="V375" s="20"/>
      <c r="W375" s="20"/>
      <c r="X375" s="20"/>
      <c r="Y375" s="20"/>
      <c r="Z375" s="21"/>
      <c r="AA375" s="22"/>
      <c r="AB375" s="23"/>
    </row>
    <row r="376" spans="1:28" ht="15.75" customHeight="1" x14ac:dyDescent="0.25">
      <c r="A376" s="45"/>
      <c r="B376" s="45"/>
      <c r="C376" s="46"/>
      <c r="D376" s="46"/>
      <c r="E376" s="45"/>
      <c r="F376" s="45"/>
      <c r="G376" s="47"/>
      <c r="H376" s="45"/>
      <c r="I376" s="45"/>
      <c r="J376" s="45"/>
      <c r="K376" s="45"/>
      <c r="L376" s="20"/>
      <c r="M376" s="20"/>
      <c r="N376" s="20"/>
      <c r="O376" s="20"/>
      <c r="P376" s="20"/>
      <c r="Q376" s="20"/>
      <c r="R376" s="20"/>
      <c r="S376" s="20"/>
      <c r="T376" s="20"/>
      <c r="U376" s="20"/>
      <c r="V376" s="20"/>
      <c r="W376" s="20"/>
      <c r="X376" s="20"/>
      <c r="Y376" s="20"/>
      <c r="Z376" s="21"/>
      <c r="AA376" s="22"/>
      <c r="AB376" s="23"/>
    </row>
    <row r="377" spans="1:28" ht="15.75" customHeight="1" x14ac:dyDescent="0.25">
      <c r="A377" s="45"/>
      <c r="B377" s="45"/>
      <c r="C377" s="46"/>
      <c r="D377" s="46"/>
      <c r="E377" s="45"/>
      <c r="F377" s="45"/>
      <c r="G377" s="47"/>
      <c r="H377" s="45"/>
      <c r="I377" s="45"/>
      <c r="J377" s="45"/>
      <c r="K377" s="45"/>
      <c r="L377" s="20"/>
      <c r="M377" s="20"/>
      <c r="N377" s="20"/>
      <c r="O377" s="20"/>
      <c r="P377" s="20"/>
      <c r="Q377" s="20"/>
      <c r="R377" s="20"/>
      <c r="S377" s="20"/>
      <c r="T377" s="20"/>
      <c r="U377" s="20"/>
      <c r="V377" s="20"/>
      <c r="W377" s="20"/>
      <c r="X377" s="20"/>
      <c r="Y377" s="20"/>
      <c r="Z377" s="21"/>
      <c r="AA377" s="22"/>
      <c r="AB377" s="23"/>
    </row>
    <row r="378" spans="1:28" ht="15.75" customHeight="1" x14ac:dyDescent="0.25">
      <c r="A378" s="45"/>
      <c r="B378" s="45"/>
      <c r="C378" s="46"/>
      <c r="D378" s="46"/>
      <c r="E378" s="45"/>
      <c r="F378" s="45"/>
      <c r="G378" s="47"/>
      <c r="H378" s="45"/>
      <c r="I378" s="45"/>
      <c r="J378" s="45"/>
      <c r="K378" s="45"/>
      <c r="L378" s="20"/>
      <c r="M378" s="20"/>
      <c r="N378" s="20"/>
      <c r="O378" s="20"/>
      <c r="P378" s="20"/>
      <c r="Q378" s="20"/>
      <c r="R378" s="20"/>
      <c r="S378" s="20"/>
      <c r="T378" s="20"/>
      <c r="U378" s="20"/>
      <c r="V378" s="20"/>
      <c r="W378" s="20"/>
      <c r="X378" s="20"/>
      <c r="Y378" s="20"/>
      <c r="Z378" s="21"/>
      <c r="AA378" s="22"/>
      <c r="AB378" s="23"/>
    </row>
    <row r="379" spans="1:28" ht="15.75" customHeight="1" x14ac:dyDescent="0.25">
      <c r="A379" s="45"/>
      <c r="B379" s="45"/>
      <c r="C379" s="46"/>
      <c r="D379" s="46"/>
      <c r="E379" s="45"/>
      <c r="F379" s="45"/>
      <c r="G379" s="47"/>
      <c r="H379" s="45"/>
      <c r="I379" s="45"/>
      <c r="J379" s="45"/>
      <c r="K379" s="45"/>
      <c r="L379" s="20"/>
      <c r="M379" s="20"/>
      <c r="N379" s="20"/>
      <c r="O379" s="20"/>
      <c r="P379" s="20"/>
      <c r="Q379" s="20"/>
      <c r="R379" s="20"/>
      <c r="S379" s="20"/>
      <c r="T379" s="20"/>
      <c r="U379" s="20"/>
      <c r="V379" s="20"/>
      <c r="W379" s="20"/>
      <c r="X379" s="20"/>
      <c r="Y379" s="20"/>
      <c r="Z379" s="21"/>
      <c r="AA379" s="22"/>
      <c r="AB379" s="23"/>
    </row>
    <row r="380" spans="1:28" ht="15.75" customHeight="1" x14ac:dyDescent="0.25">
      <c r="A380" s="45"/>
      <c r="B380" s="45"/>
      <c r="C380" s="46"/>
      <c r="D380" s="46"/>
      <c r="E380" s="45"/>
      <c r="F380" s="45"/>
      <c r="G380" s="47"/>
      <c r="H380" s="45"/>
      <c r="I380" s="45"/>
      <c r="J380" s="45"/>
      <c r="K380" s="45"/>
      <c r="L380" s="20"/>
      <c r="M380" s="20"/>
      <c r="N380" s="20"/>
      <c r="O380" s="20"/>
      <c r="P380" s="20"/>
      <c r="Q380" s="20"/>
      <c r="R380" s="20"/>
      <c r="S380" s="20"/>
      <c r="T380" s="20"/>
      <c r="U380" s="20"/>
      <c r="V380" s="20"/>
      <c r="W380" s="20"/>
      <c r="X380" s="20"/>
      <c r="Y380" s="20"/>
      <c r="Z380" s="21"/>
      <c r="AA380" s="22"/>
      <c r="AB380" s="23"/>
    </row>
    <row r="381" spans="1:28" ht="15.75" customHeight="1" x14ac:dyDescent="0.25">
      <c r="G381" s="1"/>
    </row>
    <row r="382" spans="1:28" ht="15.75" customHeight="1" x14ac:dyDescent="0.25">
      <c r="G382" s="1"/>
    </row>
    <row r="383" spans="1:28" ht="15.75" customHeight="1" x14ac:dyDescent="0.25">
      <c r="G383" s="1"/>
    </row>
    <row r="384" spans="1:28" ht="15.75" customHeight="1" x14ac:dyDescent="0.25">
      <c r="G384" s="1"/>
    </row>
    <row r="385" spans="7:7" ht="15.75" customHeight="1" x14ac:dyDescent="0.25">
      <c r="G385" s="1"/>
    </row>
    <row r="386" spans="7:7" ht="15.75" customHeight="1" x14ac:dyDescent="0.25">
      <c r="G386" s="1"/>
    </row>
    <row r="387" spans="7:7" ht="15.75" customHeight="1" x14ac:dyDescent="0.25">
      <c r="G387" s="1"/>
    </row>
    <row r="388" spans="7:7" ht="15.75" customHeight="1" x14ac:dyDescent="0.25">
      <c r="G388" s="1"/>
    </row>
    <row r="389" spans="7:7" ht="15.75" customHeight="1" x14ac:dyDescent="0.25">
      <c r="G389" s="1"/>
    </row>
    <row r="390" spans="7:7" ht="15.75" customHeight="1" x14ac:dyDescent="0.25">
      <c r="G390" s="1"/>
    </row>
    <row r="391" spans="7:7" ht="15.75" customHeight="1" x14ac:dyDescent="0.25">
      <c r="G391" s="1"/>
    </row>
    <row r="392" spans="7:7" ht="15.75" customHeight="1" x14ac:dyDescent="0.25">
      <c r="G392" s="1"/>
    </row>
    <row r="393" spans="7:7" ht="15.75" customHeight="1" x14ac:dyDescent="0.25">
      <c r="G393" s="1"/>
    </row>
    <row r="394" spans="7:7" ht="15.75" customHeight="1" x14ac:dyDescent="0.25">
      <c r="G394" s="1"/>
    </row>
    <row r="395" spans="7:7" ht="15.75" customHeight="1" x14ac:dyDescent="0.25">
      <c r="G395" s="1"/>
    </row>
    <row r="396" spans="7:7" ht="15.75" customHeight="1" x14ac:dyDescent="0.25">
      <c r="G396" s="1"/>
    </row>
    <row r="397" spans="7:7" ht="15.75" customHeight="1" x14ac:dyDescent="0.25">
      <c r="G397" s="1"/>
    </row>
    <row r="398" spans="7:7" ht="15.75" customHeight="1" x14ac:dyDescent="0.25">
      <c r="G398" s="1"/>
    </row>
    <row r="399" spans="7:7" ht="15.75" customHeight="1" x14ac:dyDescent="0.25">
      <c r="G399" s="1"/>
    </row>
    <row r="400" spans="7:7" ht="15.75" customHeight="1" x14ac:dyDescent="0.25">
      <c r="G400" s="1"/>
    </row>
    <row r="401" spans="7:7" ht="15.75" customHeight="1" x14ac:dyDescent="0.25">
      <c r="G401" s="1"/>
    </row>
    <row r="402" spans="7:7" ht="15.75" customHeight="1" x14ac:dyDescent="0.25">
      <c r="G402" s="1"/>
    </row>
    <row r="403" spans="7:7" ht="15.75" customHeight="1" x14ac:dyDescent="0.25">
      <c r="G403" s="1"/>
    </row>
    <row r="404" spans="7:7" ht="15.75" customHeight="1" x14ac:dyDescent="0.25">
      <c r="G404" s="1"/>
    </row>
    <row r="405" spans="7:7" ht="15.75" customHeight="1" x14ac:dyDescent="0.25">
      <c r="G405" s="1"/>
    </row>
    <row r="406" spans="7:7" ht="15.75" customHeight="1" x14ac:dyDescent="0.25">
      <c r="G406" s="1"/>
    </row>
    <row r="407" spans="7:7" ht="15.75" customHeight="1" x14ac:dyDescent="0.25">
      <c r="G407" s="1"/>
    </row>
    <row r="408" spans="7:7" ht="15.75" customHeight="1" x14ac:dyDescent="0.25">
      <c r="G408" s="1"/>
    </row>
    <row r="409" spans="7:7" ht="15.75" customHeight="1" x14ac:dyDescent="0.25">
      <c r="G409" s="1"/>
    </row>
    <row r="410" spans="7:7" ht="15.75" customHeight="1" x14ac:dyDescent="0.25">
      <c r="G410" s="1"/>
    </row>
    <row r="411" spans="7:7" ht="15.75" customHeight="1" x14ac:dyDescent="0.25">
      <c r="G411" s="1"/>
    </row>
    <row r="412" spans="7:7" ht="15.75" customHeight="1" x14ac:dyDescent="0.25">
      <c r="G412" s="1"/>
    </row>
    <row r="413" spans="7:7" ht="15.75" customHeight="1" x14ac:dyDescent="0.25">
      <c r="G413" s="1"/>
    </row>
    <row r="414" spans="7:7" ht="15.75" customHeight="1" x14ac:dyDescent="0.25">
      <c r="G414" s="1"/>
    </row>
    <row r="415" spans="7:7" ht="15.75" customHeight="1" x14ac:dyDescent="0.25">
      <c r="G415" s="1"/>
    </row>
    <row r="416" spans="7:7" ht="15.75" customHeight="1" x14ac:dyDescent="0.25">
      <c r="G416" s="1"/>
    </row>
    <row r="417" spans="7:7" ht="15.75" customHeight="1" x14ac:dyDescent="0.25">
      <c r="G417" s="1"/>
    </row>
    <row r="418" spans="7:7" ht="15.75" customHeight="1" x14ac:dyDescent="0.25">
      <c r="G418" s="1"/>
    </row>
    <row r="419" spans="7:7" ht="15.75" customHeight="1" x14ac:dyDescent="0.25">
      <c r="G419" s="1"/>
    </row>
    <row r="420" spans="7:7" ht="15.75" customHeight="1" x14ac:dyDescent="0.25">
      <c r="G420" s="1"/>
    </row>
    <row r="421" spans="7:7" ht="15.75" customHeight="1" x14ac:dyDescent="0.25">
      <c r="G421" s="1"/>
    </row>
    <row r="422" spans="7:7" ht="15.75" customHeight="1" x14ac:dyDescent="0.25">
      <c r="G422" s="1"/>
    </row>
    <row r="423" spans="7:7" ht="15.75" customHeight="1" x14ac:dyDescent="0.25">
      <c r="G423" s="1"/>
    </row>
    <row r="424" spans="7:7" ht="15.75" customHeight="1" x14ac:dyDescent="0.25">
      <c r="G424" s="1"/>
    </row>
    <row r="425" spans="7:7" ht="15.75" customHeight="1" x14ac:dyDescent="0.25">
      <c r="G425" s="1"/>
    </row>
    <row r="426" spans="7:7" ht="15.75" customHeight="1" x14ac:dyDescent="0.25">
      <c r="G426" s="1"/>
    </row>
    <row r="427" spans="7:7" ht="15.75" customHeight="1" x14ac:dyDescent="0.25">
      <c r="G427" s="1"/>
    </row>
    <row r="428" spans="7:7" ht="15.75" customHeight="1" x14ac:dyDescent="0.25">
      <c r="G428" s="1"/>
    </row>
    <row r="429" spans="7:7" ht="15.75" customHeight="1" x14ac:dyDescent="0.25">
      <c r="G429" s="1"/>
    </row>
    <row r="430" spans="7:7" ht="15.75" customHeight="1" x14ac:dyDescent="0.25">
      <c r="G430" s="1"/>
    </row>
    <row r="431" spans="7:7" ht="15.75" customHeight="1" x14ac:dyDescent="0.25">
      <c r="G431" s="1"/>
    </row>
    <row r="432" spans="7:7" ht="15.75" customHeight="1" x14ac:dyDescent="0.25">
      <c r="G432" s="1"/>
    </row>
    <row r="433" spans="7:7" ht="15.75" customHeight="1" x14ac:dyDescent="0.25">
      <c r="G433" s="1"/>
    </row>
    <row r="434" spans="7:7" ht="15.75" customHeight="1" x14ac:dyDescent="0.25">
      <c r="G434" s="1"/>
    </row>
    <row r="435" spans="7:7" ht="15.75" customHeight="1" x14ac:dyDescent="0.25">
      <c r="G435" s="1"/>
    </row>
    <row r="436" spans="7:7" ht="15.75" customHeight="1" x14ac:dyDescent="0.25">
      <c r="G436" s="1"/>
    </row>
    <row r="437" spans="7:7" ht="15.75" customHeight="1" x14ac:dyDescent="0.25">
      <c r="G437" s="1"/>
    </row>
    <row r="438" spans="7:7" ht="15.75" customHeight="1" x14ac:dyDescent="0.25">
      <c r="G438" s="1"/>
    </row>
    <row r="439" spans="7:7" ht="15.75" customHeight="1" x14ac:dyDescent="0.25">
      <c r="G439" s="1"/>
    </row>
    <row r="440" spans="7:7" ht="15.75" customHeight="1" x14ac:dyDescent="0.25">
      <c r="G440" s="1"/>
    </row>
    <row r="441" spans="7:7" ht="15.75" customHeight="1" x14ac:dyDescent="0.25">
      <c r="G441" s="1"/>
    </row>
    <row r="442" spans="7:7" ht="15.75" customHeight="1" x14ac:dyDescent="0.25">
      <c r="G442" s="1"/>
    </row>
    <row r="443" spans="7:7" ht="15.75" customHeight="1" x14ac:dyDescent="0.25">
      <c r="G443" s="1"/>
    </row>
    <row r="444" spans="7:7" ht="15.75" customHeight="1" x14ac:dyDescent="0.25">
      <c r="G444" s="1"/>
    </row>
    <row r="445" spans="7:7" ht="15.75" customHeight="1" x14ac:dyDescent="0.25">
      <c r="G445" s="1"/>
    </row>
    <row r="446" spans="7:7" ht="15.75" customHeight="1" x14ac:dyDescent="0.25">
      <c r="G446" s="1"/>
    </row>
    <row r="447" spans="7:7" ht="15.75" customHeight="1" x14ac:dyDescent="0.25">
      <c r="G447" s="1"/>
    </row>
    <row r="448" spans="7:7" ht="15.75" customHeight="1" x14ac:dyDescent="0.25">
      <c r="G448" s="1"/>
    </row>
    <row r="449" spans="7:7" ht="15.75" customHeight="1" x14ac:dyDescent="0.25">
      <c r="G449" s="1"/>
    </row>
    <row r="450" spans="7:7" ht="15.75" customHeight="1" x14ac:dyDescent="0.25">
      <c r="G450" s="1"/>
    </row>
    <row r="451" spans="7:7" ht="15.75" customHeight="1" x14ac:dyDescent="0.25">
      <c r="G451" s="1"/>
    </row>
    <row r="452" spans="7:7" ht="15.75" customHeight="1" x14ac:dyDescent="0.25">
      <c r="G452" s="1"/>
    </row>
    <row r="453" spans="7:7" ht="15.75" customHeight="1" x14ac:dyDescent="0.25">
      <c r="G453" s="1"/>
    </row>
    <row r="454" spans="7:7" ht="15.75" customHeight="1" x14ac:dyDescent="0.25">
      <c r="G454" s="1"/>
    </row>
    <row r="455" spans="7:7" ht="15.75" customHeight="1" x14ac:dyDescent="0.25">
      <c r="G455" s="1"/>
    </row>
    <row r="456" spans="7:7" ht="15.75" customHeight="1" x14ac:dyDescent="0.25">
      <c r="G456" s="1"/>
    </row>
    <row r="457" spans="7:7" ht="15.75" customHeight="1" x14ac:dyDescent="0.25">
      <c r="G457" s="1"/>
    </row>
    <row r="458" spans="7:7" ht="15.75" customHeight="1" x14ac:dyDescent="0.25">
      <c r="G458" s="1"/>
    </row>
    <row r="459" spans="7:7" ht="15.75" customHeight="1" x14ac:dyDescent="0.25">
      <c r="G459" s="1"/>
    </row>
    <row r="460" spans="7:7" ht="15.75" customHeight="1" x14ac:dyDescent="0.25">
      <c r="G460" s="1"/>
    </row>
    <row r="461" spans="7:7" ht="15.75" customHeight="1" x14ac:dyDescent="0.25">
      <c r="G461" s="1"/>
    </row>
    <row r="462" spans="7:7" ht="15.75" customHeight="1" x14ac:dyDescent="0.25">
      <c r="G462" s="1"/>
    </row>
    <row r="463" spans="7:7" ht="15.75" customHeight="1" x14ac:dyDescent="0.25">
      <c r="G463" s="1"/>
    </row>
    <row r="464" spans="7:7" ht="15.75" customHeight="1" x14ac:dyDescent="0.25">
      <c r="G464" s="1"/>
    </row>
    <row r="465" spans="7:7" ht="15.75" customHeight="1" x14ac:dyDescent="0.25">
      <c r="G465" s="1"/>
    </row>
    <row r="466" spans="7:7" ht="15.75" customHeight="1" x14ac:dyDescent="0.25">
      <c r="G466" s="1"/>
    </row>
    <row r="467" spans="7:7" ht="15.75" customHeight="1" x14ac:dyDescent="0.25">
      <c r="G467" s="1"/>
    </row>
    <row r="468" spans="7:7" ht="15.75" customHeight="1" x14ac:dyDescent="0.25">
      <c r="G468" s="1"/>
    </row>
    <row r="469" spans="7:7" ht="15.75" customHeight="1" x14ac:dyDescent="0.25">
      <c r="G469" s="1"/>
    </row>
    <row r="470" spans="7:7" ht="15.75" customHeight="1" x14ac:dyDescent="0.25">
      <c r="G470" s="1"/>
    </row>
    <row r="471" spans="7:7" ht="15.75" customHeight="1" x14ac:dyDescent="0.25">
      <c r="G471" s="1"/>
    </row>
    <row r="472" spans="7:7" ht="15.75" customHeight="1" x14ac:dyDescent="0.25">
      <c r="G472" s="1"/>
    </row>
    <row r="473" spans="7:7" ht="15.75" customHeight="1" x14ac:dyDescent="0.25">
      <c r="G473" s="1"/>
    </row>
    <row r="474" spans="7:7" ht="15.75" customHeight="1" x14ac:dyDescent="0.25">
      <c r="G474" s="1"/>
    </row>
    <row r="475" spans="7:7" ht="15.75" customHeight="1" x14ac:dyDescent="0.25">
      <c r="G475" s="1"/>
    </row>
    <row r="476" spans="7:7" ht="15.75" customHeight="1" x14ac:dyDescent="0.25">
      <c r="G476" s="1"/>
    </row>
    <row r="477" spans="7:7" ht="15.75" customHeight="1" x14ac:dyDescent="0.25">
      <c r="G477" s="1"/>
    </row>
    <row r="478" spans="7:7" ht="15.75" customHeight="1" x14ac:dyDescent="0.25">
      <c r="G478" s="1"/>
    </row>
    <row r="479" spans="7:7" ht="15.75" customHeight="1" x14ac:dyDescent="0.25">
      <c r="G479" s="1"/>
    </row>
    <row r="480" spans="7:7" ht="15.75" customHeight="1" x14ac:dyDescent="0.25">
      <c r="G480" s="1"/>
    </row>
    <row r="481" spans="7:7" ht="15.75" customHeight="1" x14ac:dyDescent="0.25">
      <c r="G481" s="1"/>
    </row>
    <row r="482" spans="7:7" ht="15.75" customHeight="1" x14ac:dyDescent="0.25">
      <c r="G482" s="1"/>
    </row>
    <row r="483" spans="7:7" ht="15.75" customHeight="1" x14ac:dyDescent="0.25">
      <c r="G483" s="1"/>
    </row>
    <row r="484" spans="7:7" ht="15.75" customHeight="1" x14ac:dyDescent="0.25">
      <c r="G484" s="1"/>
    </row>
    <row r="485" spans="7:7" ht="15.75" customHeight="1" x14ac:dyDescent="0.25">
      <c r="G485" s="1"/>
    </row>
    <row r="486" spans="7:7" ht="15.75" customHeight="1" x14ac:dyDescent="0.25">
      <c r="G486" s="1"/>
    </row>
    <row r="487" spans="7:7" ht="15.75" customHeight="1" x14ac:dyDescent="0.25">
      <c r="G487" s="1"/>
    </row>
    <row r="488" spans="7:7" ht="15.75" customHeight="1" x14ac:dyDescent="0.25">
      <c r="G488" s="1"/>
    </row>
    <row r="489" spans="7:7" ht="15.75" customHeight="1" x14ac:dyDescent="0.25">
      <c r="G489" s="1"/>
    </row>
    <row r="490" spans="7:7" ht="15.75" customHeight="1" x14ac:dyDescent="0.25">
      <c r="G490" s="1"/>
    </row>
    <row r="491" spans="7:7" ht="15.75" customHeight="1" x14ac:dyDescent="0.25">
      <c r="G491" s="1"/>
    </row>
    <row r="492" spans="7:7" ht="15.75" customHeight="1" x14ac:dyDescent="0.25">
      <c r="G492" s="1"/>
    </row>
    <row r="493" spans="7:7" ht="15.75" customHeight="1" x14ac:dyDescent="0.25">
      <c r="G493" s="1"/>
    </row>
    <row r="494" spans="7:7" ht="15.75" customHeight="1" x14ac:dyDescent="0.25">
      <c r="G494" s="1"/>
    </row>
    <row r="495" spans="7:7" ht="15.75" customHeight="1" x14ac:dyDescent="0.25">
      <c r="G495" s="1"/>
    </row>
    <row r="496" spans="7:7" ht="15.75" customHeight="1" x14ac:dyDescent="0.25">
      <c r="G496" s="1"/>
    </row>
    <row r="497" spans="7:7" ht="15.75" customHeight="1" x14ac:dyDescent="0.25">
      <c r="G497" s="1"/>
    </row>
    <row r="498" spans="7:7" ht="15.75" customHeight="1" x14ac:dyDescent="0.25">
      <c r="G498" s="1"/>
    </row>
    <row r="499" spans="7:7" ht="15.75" customHeight="1" x14ac:dyDescent="0.25">
      <c r="G499" s="1"/>
    </row>
    <row r="500" spans="7:7" ht="15.75" customHeight="1" x14ac:dyDescent="0.25">
      <c r="G500" s="1"/>
    </row>
    <row r="501" spans="7:7" ht="15.75" customHeight="1" x14ac:dyDescent="0.25">
      <c r="G501" s="1"/>
    </row>
    <row r="502" spans="7:7" ht="15.75" customHeight="1" x14ac:dyDescent="0.25">
      <c r="G502" s="1"/>
    </row>
    <row r="503" spans="7:7" ht="15.75" customHeight="1" x14ac:dyDescent="0.25">
      <c r="G503" s="1"/>
    </row>
    <row r="504" spans="7:7" ht="15.75" customHeight="1" x14ac:dyDescent="0.25">
      <c r="G504" s="1"/>
    </row>
    <row r="505" spans="7:7" ht="15.75" customHeight="1" x14ac:dyDescent="0.25">
      <c r="G505" s="1"/>
    </row>
    <row r="506" spans="7:7" ht="15.75" customHeight="1" x14ac:dyDescent="0.25">
      <c r="G506" s="1"/>
    </row>
    <row r="507" spans="7:7" ht="15.75" customHeight="1" x14ac:dyDescent="0.25">
      <c r="G507" s="1"/>
    </row>
    <row r="508" spans="7:7" ht="15.75" customHeight="1" x14ac:dyDescent="0.25">
      <c r="G508" s="1"/>
    </row>
    <row r="509" spans="7:7" ht="15.75" customHeight="1" x14ac:dyDescent="0.25">
      <c r="G509" s="1"/>
    </row>
    <row r="510" spans="7:7" ht="15.75" customHeight="1" x14ac:dyDescent="0.25">
      <c r="G510" s="1"/>
    </row>
    <row r="511" spans="7:7" ht="15.75" customHeight="1" x14ac:dyDescent="0.25">
      <c r="G511" s="1"/>
    </row>
    <row r="512" spans="7:7" ht="15.75" customHeight="1" x14ac:dyDescent="0.25">
      <c r="G512" s="1"/>
    </row>
    <row r="513" spans="7:7" ht="15.75" customHeight="1" x14ac:dyDescent="0.25">
      <c r="G513" s="1"/>
    </row>
    <row r="514" spans="7:7" ht="15.75" customHeight="1" x14ac:dyDescent="0.25">
      <c r="G514" s="1"/>
    </row>
    <row r="515" spans="7:7" ht="15.75" customHeight="1" x14ac:dyDescent="0.25">
      <c r="G515" s="1"/>
    </row>
    <row r="516" spans="7:7" ht="15.75" customHeight="1" x14ac:dyDescent="0.25">
      <c r="G516" s="1"/>
    </row>
    <row r="517" spans="7:7" ht="15.75" customHeight="1" x14ac:dyDescent="0.25">
      <c r="G517" s="1"/>
    </row>
    <row r="518" spans="7:7" ht="15.75" customHeight="1" x14ac:dyDescent="0.25">
      <c r="G518" s="1"/>
    </row>
    <row r="519" spans="7:7" ht="15.75" customHeight="1" x14ac:dyDescent="0.25">
      <c r="G519" s="1"/>
    </row>
    <row r="520" spans="7:7" ht="15.75" customHeight="1" x14ac:dyDescent="0.25">
      <c r="G520" s="1"/>
    </row>
    <row r="521" spans="7:7" ht="15.75" customHeight="1" x14ac:dyDescent="0.25">
      <c r="G521" s="1"/>
    </row>
    <row r="522" spans="7:7" ht="15.75" customHeight="1" x14ac:dyDescent="0.25">
      <c r="G522" s="1"/>
    </row>
    <row r="523" spans="7:7" ht="15.75" customHeight="1" x14ac:dyDescent="0.25">
      <c r="G523" s="1"/>
    </row>
    <row r="524" spans="7:7" ht="15.75" customHeight="1" x14ac:dyDescent="0.25">
      <c r="G524" s="1"/>
    </row>
    <row r="525" spans="7:7" ht="15.75" customHeight="1" x14ac:dyDescent="0.25">
      <c r="G525" s="1"/>
    </row>
    <row r="526" spans="7:7" ht="15.75" customHeight="1" x14ac:dyDescent="0.25">
      <c r="G526" s="1"/>
    </row>
    <row r="527" spans="7:7" ht="15.75" customHeight="1" x14ac:dyDescent="0.25">
      <c r="G527" s="1"/>
    </row>
    <row r="528" spans="7:7" ht="15.75" customHeight="1" x14ac:dyDescent="0.25">
      <c r="G528" s="1"/>
    </row>
    <row r="529" spans="7:7" ht="15.75" customHeight="1" x14ac:dyDescent="0.25">
      <c r="G529" s="1"/>
    </row>
    <row r="530" spans="7:7" ht="15.75" customHeight="1" x14ac:dyDescent="0.25">
      <c r="G530" s="1"/>
    </row>
    <row r="531" spans="7:7" ht="15.75" customHeight="1" x14ac:dyDescent="0.25">
      <c r="G531" s="1"/>
    </row>
    <row r="532" spans="7:7" ht="15.75" customHeight="1" x14ac:dyDescent="0.25">
      <c r="G532" s="1"/>
    </row>
    <row r="533" spans="7:7" ht="15.75" customHeight="1" x14ac:dyDescent="0.25">
      <c r="G533" s="1"/>
    </row>
    <row r="534" spans="7:7" ht="15.75" customHeight="1" x14ac:dyDescent="0.25">
      <c r="G534" s="1"/>
    </row>
    <row r="535" spans="7:7" ht="15.75" customHeight="1" x14ac:dyDescent="0.25">
      <c r="G535" s="1"/>
    </row>
    <row r="536" spans="7:7" ht="15.75" customHeight="1" x14ac:dyDescent="0.25">
      <c r="G536" s="1"/>
    </row>
    <row r="537" spans="7:7" ht="15.75" customHeight="1" x14ac:dyDescent="0.25">
      <c r="G537" s="1"/>
    </row>
    <row r="538" spans="7:7" ht="15.75" customHeight="1" x14ac:dyDescent="0.25">
      <c r="G538" s="1"/>
    </row>
    <row r="539" spans="7:7" ht="15.75" customHeight="1" x14ac:dyDescent="0.25">
      <c r="G539" s="1"/>
    </row>
    <row r="540" spans="7:7" ht="15.75" customHeight="1" x14ac:dyDescent="0.25">
      <c r="G540" s="1"/>
    </row>
    <row r="541" spans="7:7" ht="15.75" customHeight="1" x14ac:dyDescent="0.25">
      <c r="G541" s="1"/>
    </row>
    <row r="542" spans="7:7" ht="15.75" customHeight="1" x14ac:dyDescent="0.25">
      <c r="G542" s="1"/>
    </row>
    <row r="543" spans="7:7" ht="15.75" customHeight="1" x14ac:dyDescent="0.25">
      <c r="G543" s="1"/>
    </row>
    <row r="544" spans="7:7" ht="15.75" customHeight="1" x14ac:dyDescent="0.25">
      <c r="G544" s="1"/>
    </row>
    <row r="545" spans="7:7" ht="15.75" customHeight="1" x14ac:dyDescent="0.25">
      <c r="G545" s="1"/>
    </row>
    <row r="546" spans="7:7" ht="15.75" customHeight="1" x14ac:dyDescent="0.25">
      <c r="G546" s="1"/>
    </row>
    <row r="547" spans="7:7" ht="15.75" customHeight="1" x14ac:dyDescent="0.25">
      <c r="G547" s="1"/>
    </row>
    <row r="548" spans="7:7" ht="15.75" customHeight="1" x14ac:dyDescent="0.25">
      <c r="G548" s="1"/>
    </row>
    <row r="549" spans="7:7" ht="15.75" customHeight="1" x14ac:dyDescent="0.25">
      <c r="G549" s="1"/>
    </row>
    <row r="550" spans="7:7" ht="15.75" customHeight="1" x14ac:dyDescent="0.25">
      <c r="G550" s="1"/>
    </row>
    <row r="551" spans="7:7" ht="15.75" customHeight="1" x14ac:dyDescent="0.25">
      <c r="G551" s="1"/>
    </row>
    <row r="552" spans="7:7" ht="15.75" customHeight="1" x14ac:dyDescent="0.25">
      <c r="G552" s="1"/>
    </row>
    <row r="553" spans="7:7" ht="15.75" customHeight="1" x14ac:dyDescent="0.25">
      <c r="G553" s="1"/>
    </row>
    <row r="554" spans="7:7" ht="15.75" customHeight="1" x14ac:dyDescent="0.25">
      <c r="G554" s="1"/>
    </row>
    <row r="555" spans="7:7" ht="15.75" customHeight="1" x14ac:dyDescent="0.25">
      <c r="G555" s="1"/>
    </row>
    <row r="556" spans="7:7" ht="15.75" customHeight="1" x14ac:dyDescent="0.25">
      <c r="G556" s="1"/>
    </row>
    <row r="557" spans="7:7" ht="15.75" customHeight="1" x14ac:dyDescent="0.25">
      <c r="G557" s="1"/>
    </row>
    <row r="558" spans="7:7" ht="15.75" customHeight="1" x14ac:dyDescent="0.25">
      <c r="G558" s="1"/>
    </row>
    <row r="559" spans="7:7" ht="15.75" customHeight="1" x14ac:dyDescent="0.25">
      <c r="G559" s="1"/>
    </row>
    <row r="560" spans="7:7" ht="15.75" customHeight="1" x14ac:dyDescent="0.25">
      <c r="G560" s="1"/>
    </row>
    <row r="561" spans="7:7" ht="15.75" customHeight="1" x14ac:dyDescent="0.25">
      <c r="G561" s="1"/>
    </row>
    <row r="562" spans="7:7" ht="15.75" customHeight="1" x14ac:dyDescent="0.25">
      <c r="G562" s="1"/>
    </row>
    <row r="563" spans="7:7" ht="15.75" customHeight="1" x14ac:dyDescent="0.25">
      <c r="G563" s="1"/>
    </row>
    <row r="564" spans="7:7" ht="15.75" customHeight="1" x14ac:dyDescent="0.25">
      <c r="G564" s="1"/>
    </row>
    <row r="565" spans="7:7" ht="15.75" customHeight="1" x14ac:dyDescent="0.25">
      <c r="G565" s="1"/>
    </row>
    <row r="566" spans="7:7" ht="15.75" customHeight="1" x14ac:dyDescent="0.25">
      <c r="G566" s="1"/>
    </row>
    <row r="567" spans="7:7" ht="15.75" customHeight="1" x14ac:dyDescent="0.25">
      <c r="G567" s="1"/>
    </row>
    <row r="568" spans="7:7" ht="15.75" customHeight="1" x14ac:dyDescent="0.25">
      <c r="G568" s="1"/>
    </row>
    <row r="569" spans="7:7" ht="15.75" customHeight="1" x14ac:dyDescent="0.25">
      <c r="G569" s="1"/>
    </row>
    <row r="570" spans="7:7" ht="15.75" customHeight="1" x14ac:dyDescent="0.25">
      <c r="G570" s="1"/>
    </row>
    <row r="571" spans="7:7" ht="15.75" customHeight="1" x14ac:dyDescent="0.25">
      <c r="G571" s="1"/>
    </row>
    <row r="572" spans="7:7" ht="15.75" customHeight="1" x14ac:dyDescent="0.25">
      <c r="G572" s="1"/>
    </row>
    <row r="573" spans="7:7" ht="15.75" customHeight="1" x14ac:dyDescent="0.25">
      <c r="G573" s="1"/>
    </row>
    <row r="574" spans="7:7" ht="15.75" customHeight="1" x14ac:dyDescent="0.25">
      <c r="G574" s="1"/>
    </row>
    <row r="575" spans="7:7" ht="15.75" customHeight="1" x14ac:dyDescent="0.25">
      <c r="G575" s="1"/>
    </row>
    <row r="576" spans="7:7" ht="15.75" customHeight="1" x14ac:dyDescent="0.25">
      <c r="G576" s="1"/>
    </row>
    <row r="577" spans="7:7" ht="15.75" customHeight="1" x14ac:dyDescent="0.25">
      <c r="G577" s="1"/>
    </row>
    <row r="578" spans="7:7" ht="15.75" customHeight="1" x14ac:dyDescent="0.25">
      <c r="G578" s="1"/>
    </row>
    <row r="579" spans="7:7" ht="15.75" customHeight="1" x14ac:dyDescent="0.25">
      <c r="G579" s="1"/>
    </row>
    <row r="580" spans="7:7" ht="15.75" customHeight="1" x14ac:dyDescent="0.25">
      <c r="G580" s="1"/>
    </row>
    <row r="581" spans="7:7" ht="15.75" customHeight="1" x14ac:dyDescent="0.25">
      <c r="G581" s="1"/>
    </row>
    <row r="582" spans="7:7" ht="15.75" customHeight="1" x14ac:dyDescent="0.25">
      <c r="G582" s="1"/>
    </row>
    <row r="583" spans="7:7" ht="15.75" customHeight="1" x14ac:dyDescent="0.25">
      <c r="G583" s="1"/>
    </row>
    <row r="584" spans="7:7" ht="15.75" customHeight="1" x14ac:dyDescent="0.25">
      <c r="G584" s="1"/>
    </row>
    <row r="585" spans="7:7" ht="15.75" customHeight="1" x14ac:dyDescent="0.25">
      <c r="G585" s="1"/>
    </row>
    <row r="586" spans="7:7" ht="15.75" customHeight="1" x14ac:dyDescent="0.25">
      <c r="G586" s="1"/>
    </row>
    <row r="587" spans="7:7" ht="15.75" customHeight="1" x14ac:dyDescent="0.25">
      <c r="G587" s="1"/>
    </row>
    <row r="588" spans="7:7" ht="15.75" customHeight="1" x14ac:dyDescent="0.25">
      <c r="G588" s="1"/>
    </row>
    <row r="589" spans="7:7" ht="15.75" customHeight="1" x14ac:dyDescent="0.25">
      <c r="G589" s="1"/>
    </row>
    <row r="590" spans="7:7" ht="15.75" customHeight="1" x14ac:dyDescent="0.25">
      <c r="G590" s="1"/>
    </row>
    <row r="591" spans="7:7" ht="15.75" customHeight="1" x14ac:dyDescent="0.25">
      <c r="G591" s="1"/>
    </row>
    <row r="592" spans="7:7" ht="15.75" customHeight="1" x14ac:dyDescent="0.25">
      <c r="G592" s="1"/>
    </row>
    <row r="593" spans="7:7" ht="15.75" customHeight="1" x14ac:dyDescent="0.25">
      <c r="G593" s="1"/>
    </row>
    <row r="594" spans="7:7" ht="15.75" customHeight="1" x14ac:dyDescent="0.25">
      <c r="G594" s="1"/>
    </row>
    <row r="595" spans="7:7" ht="15.75" customHeight="1" x14ac:dyDescent="0.25">
      <c r="G595" s="1"/>
    </row>
    <row r="596" spans="7:7" ht="15.75" customHeight="1" x14ac:dyDescent="0.25">
      <c r="G596" s="1"/>
    </row>
    <row r="597" spans="7:7" ht="15.75" customHeight="1" x14ac:dyDescent="0.25">
      <c r="G597" s="1"/>
    </row>
    <row r="598" spans="7:7" ht="15.75" customHeight="1" x14ac:dyDescent="0.25">
      <c r="G598" s="1"/>
    </row>
    <row r="599" spans="7:7" ht="15.75" customHeight="1" x14ac:dyDescent="0.25">
      <c r="G599" s="1"/>
    </row>
    <row r="600" spans="7:7" ht="15.75" customHeight="1" x14ac:dyDescent="0.25">
      <c r="G600" s="1"/>
    </row>
    <row r="601" spans="7:7" ht="15.75" customHeight="1" x14ac:dyDescent="0.25">
      <c r="G601" s="1"/>
    </row>
    <row r="602" spans="7:7" ht="15.75" customHeight="1" x14ac:dyDescent="0.25">
      <c r="G602" s="1"/>
    </row>
    <row r="603" spans="7:7" ht="15.75" customHeight="1" x14ac:dyDescent="0.25">
      <c r="G603" s="1"/>
    </row>
    <row r="604" spans="7:7" ht="15.75" customHeight="1" x14ac:dyDescent="0.25">
      <c r="G604" s="1"/>
    </row>
    <row r="605" spans="7:7" ht="15.75" customHeight="1" x14ac:dyDescent="0.25">
      <c r="G605" s="1"/>
    </row>
    <row r="606" spans="7:7" ht="15.75" customHeight="1" x14ac:dyDescent="0.25">
      <c r="G606" s="1"/>
    </row>
    <row r="607" spans="7:7" ht="15.75" customHeight="1" x14ac:dyDescent="0.25">
      <c r="G607" s="1"/>
    </row>
    <row r="608" spans="7:7" ht="15.75" customHeight="1" x14ac:dyDescent="0.25">
      <c r="G608" s="1"/>
    </row>
    <row r="609" spans="7:7" ht="15.75" customHeight="1" x14ac:dyDescent="0.25">
      <c r="G609" s="1"/>
    </row>
    <row r="610" spans="7:7" ht="15.75" customHeight="1" x14ac:dyDescent="0.25">
      <c r="G610" s="1"/>
    </row>
    <row r="611" spans="7:7" ht="15.75" customHeight="1" x14ac:dyDescent="0.25">
      <c r="G611" s="1"/>
    </row>
    <row r="612" spans="7:7" ht="15.75" customHeight="1" x14ac:dyDescent="0.25">
      <c r="G612" s="1"/>
    </row>
    <row r="613" spans="7:7" ht="15.75" customHeight="1" x14ac:dyDescent="0.25">
      <c r="G613" s="1"/>
    </row>
    <row r="614" spans="7:7" ht="15.75" customHeight="1" x14ac:dyDescent="0.25">
      <c r="G614" s="1"/>
    </row>
    <row r="615" spans="7:7" ht="15.75" customHeight="1" x14ac:dyDescent="0.25">
      <c r="G615" s="1"/>
    </row>
    <row r="616" spans="7:7" ht="15.75" customHeight="1" x14ac:dyDescent="0.25">
      <c r="G616" s="1"/>
    </row>
    <row r="617" spans="7:7" ht="15.75" customHeight="1" x14ac:dyDescent="0.25">
      <c r="G617" s="1"/>
    </row>
    <row r="618" spans="7:7" ht="15.75" customHeight="1" x14ac:dyDescent="0.25">
      <c r="G618" s="1"/>
    </row>
    <row r="619" spans="7:7" ht="15.75" customHeight="1" x14ac:dyDescent="0.25">
      <c r="G619" s="1"/>
    </row>
    <row r="620" spans="7:7" ht="15.75" customHeight="1" x14ac:dyDescent="0.25">
      <c r="G620" s="1"/>
    </row>
    <row r="621" spans="7:7" ht="15.75" customHeight="1" x14ac:dyDescent="0.25">
      <c r="G621" s="1"/>
    </row>
    <row r="622" spans="7:7" ht="15.75" customHeight="1" x14ac:dyDescent="0.25">
      <c r="G622" s="1"/>
    </row>
    <row r="623" spans="7:7" ht="15.75" customHeight="1" x14ac:dyDescent="0.25">
      <c r="G623" s="1"/>
    </row>
    <row r="624" spans="7:7" ht="15.75" customHeight="1" x14ac:dyDescent="0.25">
      <c r="G624" s="1"/>
    </row>
    <row r="625" spans="7:7" ht="15.75" customHeight="1" x14ac:dyDescent="0.25">
      <c r="G625" s="1"/>
    </row>
    <row r="626" spans="7:7" ht="15.75" customHeight="1" x14ac:dyDescent="0.25">
      <c r="G626" s="1"/>
    </row>
    <row r="627" spans="7:7" ht="15.75" customHeight="1" x14ac:dyDescent="0.25">
      <c r="G627" s="1"/>
    </row>
    <row r="628" spans="7:7" ht="15.75" customHeight="1" x14ac:dyDescent="0.25">
      <c r="G628" s="1"/>
    </row>
    <row r="629" spans="7:7" ht="15.75" customHeight="1" x14ac:dyDescent="0.25">
      <c r="G629" s="1"/>
    </row>
    <row r="630" spans="7:7" ht="15.75" customHeight="1" x14ac:dyDescent="0.25">
      <c r="G630" s="1"/>
    </row>
    <row r="631" spans="7:7" ht="15.75" customHeight="1" x14ac:dyDescent="0.25">
      <c r="G631" s="1"/>
    </row>
    <row r="632" spans="7:7" ht="15.75" customHeight="1" x14ac:dyDescent="0.25">
      <c r="G632" s="1"/>
    </row>
    <row r="633" spans="7:7" ht="15.75" customHeight="1" x14ac:dyDescent="0.25">
      <c r="G633" s="1"/>
    </row>
    <row r="634" spans="7:7" ht="15.75" customHeight="1" x14ac:dyDescent="0.25">
      <c r="G634" s="1"/>
    </row>
    <row r="635" spans="7:7" ht="15.75" customHeight="1" x14ac:dyDescent="0.25">
      <c r="G635" s="1"/>
    </row>
    <row r="636" spans="7:7" ht="15.75" customHeight="1" x14ac:dyDescent="0.25">
      <c r="G636" s="1"/>
    </row>
    <row r="637" spans="7:7" ht="15.75" customHeight="1" x14ac:dyDescent="0.25">
      <c r="G637" s="1"/>
    </row>
    <row r="638" spans="7:7" ht="15.75" customHeight="1" x14ac:dyDescent="0.25">
      <c r="G638" s="1"/>
    </row>
    <row r="639" spans="7:7" ht="15.75" customHeight="1" x14ac:dyDescent="0.25">
      <c r="G639" s="1"/>
    </row>
    <row r="640" spans="7:7" ht="15.75" customHeight="1" x14ac:dyDescent="0.25">
      <c r="G640" s="1"/>
    </row>
    <row r="641" spans="7:7" ht="15.75" customHeight="1" x14ac:dyDescent="0.25">
      <c r="G641" s="1"/>
    </row>
    <row r="642" spans="7:7" ht="15.75" customHeight="1" x14ac:dyDescent="0.25">
      <c r="G642" s="1"/>
    </row>
    <row r="643" spans="7:7" ht="15.75" customHeight="1" x14ac:dyDescent="0.25">
      <c r="G643" s="1"/>
    </row>
    <row r="644" spans="7:7" ht="15.75" customHeight="1" x14ac:dyDescent="0.25">
      <c r="G644" s="1"/>
    </row>
    <row r="645" spans="7:7" ht="15.75" customHeight="1" x14ac:dyDescent="0.25">
      <c r="G645" s="1"/>
    </row>
    <row r="646" spans="7:7" ht="15.75" customHeight="1" x14ac:dyDescent="0.25">
      <c r="G646" s="1"/>
    </row>
    <row r="647" spans="7:7" ht="15.75" customHeight="1" x14ac:dyDescent="0.25">
      <c r="G647" s="1"/>
    </row>
    <row r="648" spans="7:7" ht="15.75" customHeight="1" x14ac:dyDescent="0.25">
      <c r="G648" s="1"/>
    </row>
    <row r="649" spans="7:7" ht="15.75" customHeight="1" x14ac:dyDescent="0.25">
      <c r="G649" s="1"/>
    </row>
    <row r="650" spans="7:7" ht="15.75" customHeight="1" x14ac:dyDescent="0.25">
      <c r="G650" s="1"/>
    </row>
    <row r="651" spans="7:7" ht="15.75" customHeight="1" x14ac:dyDescent="0.25">
      <c r="G651" s="1"/>
    </row>
    <row r="652" spans="7:7" ht="15.75" customHeight="1" x14ac:dyDescent="0.25">
      <c r="G652" s="1"/>
    </row>
    <row r="653" spans="7:7" ht="15.75" customHeight="1" x14ac:dyDescent="0.25">
      <c r="G653" s="1"/>
    </row>
    <row r="654" spans="7:7" ht="15.75" customHeight="1" x14ac:dyDescent="0.25">
      <c r="G654" s="1"/>
    </row>
    <row r="655" spans="7:7" ht="15.75" customHeight="1" x14ac:dyDescent="0.25">
      <c r="G655" s="1"/>
    </row>
    <row r="656" spans="7:7" ht="15.75" customHeight="1" x14ac:dyDescent="0.25">
      <c r="G656" s="1"/>
    </row>
    <row r="657" spans="7:7" ht="15.75" customHeight="1" x14ac:dyDescent="0.25">
      <c r="G657" s="1"/>
    </row>
    <row r="658" spans="7:7" ht="15.75" customHeight="1" x14ac:dyDescent="0.25">
      <c r="G658" s="1"/>
    </row>
    <row r="659" spans="7:7" ht="15.75" customHeight="1" x14ac:dyDescent="0.25">
      <c r="G659" s="1"/>
    </row>
    <row r="660" spans="7:7" ht="15.75" customHeight="1" x14ac:dyDescent="0.25">
      <c r="G660" s="1"/>
    </row>
    <row r="661" spans="7:7" ht="15.75" customHeight="1" x14ac:dyDescent="0.25">
      <c r="G661" s="1"/>
    </row>
    <row r="662" spans="7:7" ht="15.75" customHeight="1" x14ac:dyDescent="0.25">
      <c r="G662" s="1"/>
    </row>
    <row r="663" spans="7:7" ht="15.75" customHeight="1" x14ac:dyDescent="0.25">
      <c r="G663" s="1"/>
    </row>
    <row r="664" spans="7:7" ht="15.75" customHeight="1" x14ac:dyDescent="0.25">
      <c r="G664" s="1"/>
    </row>
    <row r="665" spans="7:7" ht="15.75" customHeight="1" x14ac:dyDescent="0.25">
      <c r="G665" s="1"/>
    </row>
    <row r="666" spans="7:7" ht="15.75" customHeight="1" x14ac:dyDescent="0.25">
      <c r="G666" s="1"/>
    </row>
    <row r="667" spans="7:7" ht="15.75" customHeight="1" x14ac:dyDescent="0.25">
      <c r="G667" s="1"/>
    </row>
    <row r="668" spans="7:7" ht="15.75" customHeight="1" x14ac:dyDescent="0.25">
      <c r="G668" s="1"/>
    </row>
    <row r="669" spans="7:7" ht="15.75" customHeight="1" x14ac:dyDescent="0.25">
      <c r="G669" s="1"/>
    </row>
    <row r="670" spans="7:7" ht="15.75" customHeight="1" x14ac:dyDescent="0.25">
      <c r="G670" s="1"/>
    </row>
    <row r="671" spans="7:7" ht="15.75" customHeight="1" x14ac:dyDescent="0.25">
      <c r="G671" s="1"/>
    </row>
    <row r="672" spans="7:7" ht="15.75" customHeight="1" x14ac:dyDescent="0.25">
      <c r="G672" s="1"/>
    </row>
    <row r="673" spans="7:7" ht="15.75" customHeight="1" x14ac:dyDescent="0.25">
      <c r="G673" s="1"/>
    </row>
    <row r="674" spans="7:7" ht="15.75" customHeight="1" x14ac:dyDescent="0.25">
      <c r="G674" s="1"/>
    </row>
    <row r="675" spans="7:7" ht="15.75" customHeight="1" x14ac:dyDescent="0.25">
      <c r="G675" s="1"/>
    </row>
    <row r="676" spans="7:7" ht="15.75" customHeight="1" x14ac:dyDescent="0.25">
      <c r="G676" s="1"/>
    </row>
    <row r="677" spans="7:7" ht="15.75" customHeight="1" x14ac:dyDescent="0.25">
      <c r="G677" s="1"/>
    </row>
    <row r="678" spans="7:7" ht="15.75" customHeight="1" x14ac:dyDescent="0.25">
      <c r="G678" s="1"/>
    </row>
    <row r="679" spans="7:7" ht="15.75" customHeight="1" x14ac:dyDescent="0.25">
      <c r="G679" s="1"/>
    </row>
    <row r="680" spans="7:7" ht="15.75" customHeight="1" x14ac:dyDescent="0.25">
      <c r="G680" s="1"/>
    </row>
    <row r="681" spans="7:7" ht="15.75" customHeight="1" x14ac:dyDescent="0.25">
      <c r="G681" s="1"/>
    </row>
    <row r="682" spans="7:7" ht="15.75" customHeight="1" x14ac:dyDescent="0.25">
      <c r="G682" s="1"/>
    </row>
    <row r="683" spans="7:7" ht="15.75" customHeight="1" x14ac:dyDescent="0.25">
      <c r="G683" s="1"/>
    </row>
    <row r="684" spans="7:7" ht="15.75" customHeight="1" x14ac:dyDescent="0.25">
      <c r="G684" s="1"/>
    </row>
    <row r="685" spans="7:7" ht="15.75" customHeight="1" x14ac:dyDescent="0.25">
      <c r="G685" s="1"/>
    </row>
    <row r="686" spans="7:7" ht="15.75" customHeight="1" x14ac:dyDescent="0.25">
      <c r="G686" s="1"/>
    </row>
    <row r="687" spans="7:7" ht="15.75" customHeight="1" x14ac:dyDescent="0.25">
      <c r="G687" s="1"/>
    </row>
    <row r="688" spans="7:7" ht="15.75" customHeight="1" x14ac:dyDescent="0.25">
      <c r="G688" s="1"/>
    </row>
    <row r="689" spans="7:7" ht="15.75" customHeight="1" x14ac:dyDescent="0.25">
      <c r="G689" s="1"/>
    </row>
    <row r="690" spans="7:7" ht="15.75" customHeight="1" x14ac:dyDescent="0.25">
      <c r="G690" s="1"/>
    </row>
    <row r="691" spans="7:7" ht="15.75" customHeight="1" x14ac:dyDescent="0.25">
      <c r="G691" s="1"/>
    </row>
    <row r="692" spans="7:7" ht="15.75" customHeight="1" x14ac:dyDescent="0.25">
      <c r="G692" s="1"/>
    </row>
    <row r="693" spans="7:7" ht="15.75" customHeight="1" x14ac:dyDescent="0.25">
      <c r="G693" s="1"/>
    </row>
    <row r="694" spans="7:7" ht="15.75" customHeight="1" x14ac:dyDescent="0.25">
      <c r="G694" s="1"/>
    </row>
    <row r="695" spans="7:7" ht="15.75" customHeight="1" x14ac:dyDescent="0.25">
      <c r="G695" s="1"/>
    </row>
    <row r="696" spans="7:7" ht="15.75" customHeight="1" x14ac:dyDescent="0.25">
      <c r="G696" s="1"/>
    </row>
    <row r="697" spans="7:7" ht="15.75" customHeight="1" x14ac:dyDescent="0.25">
      <c r="G697" s="1"/>
    </row>
    <row r="698" spans="7:7" ht="15.75" customHeight="1" x14ac:dyDescent="0.25">
      <c r="G698" s="1"/>
    </row>
    <row r="699" spans="7:7" ht="15.75" customHeight="1" x14ac:dyDescent="0.25">
      <c r="G699" s="1"/>
    </row>
    <row r="700" spans="7:7" ht="15.75" customHeight="1" x14ac:dyDescent="0.25">
      <c r="G700" s="1"/>
    </row>
    <row r="701" spans="7:7" ht="15.75" customHeight="1" x14ac:dyDescent="0.25">
      <c r="G701" s="1"/>
    </row>
    <row r="702" spans="7:7" ht="15.75" customHeight="1" x14ac:dyDescent="0.25">
      <c r="G702" s="1"/>
    </row>
    <row r="703" spans="7:7" ht="15.75" customHeight="1" x14ac:dyDescent="0.25">
      <c r="G703" s="1"/>
    </row>
    <row r="704" spans="7:7" ht="15.75" customHeight="1" x14ac:dyDescent="0.25">
      <c r="G704" s="1"/>
    </row>
    <row r="705" spans="7:7" ht="15.75" customHeight="1" x14ac:dyDescent="0.25">
      <c r="G705" s="1"/>
    </row>
    <row r="706" spans="7:7" ht="15.75" customHeight="1" x14ac:dyDescent="0.25">
      <c r="G706" s="1"/>
    </row>
    <row r="707" spans="7:7" ht="15.75" customHeight="1" x14ac:dyDescent="0.25">
      <c r="G707" s="1"/>
    </row>
    <row r="708" spans="7:7" ht="15.75" customHeight="1" x14ac:dyDescent="0.25">
      <c r="G708" s="1"/>
    </row>
    <row r="709" spans="7:7" ht="15.75" customHeight="1" x14ac:dyDescent="0.25">
      <c r="G709" s="1"/>
    </row>
    <row r="710" spans="7:7" ht="15.75" customHeight="1" x14ac:dyDescent="0.25">
      <c r="G710" s="1"/>
    </row>
    <row r="711" spans="7:7" ht="15.75" customHeight="1" x14ac:dyDescent="0.25">
      <c r="G711" s="1"/>
    </row>
    <row r="712" spans="7:7" ht="15.75" customHeight="1" x14ac:dyDescent="0.25">
      <c r="G712" s="1"/>
    </row>
    <row r="713" spans="7:7" ht="15.75" customHeight="1" x14ac:dyDescent="0.25">
      <c r="G713" s="1"/>
    </row>
    <row r="714" spans="7:7" ht="15.75" customHeight="1" x14ac:dyDescent="0.25">
      <c r="G714" s="1"/>
    </row>
    <row r="715" spans="7:7" ht="15.75" customHeight="1" x14ac:dyDescent="0.25">
      <c r="G715" s="1"/>
    </row>
    <row r="716" spans="7:7" ht="15.75" customHeight="1" x14ac:dyDescent="0.25">
      <c r="G716" s="1"/>
    </row>
    <row r="717" spans="7:7" ht="15.75" customHeight="1" x14ac:dyDescent="0.25">
      <c r="G717" s="1"/>
    </row>
    <row r="718" spans="7:7" ht="15.75" customHeight="1" x14ac:dyDescent="0.25">
      <c r="G718" s="1"/>
    </row>
    <row r="719" spans="7:7" ht="15.75" customHeight="1" x14ac:dyDescent="0.25">
      <c r="G719" s="1"/>
    </row>
    <row r="720" spans="7:7" ht="15.75" customHeight="1" x14ac:dyDescent="0.25">
      <c r="G720" s="1"/>
    </row>
    <row r="721" spans="7:7" ht="15.75" customHeight="1" x14ac:dyDescent="0.25">
      <c r="G721" s="1"/>
    </row>
    <row r="722" spans="7:7" ht="15.75" customHeight="1" x14ac:dyDescent="0.25">
      <c r="G722" s="1"/>
    </row>
    <row r="723" spans="7:7" ht="15.75" customHeight="1" x14ac:dyDescent="0.25">
      <c r="G723" s="1"/>
    </row>
    <row r="724" spans="7:7" ht="15.75" customHeight="1" x14ac:dyDescent="0.25">
      <c r="G724" s="1"/>
    </row>
    <row r="725" spans="7:7" ht="15.75" customHeight="1" x14ac:dyDescent="0.25">
      <c r="G725" s="1"/>
    </row>
    <row r="726" spans="7:7" ht="15.75" customHeight="1" x14ac:dyDescent="0.25">
      <c r="G726" s="1"/>
    </row>
    <row r="727" spans="7:7" ht="15.75" customHeight="1" x14ac:dyDescent="0.25">
      <c r="G727" s="1"/>
    </row>
    <row r="728" spans="7:7" ht="15.75" customHeight="1" x14ac:dyDescent="0.25">
      <c r="G728" s="1"/>
    </row>
    <row r="729" spans="7:7" ht="15.75" customHeight="1" x14ac:dyDescent="0.25">
      <c r="G729" s="1"/>
    </row>
    <row r="730" spans="7:7" ht="15.75" customHeight="1" x14ac:dyDescent="0.25">
      <c r="G730" s="1"/>
    </row>
    <row r="731" spans="7:7" ht="15.75" customHeight="1" x14ac:dyDescent="0.25">
      <c r="G731" s="1"/>
    </row>
    <row r="732" spans="7:7" ht="15.75" customHeight="1" x14ac:dyDescent="0.25">
      <c r="G732" s="1"/>
    </row>
    <row r="733" spans="7:7" ht="15.75" customHeight="1" x14ac:dyDescent="0.25">
      <c r="G733" s="1"/>
    </row>
    <row r="734" spans="7:7" ht="15.75" customHeight="1" x14ac:dyDescent="0.25">
      <c r="G734" s="1"/>
    </row>
    <row r="735" spans="7:7" ht="15.75" customHeight="1" x14ac:dyDescent="0.25">
      <c r="G735" s="1"/>
    </row>
    <row r="736" spans="7:7" ht="15.75" customHeight="1" x14ac:dyDescent="0.25">
      <c r="G736" s="1"/>
    </row>
    <row r="737" spans="7:7" ht="15.75" customHeight="1" x14ac:dyDescent="0.25">
      <c r="G737" s="1"/>
    </row>
    <row r="738" spans="7:7" ht="15.75" customHeight="1" x14ac:dyDescent="0.25">
      <c r="G738" s="1"/>
    </row>
    <row r="739" spans="7:7" ht="15.75" customHeight="1" x14ac:dyDescent="0.25">
      <c r="G739" s="1"/>
    </row>
    <row r="740" spans="7:7" ht="15.75" customHeight="1" x14ac:dyDescent="0.25">
      <c r="G740" s="1"/>
    </row>
    <row r="741" spans="7:7" ht="15.75" customHeight="1" x14ac:dyDescent="0.25">
      <c r="G741" s="1"/>
    </row>
    <row r="742" spans="7:7" ht="15.75" customHeight="1" x14ac:dyDescent="0.25">
      <c r="G742" s="1"/>
    </row>
    <row r="743" spans="7:7" ht="15.75" customHeight="1" x14ac:dyDescent="0.25">
      <c r="G743" s="1"/>
    </row>
    <row r="744" spans="7:7" ht="15.75" customHeight="1" x14ac:dyDescent="0.25">
      <c r="G744" s="1"/>
    </row>
    <row r="745" spans="7:7" ht="15.75" customHeight="1" x14ac:dyDescent="0.25">
      <c r="G745" s="1"/>
    </row>
    <row r="746" spans="7:7" ht="15.75" customHeight="1" x14ac:dyDescent="0.25">
      <c r="G746" s="1"/>
    </row>
    <row r="747" spans="7:7" ht="15.75" customHeight="1" x14ac:dyDescent="0.25">
      <c r="G747" s="1"/>
    </row>
    <row r="748" spans="7:7" ht="15.75" customHeight="1" x14ac:dyDescent="0.25">
      <c r="G748" s="1"/>
    </row>
    <row r="749" spans="7:7" ht="15.75" customHeight="1" x14ac:dyDescent="0.25">
      <c r="G749" s="1"/>
    </row>
    <row r="750" spans="7:7" ht="15.75" customHeight="1" x14ac:dyDescent="0.25">
      <c r="G750" s="1"/>
    </row>
    <row r="751" spans="7:7" ht="15.75" customHeight="1" x14ac:dyDescent="0.25">
      <c r="G751" s="1"/>
    </row>
    <row r="752" spans="7:7" ht="15.75" customHeight="1" x14ac:dyDescent="0.25">
      <c r="G752" s="1"/>
    </row>
    <row r="753" spans="7:7" ht="15.75" customHeight="1" x14ac:dyDescent="0.25">
      <c r="G753" s="1"/>
    </row>
    <row r="754" spans="7:7" ht="15.75" customHeight="1" x14ac:dyDescent="0.25">
      <c r="G754" s="1"/>
    </row>
    <row r="755" spans="7:7" ht="15.75" customHeight="1" x14ac:dyDescent="0.25">
      <c r="G755" s="1"/>
    </row>
    <row r="756" spans="7:7" ht="15.75" customHeight="1" x14ac:dyDescent="0.25">
      <c r="G756" s="1"/>
    </row>
    <row r="757" spans="7:7" ht="15.75" customHeight="1" x14ac:dyDescent="0.25">
      <c r="G757" s="1"/>
    </row>
    <row r="758" spans="7:7" ht="15.75" customHeight="1" x14ac:dyDescent="0.25">
      <c r="G758" s="1"/>
    </row>
    <row r="759" spans="7:7" ht="15.75" customHeight="1" x14ac:dyDescent="0.25">
      <c r="G759" s="1"/>
    </row>
    <row r="760" spans="7:7" ht="15.75" customHeight="1" x14ac:dyDescent="0.25">
      <c r="G760" s="1"/>
    </row>
    <row r="761" spans="7:7" ht="15.75" customHeight="1" x14ac:dyDescent="0.25">
      <c r="G761" s="1"/>
    </row>
    <row r="762" spans="7:7" ht="15.75" customHeight="1" x14ac:dyDescent="0.25">
      <c r="G762" s="1"/>
    </row>
    <row r="763" spans="7:7" ht="15.75" customHeight="1" x14ac:dyDescent="0.25">
      <c r="G763" s="1"/>
    </row>
    <row r="764" spans="7:7" ht="15.75" customHeight="1" x14ac:dyDescent="0.25">
      <c r="G764" s="1"/>
    </row>
    <row r="765" spans="7:7" ht="15.75" customHeight="1" x14ac:dyDescent="0.25">
      <c r="G765" s="1"/>
    </row>
    <row r="766" spans="7:7" ht="15.75" customHeight="1" x14ac:dyDescent="0.25">
      <c r="G766" s="1"/>
    </row>
    <row r="767" spans="7:7" ht="15.75" customHeight="1" x14ac:dyDescent="0.25">
      <c r="G767" s="1"/>
    </row>
    <row r="768" spans="7:7" ht="15.75" customHeight="1" x14ac:dyDescent="0.25">
      <c r="G768" s="1"/>
    </row>
    <row r="769" spans="7:7" ht="15.75" customHeight="1" x14ac:dyDescent="0.25">
      <c r="G769" s="1"/>
    </row>
    <row r="770" spans="7:7" ht="15.75" customHeight="1" x14ac:dyDescent="0.25">
      <c r="G770" s="1"/>
    </row>
    <row r="771" spans="7:7" ht="15.75" customHeight="1" x14ac:dyDescent="0.25">
      <c r="G771" s="1"/>
    </row>
    <row r="772" spans="7:7" ht="15.75" customHeight="1" x14ac:dyDescent="0.25">
      <c r="G772" s="1"/>
    </row>
    <row r="773" spans="7:7" ht="15.75" customHeight="1" x14ac:dyDescent="0.25">
      <c r="G773" s="1"/>
    </row>
    <row r="774" spans="7:7" ht="15.75" customHeight="1" x14ac:dyDescent="0.25">
      <c r="G774" s="1"/>
    </row>
    <row r="775" spans="7:7" ht="15.75" customHeight="1" x14ac:dyDescent="0.25">
      <c r="G775" s="1"/>
    </row>
    <row r="776" spans="7:7" ht="15.75" customHeight="1" x14ac:dyDescent="0.25">
      <c r="G776" s="1"/>
    </row>
    <row r="777" spans="7:7" ht="15.75" customHeight="1" x14ac:dyDescent="0.25">
      <c r="G777" s="1"/>
    </row>
    <row r="778" spans="7:7" ht="15.75" customHeight="1" x14ac:dyDescent="0.25">
      <c r="G778" s="1"/>
    </row>
    <row r="779" spans="7:7" ht="15.75" customHeight="1" x14ac:dyDescent="0.25">
      <c r="G779" s="1"/>
    </row>
    <row r="780" spans="7:7" ht="15.75" customHeight="1" x14ac:dyDescent="0.25">
      <c r="G780" s="1"/>
    </row>
    <row r="781" spans="7:7" ht="15.75" customHeight="1" x14ac:dyDescent="0.25">
      <c r="G781" s="1"/>
    </row>
    <row r="782" spans="7:7" ht="15.75" customHeight="1" x14ac:dyDescent="0.25">
      <c r="G782" s="1"/>
    </row>
    <row r="783" spans="7:7" ht="15.75" customHeight="1" x14ac:dyDescent="0.25">
      <c r="G783" s="1"/>
    </row>
    <row r="784" spans="7:7" ht="15.75" customHeight="1" x14ac:dyDescent="0.25">
      <c r="G784" s="1"/>
    </row>
    <row r="785" spans="7:7" ht="15.75" customHeight="1" x14ac:dyDescent="0.25">
      <c r="G785" s="1"/>
    </row>
    <row r="786" spans="7:7" ht="15.75" customHeight="1" x14ac:dyDescent="0.25">
      <c r="G786" s="1"/>
    </row>
    <row r="787" spans="7:7" ht="15.75" customHeight="1" x14ac:dyDescent="0.25">
      <c r="G787" s="1"/>
    </row>
    <row r="788" spans="7:7" ht="15.75" customHeight="1" x14ac:dyDescent="0.25">
      <c r="G788" s="1"/>
    </row>
    <row r="789" spans="7:7" ht="15.75" customHeight="1" x14ac:dyDescent="0.25">
      <c r="G789" s="1"/>
    </row>
    <row r="790" spans="7:7" ht="15.75" customHeight="1" x14ac:dyDescent="0.25">
      <c r="G790" s="1"/>
    </row>
    <row r="791" spans="7:7" ht="15.75" customHeight="1" x14ac:dyDescent="0.25">
      <c r="G791" s="1"/>
    </row>
    <row r="792" spans="7:7" ht="15.75" customHeight="1" x14ac:dyDescent="0.25">
      <c r="G792" s="1"/>
    </row>
    <row r="793" spans="7:7" ht="15.75" customHeight="1" x14ac:dyDescent="0.25">
      <c r="G793" s="1"/>
    </row>
    <row r="794" spans="7:7" ht="15.75" customHeight="1" x14ac:dyDescent="0.25">
      <c r="G794" s="1"/>
    </row>
    <row r="795" spans="7:7" ht="15.75" customHeight="1" x14ac:dyDescent="0.25">
      <c r="G795" s="1"/>
    </row>
    <row r="796" spans="7:7" ht="15.75" customHeight="1" x14ac:dyDescent="0.25">
      <c r="G796" s="1"/>
    </row>
    <row r="797" spans="7:7" ht="15.75" customHeight="1" x14ac:dyDescent="0.25">
      <c r="G797" s="1"/>
    </row>
    <row r="798" spans="7:7" ht="15.75" customHeight="1" x14ac:dyDescent="0.25">
      <c r="G798" s="1"/>
    </row>
    <row r="799" spans="7:7" ht="15.75" customHeight="1" x14ac:dyDescent="0.25">
      <c r="G799" s="1"/>
    </row>
    <row r="800" spans="7:7" ht="15.75" customHeight="1" x14ac:dyDescent="0.25">
      <c r="G800" s="1"/>
    </row>
    <row r="801" spans="7:7" ht="15.75" customHeight="1" x14ac:dyDescent="0.25">
      <c r="G801" s="1"/>
    </row>
    <row r="802" spans="7:7" ht="15.75" customHeight="1" x14ac:dyDescent="0.25">
      <c r="G802" s="1"/>
    </row>
    <row r="803" spans="7:7" ht="15.75" customHeight="1" x14ac:dyDescent="0.25">
      <c r="G803" s="1"/>
    </row>
    <row r="804" spans="7:7" ht="15.75" customHeight="1" x14ac:dyDescent="0.25">
      <c r="G804" s="1"/>
    </row>
    <row r="805" spans="7:7" ht="15.75" customHeight="1" x14ac:dyDescent="0.25">
      <c r="G805" s="1"/>
    </row>
    <row r="806" spans="7:7" ht="15.75" customHeight="1" x14ac:dyDescent="0.25">
      <c r="G806" s="1"/>
    </row>
    <row r="807" spans="7:7" ht="15.75" customHeight="1" x14ac:dyDescent="0.25">
      <c r="G807" s="1"/>
    </row>
    <row r="808" spans="7:7" ht="15.75" customHeight="1" x14ac:dyDescent="0.25">
      <c r="G808" s="1"/>
    </row>
    <row r="809" spans="7:7" ht="15.75" customHeight="1" x14ac:dyDescent="0.25">
      <c r="G809" s="1"/>
    </row>
    <row r="810" spans="7:7" ht="15.75" customHeight="1" x14ac:dyDescent="0.25">
      <c r="G810" s="1"/>
    </row>
    <row r="811" spans="7:7" ht="15.75" customHeight="1" x14ac:dyDescent="0.25">
      <c r="G811" s="1"/>
    </row>
    <row r="812" spans="7:7" ht="15.75" customHeight="1" x14ac:dyDescent="0.25">
      <c r="G812" s="1"/>
    </row>
    <row r="813" spans="7:7" ht="15.75" customHeight="1" x14ac:dyDescent="0.25">
      <c r="G813" s="1"/>
    </row>
    <row r="814" spans="7:7" ht="15.75" customHeight="1" x14ac:dyDescent="0.25">
      <c r="G814" s="1"/>
    </row>
    <row r="815" spans="7:7" ht="15.75" customHeight="1" x14ac:dyDescent="0.25">
      <c r="G815" s="1"/>
    </row>
    <row r="816" spans="7:7" ht="15.75" customHeight="1" x14ac:dyDescent="0.25">
      <c r="G816" s="1"/>
    </row>
    <row r="817" spans="7:7" ht="15.75" customHeight="1" x14ac:dyDescent="0.25">
      <c r="G817" s="1"/>
    </row>
    <row r="818" spans="7:7" ht="15.75" customHeight="1" x14ac:dyDescent="0.25">
      <c r="G818" s="1"/>
    </row>
    <row r="819" spans="7:7" ht="15.75" customHeight="1" x14ac:dyDescent="0.25">
      <c r="G819" s="1"/>
    </row>
    <row r="820" spans="7:7" ht="15.75" customHeight="1" x14ac:dyDescent="0.25">
      <c r="G820" s="1"/>
    </row>
    <row r="821" spans="7:7" ht="15.75" customHeight="1" x14ac:dyDescent="0.25">
      <c r="G821" s="1"/>
    </row>
    <row r="822" spans="7:7" ht="15.75" customHeight="1" x14ac:dyDescent="0.25">
      <c r="G822" s="1"/>
    </row>
    <row r="823" spans="7:7" ht="15.75" customHeight="1" x14ac:dyDescent="0.25">
      <c r="G823" s="1"/>
    </row>
    <row r="824" spans="7:7" ht="15.75" customHeight="1" x14ac:dyDescent="0.25">
      <c r="G824" s="1"/>
    </row>
    <row r="825" spans="7:7" ht="15.75" customHeight="1" x14ac:dyDescent="0.25">
      <c r="G825" s="1"/>
    </row>
    <row r="826" spans="7:7" ht="15.75" customHeight="1" x14ac:dyDescent="0.25">
      <c r="G826" s="1"/>
    </row>
    <row r="827" spans="7:7" ht="15.75" customHeight="1" x14ac:dyDescent="0.25">
      <c r="G827" s="1"/>
    </row>
    <row r="828" spans="7:7" ht="15.75" customHeight="1" x14ac:dyDescent="0.25">
      <c r="G828" s="1"/>
    </row>
    <row r="829" spans="7:7" ht="15.75" customHeight="1" x14ac:dyDescent="0.25">
      <c r="G829" s="1"/>
    </row>
    <row r="830" spans="7:7" ht="15.75" customHeight="1" x14ac:dyDescent="0.25">
      <c r="G830" s="1"/>
    </row>
    <row r="831" spans="7:7" ht="15.75" customHeight="1" x14ac:dyDescent="0.25">
      <c r="G831" s="1"/>
    </row>
    <row r="832" spans="7:7" ht="15.75" customHeight="1" x14ac:dyDescent="0.25">
      <c r="G832" s="1"/>
    </row>
    <row r="833" spans="7:7" ht="15.75" customHeight="1" x14ac:dyDescent="0.25">
      <c r="G833" s="1"/>
    </row>
    <row r="834" spans="7:7" ht="15.75" customHeight="1" x14ac:dyDescent="0.25">
      <c r="G834" s="1"/>
    </row>
    <row r="835" spans="7:7" ht="15.75" customHeight="1" x14ac:dyDescent="0.25">
      <c r="G835" s="1"/>
    </row>
    <row r="836" spans="7:7" ht="15.75" customHeight="1" x14ac:dyDescent="0.25">
      <c r="G836" s="1"/>
    </row>
    <row r="837" spans="7:7" ht="15.75" customHeight="1" x14ac:dyDescent="0.25">
      <c r="G837" s="1"/>
    </row>
    <row r="838" spans="7:7" ht="15.75" customHeight="1" x14ac:dyDescent="0.25">
      <c r="G838" s="1"/>
    </row>
    <row r="839" spans="7:7" ht="15.75" customHeight="1" x14ac:dyDescent="0.25">
      <c r="G839" s="1"/>
    </row>
    <row r="840" spans="7:7" ht="15.75" customHeight="1" x14ac:dyDescent="0.25">
      <c r="G840" s="1"/>
    </row>
    <row r="841" spans="7:7" ht="15.75" customHeight="1" x14ac:dyDescent="0.25">
      <c r="G841" s="1"/>
    </row>
    <row r="842" spans="7:7" ht="15.75" customHeight="1" x14ac:dyDescent="0.25">
      <c r="G842" s="1"/>
    </row>
    <row r="843" spans="7:7" ht="15.75" customHeight="1" x14ac:dyDescent="0.25">
      <c r="G843" s="1"/>
    </row>
    <row r="844" spans="7:7" ht="15.75" customHeight="1" x14ac:dyDescent="0.25">
      <c r="G844" s="1"/>
    </row>
    <row r="845" spans="7:7" ht="15.75" customHeight="1" x14ac:dyDescent="0.25">
      <c r="G845" s="1"/>
    </row>
    <row r="846" spans="7:7" ht="15.75" customHeight="1" x14ac:dyDescent="0.25">
      <c r="G846" s="1"/>
    </row>
    <row r="847" spans="7:7" ht="15.75" customHeight="1" x14ac:dyDescent="0.25">
      <c r="G847" s="1"/>
    </row>
    <row r="848" spans="7:7" ht="15.75" customHeight="1" x14ac:dyDescent="0.25">
      <c r="G848" s="1"/>
    </row>
    <row r="849" spans="7:7" ht="15.75" customHeight="1" x14ac:dyDescent="0.25">
      <c r="G849" s="1"/>
    </row>
    <row r="850" spans="7:7" ht="15.75" customHeight="1" x14ac:dyDescent="0.25">
      <c r="G850" s="1"/>
    </row>
    <row r="851" spans="7:7" ht="15.75" customHeight="1" x14ac:dyDescent="0.25">
      <c r="G851" s="1"/>
    </row>
    <row r="852" spans="7:7" ht="15.75" customHeight="1" x14ac:dyDescent="0.25">
      <c r="G852" s="1"/>
    </row>
    <row r="853" spans="7:7" ht="15.75" customHeight="1" x14ac:dyDescent="0.25">
      <c r="G853" s="1"/>
    </row>
    <row r="854" spans="7:7" ht="15.75" customHeight="1" x14ac:dyDescent="0.25">
      <c r="G854" s="1"/>
    </row>
    <row r="855" spans="7:7" ht="15.75" customHeight="1" x14ac:dyDescent="0.25">
      <c r="G855" s="1"/>
    </row>
    <row r="856" spans="7:7" ht="15.75" customHeight="1" x14ac:dyDescent="0.25">
      <c r="G856" s="1"/>
    </row>
    <row r="857" spans="7:7" ht="15.75" customHeight="1" x14ac:dyDescent="0.25">
      <c r="G857" s="1"/>
    </row>
    <row r="858" spans="7:7" ht="15.75" customHeight="1" x14ac:dyDescent="0.25">
      <c r="G858" s="1"/>
    </row>
    <row r="859" spans="7:7" ht="15.75" customHeight="1" x14ac:dyDescent="0.25">
      <c r="G859" s="1"/>
    </row>
    <row r="860" spans="7:7" ht="15.75" customHeight="1" x14ac:dyDescent="0.25">
      <c r="G860" s="1"/>
    </row>
    <row r="861" spans="7:7" ht="15.75" customHeight="1" x14ac:dyDescent="0.25">
      <c r="G861" s="1"/>
    </row>
    <row r="862" spans="7:7" ht="15.75" customHeight="1" x14ac:dyDescent="0.25">
      <c r="G862" s="1"/>
    </row>
    <row r="863" spans="7:7" ht="15.75" customHeight="1" x14ac:dyDescent="0.25">
      <c r="G863" s="1"/>
    </row>
    <row r="864" spans="7:7" ht="15.75" customHeight="1" x14ac:dyDescent="0.25">
      <c r="G864" s="1"/>
    </row>
    <row r="865" spans="7:7" ht="15.75" customHeight="1" x14ac:dyDescent="0.25">
      <c r="G865" s="1"/>
    </row>
    <row r="866" spans="7:7" ht="15.75" customHeight="1" x14ac:dyDescent="0.25">
      <c r="G866" s="1"/>
    </row>
    <row r="867" spans="7:7" ht="15.75" customHeight="1" x14ac:dyDescent="0.25">
      <c r="G867" s="1"/>
    </row>
    <row r="868" spans="7:7" ht="15.75" customHeight="1" x14ac:dyDescent="0.25">
      <c r="G868" s="1"/>
    </row>
    <row r="869" spans="7:7" ht="15.75" customHeight="1" x14ac:dyDescent="0.25">
      <c r="G869" s="1"/>
    </row>
    <row r="870" spans="7:7" ht="15.75" customHeight="1" x14ac:dyDescent="0.25">
      <c r="G870" s="1"/>
    </row>
    <row r="871" spans="7:7" ht="15.75" customHeight="1" x14ac:dyDescent="0.25">
      <c r="G871" s="1"/>
    </row>
    <row r="872" spans="7:7" ht="15.75" customHeight="1" x14ac:dyDescent="0.25">
      <c r="G872" s="1"/>
    </row>
    <row r="873" spans="7:7" ht="15.75" customHeight="1" x14ac:dyDescent="0.25">
      <c r="G873" s="1"/>
    </row>
    <row r="874" spans="7:7" ht="15.75" customHeight="1" x14ac:dyDescent="0.25">
      <c r="G874" s="1"/>
    </row>
    <row r="875" spans="7:7" ht="15.75" customHeight="1" x14ac:dyDescent="0.25">
      <c r="G875" s="1"/>
    </row>
    <row r="876" spans="7:7" ht="15.75" customHeight="1" x14ac:dyDescent="0.25">
      <c r="G876" s="1"/>
    </row>
    <row r="877" spans="7:7" ht="15.75" customHeight="1" x14ac:dyDescent="0.25">
      <c r="G877" s="1"/>
    </row>
    <row r="878" spans="7:7" ht="15.75" customHeight="1" x14ac:dyDescent="0.25">
      <c r="G878" s="1"/>
    </row>
    <row r="879" spans="7:7" ht="15.75" customHeight="1" x14ac:dyDescent="0.25">
      <c r="G879" s="1"/>
    </row>
    <row r="880" spans="7:7" ht="15.75" customHeight="1" x14ac:dyDescent="0.25">
      <c r="G880" s="1"/>
    </row>
    <row r="881" spans="7:7" ht="15.75" customHeight="1" x14ac:dyDescent="0.25">
      <c r="G881" s="1"/>
    </row>
    <row r="882" spans="7:7" ht="15.75" customHeight="1" x14ac:dyDescent="0.25">
      <c r="G882" s="1"/>
    </row>
    <row r="883" spans="7:7" ht="15.75" customHeight="1" x14ac:dyDescent="0.25">
      <c r="G883" s="1"/>
    </row>
    <row r="884" spans="7:7" ht="15.75" customHeight="1" x14ac:dyDescent="0.25">
      <c r="G884" s="1"/>
    </row>
    <row r="885" spans="7:7" ht="15.75" customHeight="1" x14ac:dyDescent="0.25">
      <c r="G885" s="1"/>
    </row>
    <row r="886" spans="7:7" ht="15.75" customHeight="1" x14ac:dyDescent="0.25">
      <c r="G886" s="1"/>
    </row>
    <row r="887" spans="7:7" ht="15.75" customHeight="1" x14ac:dyDescent="0.25">
      <c r="G887" s="1"/>
    </row>
    <row r="888" spans="7:7" ht="15.75" customHeight="1" x14ac:dyDescent="0.25">
      <c r="G888" s="1"/>
    </row>
    <row r="889" spans="7:7" ht="15.75" customHeight="1" x14ac:dyDescent="0.25">
      <c r="G889" s="1"/>
    </row>
    <row r="890" spans="7:7" ht="15.75" customHeight="1" x14ac:dyDescent="0.25">
      <c r="G890" s="1"/>
    </row>
    <row r="891" spans="7:7" ht="15.75" customHeight="1" x14ac:dyDescent="0.25">
      <c r="G891" s="1"/>
    </row>
    <row r="892" spans="7:7" ht="15.75" customHeight="1" x14ac:dyDescent="0.25">
      <c r="G892" s="1"/>
    </row>
    <row r="893" spans="7:7" ht="15.75" customHeight="1" x14ac:dyDescent="0.25">
      <c r="G893" s="1"/>
    </row>
    <row r="894" spans="7:7" ht="15.75" customHeight="1" x14ac:dyDescent="0.25">
      <c r="G894" s="1"/>
    </row>
    <row r="895" spans="7:7" ht="15.75" customHeight="1" x14ac:dyDescent="0.25">
      <c r="G895" s="1"/>
    </row>
    <row r="896" spans="7:7" ht="15.75" customHeight="1" x14ac:dyDescent="0.25">
      <c r="G896" s="1"/>
    </row>
    <row r="897" spans="7:7" ht="15.75" customHeight="1" x14ac:dyDescent="0.25">
      <c r="G897" s="1"/>
    </row>
    <row r="898" spans="7:7" ht="15.75" customHeight="1" x14ac:dyDescent="0.25">
      <c r="G898" s="1"/>
    </row>
    <row r="899" spans="7:7" ht="15.75" customHeight="1" x14ac:dyDescent="0.25">
      <c r="G899" s="1"/>
    </row>
    <row r="900" spans="7:7" ht="15.75" customHeight="1" x14ac:dyDescent="0.25">
      <c r="G900" s="1"/>
    </row>
    <row r="901" spans="7:7" ht="15.75" customHeight="1" x14ac:dyDescent="0.25">
      <c r="G901" s="1"/>
    </row>
    <row r="902" spans="7:7" ht="15.75" customHeight="1" x14ac:dyDescent="0.25">
      <c r="G902" s="1"/>
    </row>
    <row r="903" spans="7:7" ht="15.75" customHeight="1" x14ac:dyDescent="0.25">
      <c r="G903" s="1"/>
    </row>
    <row r="904" spans="7:7" ht="15.75" customHeight="1" x14ac:dyDescent="0.25">
      <c r="G904" s="1"/>
    </row>
    <row r="905" spans="7:7" ht="15.75" customHeight="1" x14ac:dyDescent="0.25">
      <c r="G905" s="1"/>
    </row>
    <row r="906" spans="7:7" ht="15.75" customHeight="1" x14ac:dyDescent="0.25">
      <c r="G906" s="1"/>
    </row>
    <row r="907" spans="7:7" ht="15.75" customHeight="1" x14ac:dyDescent="0.25">
      <c r="G907" s="1"/>
    </row>
    <row r="908" spans="7:7" ht="15.75" customHeight="1" x14ac:dyDescent="0.25">
      <c r="G908" s="1"/>
    </row>
    <row r="909" spans="7:7" ht="15.75" customHeight="1" x14ac:dyDescent="0.25">
      <c r="G909" s="1"/>
    </row>
    <row r="910" spans="7:7" ht="15.75" customHeight="1" x14ac:dyDescent="0.25">
      <c r="G910" s="1"/>
    </row>
    <row r="911" spans="7:7" ht="15.75" customHeight="1" x14ac:dyDescent="0.25">
      <c r="G911" s="1"/>
    </row>
    <row r="912" spans="7:7" ht="15.75" customHeight="1" x14ac:dyDescent="0.25">
      <c r="G912" s="1"/>
    </row>
    <row r="913" spans="7:7" ht="15.75" customHeight="1" x14ac:dyDescent="0.25">
      <c r="G913" s="1"/>
    </row>
    <row r="914" spans="7:7" ht="15.75" customHeight="1" x14ac:dyDescent="0.25">
      <c r="G914" s="1"/>
    </row>
    <row r="915" spans="7:7" ht="15.75" customHeight="1" x14ac:dyDescent="0.25">
      <c r="G915" s="1"/>
    </row>
    <row r="916" spans="7:7" ht="15.75" customHeight="1" x14ac:dyDescent="0.25">
      <c r="G916" s="1"/>
    </row>
    <row r="917" spans="7:7" ht="15.75" customHeight="1" x14ac:dyDescent="0.25">
      <c r="G917" s="1"/>
    </row>
    <row r="918" spans="7:7" ht="15.75" customHeight="1" x14ac:dyDescent="0.25">
      <c r="G918" s="1"/>
    </row>
    <row r="919" spans="7:7" ht="15.75" customHeight="1" x14ac:dyDescent="0.25">
      <c r="G919" s="1"/>
    </row>
    <row r="920" spans="7:7" ht="15.75" customHeight="1" x14ac:dyDescent="0.25">
      <c r="G920" s="1"/>
    </row>
    <row r="921" spans="7:7" ht="15.75" customHeight="1" x14ac:dyDescent="0.25">
      <c r="G921" s="1"/>
    </row>
    <row r="922" spans="7:7" ht="15.75" customHeight="1" x14ac:dyDescent="0.25">
      <c r="G922" s="1"/>
    </row>
    <row r="923" spans="7:7" ht="15.75" customHeight="1" x14ac:dyDescent="0.25">
      <c r="G923" s="1"/>
    </row>
    <row r="924" spans="7:7" ht="15.75" customHeight="1" x14ac:dyDescent="0.25">
      <c r="G924" s="1"/>
    </row>
    <row r="925" spans="7:7" ht="15.75" customHeight="1" x14ac:dyDescent="0.25">
      <c r="G925" s="1"/>
    </row>
    <row r="926" spans="7:7" ht="15.75" customHeight="1" x14ac:dyDescent="0.25">
      <c r="G926" s="1"/>
    </row>
    <row r="927" spans="7:7" ht="15.75" customHeight="1" x14ac:dyDescent="0.25">
      <c r="G927" s="1"/>
    </row>
    <row r="928" spans="7:7" ht="15.75" customHeight="1" x14ac:dyDescent="0.25">
      <c r="G928" s="1"/>
    </row>
    <row r="929" spans="7:7" ht="15.75" customHeight="1" x14ac:dyDescent="0.25">
      <c r="G929" s="1"/>
    </row>
    <row r="930" spans="7:7" ht="15.75" customHeight="1" x14ac:dyDescent="0.25">
      <c r="G930" s="1"/>
    </row>
    <row r="931" spans="7:7" ht="15.75" customHeight="1" x14ac:dyDescent="0.25">
      <c r="G931" s="1"/>
    </row>
    <row r="932" spans="7:7" ht="15.75" customHeight="1" x14ac:dyDescent="0.25">
      <c r="G932" s="1"/>
    </row>
    <row r="933" spans="7:7" ht="15.75" customHeight="1" x14ac:dyDescent="0.25">
      <c r="G933" s="1"/>
    </row>
    <row r="934" spans="7:7" ht="15.75" customHeight="1" x14ac:dyDescent="0.25">
      <c r="G934" s="1"/>
    </row>
    <row r="935" spans="7:7" ht="15.75" customHeight="1" x14ac:dyDescent="0.25">
      <c r="G935" s="1"/>
    </row>
    <row r="936" spans="7:7" ht="15.75" customHeight="1" x14ac:dyDescent="0.25">
      <c r="G936" s="1"/>
    </row>
    <row r="937" spans="7:7" ht="15.75" customHeight="1" x14ac:dyDescent="0.25">
      <c r="G937" s="1"/>
    </row>
    <row r="938" spans="7:7" ht="15.75" customHeight="1" x14ac:dyDescent="0.25">
      <c r="G938" s="1"/>
    </row>
    <row r="939" spans="7:7" ht="15.75" customHeight="1" x14ac:dyDescent="0.25">
      <c r="G939" s="1"/>
    </row>
    <row r="940" spans="7:7" ht="15.75" customHeight="1" x14ac:dyDescent="0.25">
      <c r="G940" s="1"/>
    </row>
    <row r="941" spans="7:7" ht="15.75" customHeight="1" x14ac:dyDescent="0.25">
      <c r="G941" s="1"/>
    </row>
    <row r="942" spans="7:7" ht="15.75" customHeight="1" x14ac:dyDescent="0.25">
      <c r="G942" s="1"/>
    </row>
    <row r="943" spans="7:7" ht="15.75" customHeight="1" x14ac:dyDescent="0.25">
      <c r="G943" s="1"/>
    </row>
    <row r="944" spans="7:7" ht="15.75" customHeight="1" x14ac:dyDescent="0.25">
      <c r="G944" s="1"/>
    </row>
    <row r="945" spans="7:7" ht="15.75" customHeight="1" x14ac:dyDescent="0.25">
      <c r="G945" s="1"/>
    </row>
    <row r="946" spans="7:7" ht="15.75" customHeight="1" x14ac:dyDescent="0.25">
      <c r="G946" s="1"/>
    </row>
    <row r="947" spans="7:7" ht="15.75" customHeight="1" x14ac:dyDescent="0.25">
      <c r="G947" s="1"/>
    </row>
    <row r="948" spans="7:7" ht="15.75" customHeight="1" x14ac:dyDescent="0.25">
      <c r="G948" s="1"/>
    </row>
    <row r="949" spans="7:7" ht="15.75" customHeight="1" x14ac:dyDescent="0.25">
      <c r="G949" s="1"/>
    </row>
    <row r="950" spans="7:7" ht="15.75" customHeight="1" x14ac:dyDescent="0.25">
      <c r="G950" s="1"/>
    </row>
    <row r="951" spans="7:7" ht="15.75" customHeight="1" x14ac:dyDescent="0.25">
      <c r="G951" s="1"/>
    </row>
    <row r="952" spans="7:7" ht="15.75" customHeight="1" x14ac:dyDescent="0.25">
      <c r="G952" s="1"/>
    </row>
    <row r="953" spans="7:7" ht="15.75" customHeight="1" x14ac:dyDescent="0.25">
      <c r="G953" s="1"/>
    </row>
    <row r="954" spans="7:7" ht="15.75" customHeight="1" x14ac:dyDescent="0.25">
      <c r="G954" s="1"/>
    </row>
    <row r="955" spans="7:7" ht="15.75" customHeight="1" x14ac:dyDescent="0.25">
      <c r="G955" s="1"/>
    </row>
    <row r="956" spans="7:7" ht="15.75" customHeight="1" x14ac:dyDescent="0.25">
      <c r="G956" s="1"/>
    </row>
    <row r="957" spans="7:7" ht="15.75" customHeight="1" x14ac:dyDescent="0.25">
      <c r="G957" s="1"/>
    </row>
    <row r="958" spans="7:7" ht="15.75" customHeight="1" x14ac:dyDescent="0.25">
      <c r="G958" s="1"/>
    </row>
    <row r="959" spans="7:7" ht="15.75" customHeight="1" x14ac:dyDescent="0.25">
      <c r="G959" s="1"/>
    </row>
    <row r="960" spans="7:7" ht="15.75" customHeight="1" x14ac:dyDescent="0.25">
      <c r="G960" s="1"/>
    </row>
    <row r="961" spans="7:7" ht="15.75" customHeight="1" x14ac:dyDescent="0.25">
      <c r="G961" s="1"/>
    </row>
    <row r="962" spans="7:7" ht="15.75" customHeight="1" x14ac:dyDescent="0.25">
      <c r="G962" s="1"/>
    </row>
    <row r="963" spans="7:7" ht="15.75" customHeight="1" x14ac:dyDescent="0.25">
      <c r="G963" s="1"/>
    </row>
    <row r="964" spans="7:7" ht="15.75" customHeight="1" x14ac:dyDescent="0.25">
      <c r="G964" s="1"/>
    </row>
    <row r="965" spans="7:7" ht="15.75" customHeight="1" x14ac:dyDescent="0.25">
      <c r="G965" s="1"/>
    </row>
    <row r="966" spans="7:7" ht="15.75" customHeight="1" x14ac:dyDescent="0.25">
      <c r="G966" s="1"/>
    </row>
    <row r="967" spans="7:7" ht="15.75" customHeight="1" x14ac:dyDescent="0.25">
      <c r="G967" s="1"/>
    </row>
    <row r="968" spans="7:7" ht="15.75" customHeight="1" x14ac:dyDescent="0.25">
      <c r="G968" s="1"/>
    </row>
    <row r="969" spans="7:7" ht="15.75" customHeight="1" x14ac:dyDescent="0.25">
      <c r="G969" s="1"/>
    </row>
    <row r="970" spans="7:7" ht="15.75" customHeight="1" x14ac:dyDescent="0.25">
      <c r="G970" s="1"/>
    </row>
    <row r="971" spans="7:7" ht="15.75" customHeight="1" x14ac:dyDescent="0.25">
      <c r="G971" s="1"/>
    </row>
    <row r="972" spans="7:7" ht="15.75" customHeight="1" x14ac:dyDescent="0.25">
      <c r="G972" s="1"/>
    </row>
    <row r="973" spans="7:7" ht="15.75" customHeight="1" x14ac:dyDescent="0.25">
      <c r="G973" s="1"/>
    </row>
    <row r="974" spans="7:7" ht="15.75" customHeight="1" x14ac:dyDescent="0.25">
      <c r="G974" s="1"/>
    </row>
    <row r="975" spans="7:7" ht="15.75" customHeight="1" x14ac:dyDescent="0.25">
      <c r="G975" s="1"/>
    </row>
    <row r="976" spans="7:7" ht="15.75" customHeight="1" x14ac:dyDescent="0.25">
      <c r="G976" s="1"/>
    </row>
    <row r="977" spans="7:7" ht="15.75" customHeight="1" x14ac:dyDescent="0.25">
      <c r="G977" s="1"/>
    </row>
    <row r="978" spans="7:7" ht="15.75" customHeight="1" x14ac:dyDescent="0.25">
      <c r="G978" s="1"/>
    </row>
    <row r="979" spans="7:7" ht="15.75" customHeight="1" x14ac:dyDescent="0.25">
      <c r="G979" s="1"/>
    </row>
    <row r="980" spans="7:7" ht="15.75" customHeight="1" x14ac:dyDescent="0.25">
      <c r="G980" s="1"/>
    </row>
    <row r="981" spans="7:7" ht="15.75" customHeight="1" x14ac:dyDescent="0.25">
      <c r="G981" s="1"/>
    </row>
    <row r="982" spans="7:7" ht="15.75" customHeight="1" x14ac:dyDescent="0.25">
      <c r="G982" s="1"/>
    </row>
    <row r="983" spans="7:7" ht="15.75" customHeight="1" x14ac:dyDescent="0.25">
      <c r="G983" s="1"/>
    </row>
    <row r="984" spans="7:7" ht="15.75" customHeight="1" x14ac:dyDescent="0.25">
      <c r="G984" s="1"/>
    </row>
    <row r="985" spans="7:7" ht="15.75" customHeight="1" x14ac:dyDescent="0.25">
      <c r="G985" s="1"/>
    </row>
    <row r="986" spans="7:7" ht="15.75" customHeight="1" x14ac:dyDescent="0.25">
      <c r="G986" s="1"/>
    </row>
    <row r="987" spans="7:7" ht="15.75" customHeight="1" x14ac:dyDescent="0.25">
      <c r="G987" s="1"/>
    </row>
    <row r="988" spans="7:7" ht="15.75" customHeight="1" x14ac:dyDescent="0.25">
      <c r="G988" s="1"/>
    </row>
    <row r="989" spans="7:7" ht="15.75" customHeight="1" x14ac:dyDescent="0.25">
      <c r="G989" s="1"/>
    </row>
    <row r="990" spans="7:7" ht="15.75" customHeight="1" x14ac:dyDescent="0.25">
      <c r="G990" s="1"/>
    </row>
    <row r="991" spans="7:7" ht="15.75" customHeight="1" x14ac:dyDescent="0.25">
      <c r="G991" s="1"/>
    </row>
    <row r="992" spans="7:7" ht="15.75" customHeight="1" x14ac:dyDescent="0.25">
      <c r="G992" s="1"/>
    </row>
    <row r="993" spans="7:7" ht="15.75" customHeight="1" x14ac:dyDescent="0.25">
      <c r="G993" s="1"/>
    </row>
    <row r="994" spans="7:7" ht="15.75" customHeight="1" x14ac:dyDescent="0.25">
      <c r="G994" s="1"/>
    </row>
    <row r="995" spans="7:7" ht="15.75" customHeight="1" x14ac:dyDescent="0.25">
      <c r="G995" s="1"/>
    </row>
    <row r="996" spans="7:7" ht="15.75" customHeight="1" x14ac:dyDescent="0.25">
      <c r="G996" s="1"/>
    </row>
    <row r="997" spans="7:7" ht="15.75" customHeight="1" x14ac:dyDescent="0.25">
      <c r="G997" s="1"/>
    </row>
    <row r="998" spans="7:7" ht="15.75" customHeight="1" x14ac:dyDescent="0.25">
      <c r="G998" s="1"/>
    </row>
    <row r="999" spans="7:7" ht="15.75" customHeight="1" x14ac:dyDescent="0.25">
      <c r="G999" s="1"/>
    </row>
    <row r="1000" spans="7:7" ht="15.75" customHeight="1" x14ac:dyDescent="0.25">
      <c r="G1000" s="1"/>
    </row>
  </sheetData>
  <conditionalFormatting sqref="A2:K180">
    <cfRule type="containsBlanks" dxfId="1" priority="1">
      <formula>LEN(TRIM(A2))=0</formula>
    </cfRule>
  </conditionalFormatting>
  <printOptions horizontalCentered="1"/>
  <pageMargins left="0.7" right="0.7" top="0.75" bottom="0.75" header="0" footer="0"/>
  <pageSetup paperSize="9" orientation="landscape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9DC3E6"/>
  </sheetPr>
  <dimension ref="A1:AB1000"/>
  <sheetViews>
    <sheetView workbookViewId="0">
      <pane ySplit="1" topLeftCell="A2" activePane="bottomLeft" state="frozen"/>
      <selection pane="bottomLeft" activeCell="B3" sqref="B3"/>
    </sheetView>
  </sheetViews>
  <sheetFormatPr baseColWidth="10" defaultColWidth="12.6328125" defaultRowHeight="15" customHeight="1" x14ac:dyDescent="0.25"/>
  <cols>
    <col min="1" max="1" width="5.6328125" customWidth="1"/>
    <col min="2" max="2" width="8" customWidth="1"/>
    <col min="3" max="3" width="17.7265625" customWidth="1"/>
    <col min="4" max="4" width="13" customWidth="1"/>
    <col min="5" max="6" width="5.36328125" customWidth="1"/>
    <col min="7" max="21" width="8.26953125" customWidth="1"/>
    <col min="22" max="28" width="7" customWidth="1"/>
  </cols>
  <sheetData>
    <row r="1" spans="1:28" ht="13.5" customHeight="1" x14ac:dyDescent="0.25">
      <c r="A1" s="48" t="s">
        <v>0</v>
      </c>
      <c r="B1" s="48" t="s">
        <v>1</v>
      </c>
      <c r="C1" s="49" t="s">
        <v>2</v>
      </c>
      <c r="D1" s="49" t="s">
        <v>3</v>
      </c>
      <c r="E1" s="48" t="s">
        <v>4</v>
      </c>
      <c r="F1" s="48" t="s">
        <v>5</v>
      </c>
      <c r="G1" s="50" t="s">
        <v>6</v>
      </c>
      <c r="H1" s="48" t="s">
        <v>7</v>
      </c>
      <c r="I1" s="48" t="s">
        <v>8</v>
      </c>
      <c r="J1" s="48" t="s">
        <v>9</v>
      </c>
      <c r="K1" s="48" t="s">
        <v>10</v>
      </c>
      <c r="L1" s="5"/>
      <c r="M1" s="6"/>
      <c r="N1" s="6"/>
      <c r="O1" s="6"/>
      <c r="P1" s="6"/>
      <c r="Q1" s="6"/>
      <c r="R1" s="6"/>
      <c r="S1" s="6"/>
      <c r="T1" s="6"/>
      <c r="U1" s="6"/>
      <c r="V1" s="7"/>
      <c r="W1" s="7"/>
      <c r="X1" s="7"/>
      <c r="Y1" s="7"/>
      <c r="Z1" s="8"/>
      <c r="AA1" s="9"/>
      <c r="AB1" s="10"/>
    </row>
    <row r="2" spans="1:28" ht="13.5" customHeight="1" x14ac:dyDescent="0.35">
      <c r="A2" s="11">
        <f ca="1">IFERROR(__xludf.DUMMYFUNCTION("importrange(""https://docs.google.com/spreadsheets/d/1b5MDXOVAvyXtPAhaTJQ4VklV1IVuMDIMPSQ0egEui-k/edit?gid=1004591596#gid=1004591596"",""Resultats_MF!A2:O180"")"),1)</f>
        <v>1</v>
      </c>
      <c r="B2" s="12" t="str">
        <f ca="1">IFERROR(__xludf.DUMMYFUNCTION("""COMPUTED_VALUE"""),"204")</f>
        <v>204</v>
      </c>
      <c r="C2" s="13" t="str">
        <f ca="1">IFERROR(__xludf.DUMMYFUNCTION("""COMPUTED_VALUE"""),"HENRY")</f>
        <v>HENRY</v>
      </c>
      <c r="D2" s="14" t="str">
        <f ca="1">IFERROR(__xludf.DUMMYFUNCTION("""COMPUTED_VALUE"""),"TIPHAINE")</f>
        <v>TIPHAINE</v>
      </c>
      <c r="E2" s="15" t="str">
        <f ca="1">IFERROR(__xludf.DUMMYFUNCTION("""COMPUTED_VALUE"""),"MF1")</f>
        <v>MF1</v>
      </c>
      <c r="F2" s="51">
        <f ca="1">IFERROR(__xludf.DUMMYFUNCTION("""COMPUTED_VALUE"""),1)</f>
        <v>1</v>
      </c>
      <c r="G2" s="16">
        <f ca="1">IFERROR(__xludf.DUMMYFUNCTION("""COMPUTED_VALUE"""),0.0203472231684183)</f>
        <v>2.0347223168418301E-2</v>
      </c>
      <c r="H2" s="17">
        <f ca="1">IFERROR(__xludf.DUMMYFUNCTION("""COMPUTED_VALUE"""),0.00366898157816007)</f>
        <v>3.6689815781600701E-3</v>
      </c>
      <c r="I2" s="17">
        <f ca="1">IFERROR(__xludf.DUMMYFUNCTION("""COMPUTED_VALUE"""),0.00733796304531659)</f>
        <v>7.3379630453165902E-3</v>
      </c>
      <c r="J2" s="17">
        <f ca="1">IFERROR(__xludf.DUMMYFUNCTION("""COMPUTED_VALUE"""),0.00899305589901622)</f>
        <v>8.9930558990162206E-3</v>
      </c>
      <c r="K2" s="18">
        <f ca="1">IFERROR(__xludf.DUMMYFUNCTION("""COMPUTED_VALUE"""),0.000347222645925494)</f>
        <v>3.4722264592549398E-4</v>
      </c>
      <c r="L2" s="19"/>
      <c r="M2" s="19"/>
      <c r="N2" s="19"/>
      <c r="O2" s="19"/>
      <c r="P2" s="19"/>
      <c r="Q2" s="19"/>
      <c r="R2" s="19"/>
      <c r="S2" s="19"/>
      <c r="T2" s="19"/>
      <c r="U2" s="19"/>
      <c r="V2" s="20"/>
      <c r="W2" s="20"/>
      <c r="X2" s="20"/>
      <c r="Y2" s="20"/>
      <c r="Z2" s="21"/>
      <c r="AA2" s="22"/>
      <c r="AB2" s="23"/>
    </row>
    <row r="3" spans="1:28" ht="13.5" customHeight="1" x14ac:dyDescent="0.35">
      <c r="A3" s="24">
        <f ca="1">IFERROR(__xludf.DUMMYFUNCTION("""COMPUTED_VALUE"""),2)</f>
        <v>2</v>
      </c>
      <c r="B3" s="25" t="str">
        <f ca="1">IFERROR(__xludf.DUMMYFUNCTION("""COMPUTED_VALUE"""),"209")</f>
        <v>209</v>
      </c>
      <c r="C3" s="26" t="str">
        <f ca="1">IFERROR(__xludf.DUMMYFUNCTION("""COMPUTED_VALUE"""),"MILLOT")</f>
        <v>MILLOT</v>
      </c>
      <c r="D3" s="27" t="str">
        <f ca="1">IFERROR(__xludf.DUMMYFUNCTION("""COMPUTED_VALUE"""),"ADELINE")</f>
        <v>ADELINE</v>
      </c>
      <c r="E3" s="15" t="str">
        <f ca="1">IFERROR(__xludf.DUMMYFUNCTION("""COMPUTED_VALUE"""),"MF2")</f>
        <v>MF2</v>
      </c>
      <c r="F3" s="51">
        <f ca="1">IFERROR(__xludf.DUMMYFUNCTION("""COMPUTED_VALUE"""),1)</f>
        <v>1</v>
      </c>
      <c r="G3" s="16">
        <f ca="1">IFERROR(__xludf.DUMMYFUNCTION("""COMPUTED_VALUE"""),0.0208217599940958)</f>
        <v>2.0821759994095801E-2</v>
      </c>
      <c r="H3" s="17">
        <f ca="1">IFERROR(__xludf.DUMMYFUNCTION("""COMPUTED_VALUE"""),0.00309027788304128)</f>
        <v>3.0902778830412801E-3</v>
      </c>
      <c r="I3" s="17">
        <f ca="1">IFERROR(__xludf.DUMMYFUNCTION("""COMPUTED_VALUE"""),0.00765046303314376)</f>
        <v>7.65046303314376E-3</v>
      </c>
      <c r="J3" s="17">
        <f ca="1">IFERROR(__xludf.DUMMYFUNCTION("""COMPUTED_VALUE"""),0.00908564854611817)</f>
        <v>9.0856485461181698E-3</v>
      </c>
      <c r="K3" s="18">
        <f ca="1">IFERROR(__xludf.DUMMYFUNCTION("""COMPUTED_VALUE"""),0.000995370531792612)</f>
        <v>9.953705317926121E-4</v>
      </c>
      <c r="L3" s="19"/>
      <c r="M3" s="19"/>
      <c r="N3" s="19"/>
      <c r="O3" s="19"/>
      <c r="P3" s="19"/>
      <c r="Q3" s="19"/>
      <c r="R3" s="19"/>
      <c r="S3" s="19"/>
      <c r="T3" s="19"/>
      <c r="U3" s="19"/>
      <c r="V3" s="20"/>
      <c r="W3" s="20"/>
      <c r="X3" s="20"/>
      <c r="Y3" s="20"/>
      <c r="Z3" s="21"/>
      <c r="AA3" s="22"/>
      <c r="AB3" s="23"/>
    </row>
    <row r="4" spans="1:28" ht="13.5" customHeight="1" x14ac:dyDescent="0.35">
      <c r="A4" s="24">
        <f ca="1">IFERROR(__xludf.DUMMYFUNCTION("""COMPUTED_VALUE"""),3)</f>
        <v>3</v>
      </c>
      <c r="B4" s="25" t="str">
        <f ca="1">IFERROR(__xludf.DUMMYFUNCTION("""COMPUTED_VALUE"""),"104")</f>
        <v>104</v>
      </c>
      <c r="C4" s="26" t="str">
        <f ca="1">IFERROR(__xludf.DUMMYFUNCTION("""COMPUTED_VALUE"""),"VAMPARYS")</f>
        <v>VAMPARYS</v>
      </c>
      <c r="D4" s="27" t="str">
        <f ca="1">IFERROR(__xludf.DUMMYFUNCTION("""COMPUTED_VALUE"""),"LYDIE")</f>
        <v>LYDIE</v>
      </c>
      <c r="E4" s="15" t="str">
        <f ca="1">IFERROR(__xludf.DUMMYFUNCTION("""COMPUTED_VALUE"""),"MF2")</f>
        <v>MF2</v>
      </c>
      <c r="F4" s="51">
        <f ca="1">IFERROR(__xludf.DUMMYFUNCTION("""COMPUTED_VALUE"""),2)</f>
        <v>2</v>
      </c>
      <c r="G4" s="16">
        <f ca="1">IFERROR(__xludf.DUMMYFUNCTION("""COMPUTED_VALUE"""),0.0219907415483956)</f>
        <v>2.1990741548395601E-2</v>
      </c>
      <c r="H4" s="17">
        <f ca="1">IFERROR(__xludf.DUMMYFUNCTION("""COMPUTED_VALUE"""),0.00464120375390761)</f>
        <v>4.6412037539076099E-3</v>
      </c>
      <c r="I4" s="17">
        <f ca="1">IFERROR(__xludf.DUMMYFUNCTION("""COMPUTED_VALUE"""),0.00799768521998615)</f>
        <v>7.99768521998615E-3</v>
      </c>
      <c r="J4" s="17">
        <f ca="1">IFERROR(__xludf.DUMMYFUNCTION("""COMPUTED_VALUE"""),0.00834490723909055)</f>
        <v>8.3449072390905498E-3</v>
      </c>
      <c r="K4" s="18">
        <f ca="1">IFERROR(__xludf.DUMMYFUNCTION("""COMPUTED_VALUE"""),0.00100694533541128)</f>
        <v>1.0069453354112801E-3</v>
      </c>
      <c r="L4" s="19"/>
      <c r="M4" s="19"/>
      <c r="N4" s="19"/>
      <c r="O4" s="19"/>
      <c r="P4" s="19"/>
      <c r="Q4" s="19"/>
      <c r="R4" s="19"/>
      <c r="S4" s="19"/>
      <c r="T4" s="19"/>
      <c r="U4" s="19"/>
      <c r="V4" s="20"/>
      <c r="W4" s="20"/>
      <c r="X4" s="20"/>
      <c r="Y4" s="20"/>
      <c r="Z4" s="21"/>
      <c r="AA4" s="22"/>
      <c r="AB4" s="23"/>
    </row>
    <row r="5" spans="1:28" ht="13.5" customHeight="1" x14ac:dyDescent="0.35">
      <c r="A5" s="24">
        <f ca="1">IFERROR(__xludf.DUMMYFUNCTION("""COMPUTED_VALUE"""),4)</f>
        <v>4</v>
      </c>
      <c r="B5" s="25" t="str">
        <f ca="1">IFERROR(__xludf.DUMMYFUNCTION("""COMPUTED_VALUE"""),"117")</f>
        <v>117</v>
      </c>
      <c r="C5" s="26" t="str">
        <f ca="1">IFERROR(__xludf.DUMMYFUNCTION("""COMPUTED_VALUE"""),"BLIN")</f>
        <v>BLIN</v>
      </c>
      <c r="D5" s="27" t="str">
        <f ca="1">IFERROR(__xludf.DUMMYFUNCTION("""COMPUTED_VALUE"""),"LAETITIA")</f>
        <v>LAETITIA</v>
      </c>
      <c r="E5" s="15" t="str">
        <f ca="1">IFERROR(__xludf.DUMMYFUNCTION("""COMPUTED_VALUE"""),"MF1")</f>
        <v>MF1</v>
      </c>
      <c r="F5" s="51">
        <f ca="1">IFERROR(__xludf.DUMMYFUNCTION("""COMPUTED_VALUE"""),2)</f>
        <v>2</v>
      </c>
      <c r="G5" s="16">
        <f ca="1">IFERROR(__xludf.DUMMYFUNCTION("""COMPUTED_VALUE"""),0.0222222233450175)</f>
        <v>2.22222233450175E-2</v>
      </c>
      <c r="H5" s="17">
        <f ca="1">IFERROR(__xludf.DUMMYFUNCTION("""COMPUTED_VALUE"""),0.00390046304827284)</f>
        <v>3.90046304827284E-3</v>
      </c>
      <c r="I5" s="17">
        <f ca="1">IFERROR(__xludf.DUMMYFUNCTION("""COMPUTED_VALUE"""),0.00843750011020118)</f>
        <v>8.4375001102011803E-3</v>
      </c>
      <c r="J5" s="17">
        <f ca="1">IFERROR(__xludf.DUMMYFUNCTION("""COMPUTED_VALUE"""),0.00903935276783585)</f>
        <v>9.0393527678358492E-3</v>
      </c>
      <c r="K5" s="18">
        <f ca="1">IFERROR(__xludf.DUMMYFUNCTION("""COMPUTED_VALUE"""),0.000844907418707666)</f>
        <v>8.4490741870766597E-4</v>
      </c>
      <c r="L5" s="19"/>
      <c r="M5" s="19"/>
      <c r="N5" s="19"/>
      <c r="O5" s="19"/>
      <c r="P5" s="19"/>
      <c r="Q5" s="19"/>
      <c r="R5" s="19"/>
      <c r="S5" s="19"/>
      <c r="T5" s="19"/>
      <c r="U5" s="19"/>
      <c r="V5" s="20"/>
      <c r="W5" s="20"/>
      <c r="X5" s="20"/>
      <c r="Y5" s="20"/>
      <c r="Z5" s="21"/>
      <c r="AA5" s="22"/>
      <c r="AB5" s="23"/>
    </row>
    <row r="6" spans="1:28" ht="13.5" customHeight="1" x14ac:dyDescent="0.35">
      <c r="A6" s="24">
        <f ca="1">IFERROR(__xludf.DUMMYFUNCTION("""COMPUTED_VALUE"""),5)</f>
        <v>5</v>
      </c>
      <c r="B6" s="25" t="str">
        <f ca="1">IFERROR(__xludf.DUMMYFUNCTION("""COMPUTED_VALUE"""),"178")</f>
        <v>178</v>
      </c>
      <c r="C6" s="26" t="str">
        <f ca="1">IFERROR(__xludf.DUMMYFUNCTION("""COMPUTED_VALUE"""),"LAJOIX")</f>
        <v>LAJOIX</v>
      </c>
      <c r="D6" s="27" t="str">
        <f ca="1">IFERROR(__xludf.DUMMYFUNCTION("""COMPUTED_VALUE"""),"VALERIE")</f>
        <v>VALERIE</v>
      </c>
      <c r="E6" s="15" t="str">
        <f ca="1">IFERROR(__xludf.DUMMYFUNCTION("""COMPUTED_VALUE"""),"MF5")</f>
        <v>MF5</v>
      </c>
      <c r="F6" s="51">
        <f ca="1">IFERROR(__xludf.DUMMYFUNCTION("""COMPUTED_VALUE"""),1)</f>
        <v>1</v>
      </c>
      <c r="G6" s="16">
        <f ca="1">IFERROR(__xludf.DUMMYFUNCTION("""COMPUTED_VALUE"""),0.0231712973150179)</f>
        <v>2.3171297315017901E-2</v>
      </c>
      <c r="H6" s="17">
        <f ca="1">IFERROR(__xludf.DUMMYFUNCTION("""COMPUTED_VALUE"""),0.00427083337116995)</f>
        <v>4.2708333711699497E-3</v>
      </c>
      <c r="I6" s="17">
        <f ca="1">IFERROR(__xludf.DUMMYFUNCTION("""COMPUTED_VALUE"""),0.00854166676919534)</f>
        <v>8.5416667691953392E-3</v>
      </c>
      <c r="J6" s="17">
        <f ca="1">IFERROR(__xludf.DUMMYFUNCTION("""COMPUTED_VALUE"""),0.00934027791690119)</f>
        <v>9.3402779169011897E-3</v>
      </c>
      <c r="K6" s="18">
        <f ca="1">IFERROR(__xludf.DUMMYFUNCTION("""COMPUTED_VALUE"""),0.00101851925775143)</f>
        <v>1.0185192577514301E-3</v>
      </c>
      <c r="L6" s="19"/>
      <c r="M6" s="19"/>
      <c r="N6" s="19"/>
      <c r="O6" s="19"/>
      <c r="P6" s="19"/>
      <c r="Q6" s="19"/>
      <c r="R6" s="19"/>
      <c r="S6" s="19"/>
      <c r="T6" s="19"/>
      <c r="U6" s="19"/>
      <c r="V6" s="20"/>
      <c r="W6" s="20"/>
      <c r="X6" s="20"/>
      <c r="Y6" s="20"/>
      <c r="Z6" s="21"/>
      <c r="AA6" s="22"/>
      <c r="AB6" s="23"/>
    </row>
    <row r="7" spans="1:28" ht="13.5" customHeight="1" x14ac:dyDescent="0.35">
      <c r="A7" s="24">
        <f ca="1">IFERROR(__xludf.DUMMYFUNCTION("""COMPUTED_VALUE"""),6)</f>
        <v>6</v>
      </c>
      <c r="B7" s="25" t="str">
        <f ca="1">IFERROR(__xludf.DUMMYFUNCTION("""COMPUTED_VALUE"""),"203")</f>
        <v>203</v>
      </c>
      <c r="C7" s="26" t="str">
        <f ca="1">IFERROR(__xludf.DUMMYFUNCTION("""COMPUTED_VALUE"""),"MILLOT")</f>
        <v>MILLOT</v>
      </c>
      <c r="D7" s="27" t="str">
        <f ca="1">IFERROR(__xludf.DUMMYFUNCTION("""COMPUTED_VALUE"""),"GAELLE")</f>
        <v>GAELLE</v>
      </c>
      <c r="E7" s="15" t="str">
        <f ca="1">IFERROR(__xludf.DUMMYFUNCTION("""COMPUTED_VALUE"""),"MF2")</f>
        <v>MF2</v>
      </c>
      <c r="F7" s="51">
        <f ca="1">IFERROR(__xludf.DUMMYFUNCTION("""COMPUTED_VALUE"""),3)</f>
        <v>3</v>
      </c>
      <c r="G7" s="16">
        <f ca="1">IFERROR(__xludf.DUMMYFUNCTION("""COMPUTED_VALUE"""),0.0236342596658326)</f>
        <v>2.3634259665832599E-2</v>
      </c>
      <c r="H7" s="17">
        <f ca="1">IFERROR(__xludf.DUMMYFUNCTION("""COMPUTED_VALUE"""),0.00398148159532601)</f>
        <v>3.9814815953260101E-3</v>
      </c>
      <c r="I7" s="17">
        <f ca="1">IFERROR(__xludf.DUMMYFUNCTION("""COMPUTED_VALUE"""),0.00812500000892196)</f>
        <v>8.1250000089219607E-3</v>
      </c>
      <c r="J7" s="17">
        <f ca="1">IFERROR(__xludf.DUMMYFUNCTION("""COMPUTED_VALUE"""),0.0106365736175182)</f>
        <v>1.06365736175182E-2</v>
      </c>
      <c r="K7" s="18">
        <f ca="1">IFERROR(__xludf.DUMMYFUNCTION("""COMPUTED_VALUE"""),0.000891204444066454)</f>
        <v>8.9120444406645401E-4</v>
      </c>
      <c r="L7" s="19"/>
      <c r="M7" s="19"/>
      <c r="N7" s="19"/>
      <c r="O7" s="19"/>
      <c r="P7" s="19"/>
      <c r="Q7" s="19"/>
      <c r="R7" s="19"/>
      <c r="S7" s="19"/>
      <c r="T7" s="19"/>
      <c r="U7" s="19"/>
      <c r="V7" s="20"/>
      <c r="W7" s="20"/>
      <c r="X7" s="20"/>
      <c r="Y7" s="20"/>
      <c r="Z7" s="21"/>
      <c r="AA7" s="22"/>
      <c r="AB7" s="23"/>
    </row>
    <row r="8" spans="1:28" ht="13.5" customHeight="1" x14ac:dyDescent="0.35">
      <c r="A8" s="24">
        <f ca="1">IFERROR(__xludf.DUMMYFUNCTION("""COMPUTED_VALUE"""),7)</f>
        <v>7</v>
      </c>
      <c r="B8" s="25" t="str">
        <f ca="1">IFERROR(__xludf.DUMMYFUNCTION("""COMPUTED_VALUE"""),"66")</f>
        <v>66</v>
      </c>
      <c r="C8" s="26" t="str">
        <f ca="1">IFERROR(__xludf.DUMMYFUNCTION("""COMPUTED_VALUE"""),"KEROMEN")</f>
        <v>KEROMEN</v>
      </c>
      <c r="D8" s="27" t="str">
        <f ca="1">IFERROR(__xludf.DUMMYFUNCTION("""COMPUTED_VALUE"""),"GAËLA")</f>
        <v>GAËLA</v>
      </c>
      <c r="E8" s="15" t="str">
        <f ca="1">IFERROR(__xludf.DUMMYFUNCTION("""COMPUTED_VALUE"""),"MF1")</f>
        <v>MF1</v>
      </c>
      <c r="F8" s="51">
        <f ca="1">IFERROR(__xludf.DUMMYFUNCTION("""COMPUTED_VALUE"""),3)</f>
        <v>3</v>
      </c>
      <c r="G8" s="16">
        <f ca="1">IFERROR(__xludf.DUMMYFUNCTION("""COMPUTED_VALUE"""),0.024131944565969)</f>
        <v>2.4131944565969E-2</v>
      </c>
      <c r="H8" s="17">
        <f ca="1">IFERROR(__xludf.DUMMYFUNCTION("""COMPUTED_VALUE"""),0.00347222229940531)</f>
        <v>3.4722222994053101E-3</v>
      </c>
      <c r="I8" s="17">
        <f ca="1">IFERROR(__xludf.DUMMYFUNCTION("""COMPUTED_VALUE"""),0.00899305563584863)</f>
        <v>8.9930556358486305E-3</v>
      </c>
      <c r="J8" s="17">
        <f ca="1">IFERROR(__xludf.DUMMYFUNCTION("""COMPUTED_VALUE"""),0.0103356476410939)</f>
        <v>1.03356476410939E-2</v>
      </c>
      <c r="K8" s="18">
        <f ca="1">IFERROR(__xludf.DUMMYFUNCTION("""COMPUTED_VALUE"""),0.00133101898962121)</f>
        <v>1.3310189896212101E-3</v>
      </c>
      <c r="L8" s="19"/>
      <c r="M8" s="19"/>
      <c r="N8" s="19"/>
      <c r="O8" s="19"/>
      <c r="P8" s="19"/>
      <c r="Q8" s="19"/>
      <c r="R8" s="19"/>
      <c r="S8" s="19"/>
      <c r="T8" s="19"/>
      <c r="U8" s="19"/>
      <c r="V8" s="20"/>
      <c r="W8" s="20"/>
      <c r="X8" s="20"/>
      <c r="Y8" s="20"/>
      <c r="Z8" s="21"/>
      <c r="AA8" s="22"/>
      <c r="AB8" s="23"/>
    </row>
    <row r="9" spans="1:28" ht="13.5" customHeight="1" x14ac:dyDescent="0.35">
      <c r="A9" s="24">
        <f ca="1">IFERROR(__xludf.DUMMYFUNCTION("""COMPUTED_VALUE"""),8)</f>
        <v>8</v>
      </c>
      <c r="B9" s="25" t="str">
        <f ca="1">IFERROR(__xludf.DUMMYFUNCTION("""COMPUTED_VALUE"""),"150")</f>
        <v>150</v>
      </c>
      <c r="C9" s="26" t="str">
        <f ca="1">IFERROR(__xludf.DUMMYFUNCTION("""COMPUTED_VALUE"""),"CASTERAN")</f>
        <v>CASTERAN</v>
      </c>
      <c r="D9" s="27" t="str">
        <f ca="1">IFERROR(__xludf.DUMMYFUNCTION("""COMPUTED_VALUE"""),"VALERIE")</f>
        <v>VALERIE</v>
      </c>
      <c r="E9" s="15" t="str">
        <f ca="1">IFERROR(__xludf.DUMMYFUNCTION("""COMPUTED_VALUE"""),"MF5")</f>
        <v>MF5</v>
      </c>
      <c r="F9" s="51">
        <f ca="1">IFERROR(__xludf.DUMMYFUNCTION("""COMPUTED_VALUE"""),2)</f>
        <v>2</v>
      </c>
      <c r="G9" s="16">
        <f ca="1">IFERROR(__xludf.DUMMYFUNCTION("""COMPUTED_VALUE"""),0.024131945060175)</f>
        <v>2.4131945060174999E-2</v>
      </c>
      <c r="H9" s="17">
        <f ca="1">IFERROR(__xludf.DUMMYFUNCTION("""COMPUTED_VALUE"""),0.00508101855821255)</f>
        <v>5.0810185582125496E-3</v>
      </c>
      <c r="I9" s="17">
        <f ca="1">IFERROR(__xludf.DUMMYFUNCTION("""COMPUTED_VALUE"""),0.00855324079944093)</f>
        <v>8.5532407994409303E-3</v>
      </c>
      <c r="J9" s="17">
        <f ca="1">IFERROR(__xludf.DUMMYFUNCTION("""COMPUTED_VALUE"""),0.00952546259007908)</f>
        <v>9.5254625900790795E-3</v>
      </c>
      <c r="K9" s="18">
        <f ca="1">IFERROR(__xludf.DUMMYFUNCTION("""COMPUTED_VALUE"""),0.000972223112442475)</f>
        <v>9.7222311244247496E-4</v>
      </c>
      <c r="L9" s="19"/>
      <c r="M9" s="19"/>
      <c r="N9" s="19"/>
      <c r="O9" s="19"/>
      <c r="P9" s="19"/>
      <c r="Q9" s="19"/>
      <c r="R9" s="19"/>
      <c r="S9" s="19"/>
      <c r="T9" s="19"/>
      <c r="U9" s="19"/>
      <c r="V9" s="20"/>
      <c r="W9" s="20"/>
      <c r="X9" s="20"/>
      <c r="Y9" s="20"/>
      <c r="Z9" s="21"/>
      <c r="AA9" s="22"/>
      <c r="AB9" s="23"/>
    </row>
    <row r="10" spans="1:28" ht="13.5" customHeight="1" x14ac:dyDescent="0.35">
      <c r="A10" s="24">
        <f ca="1">IFERROR(__xludf.DUMMYFUNCTION("""COMPUTED_VALUE"""),9)</f>
        <v>9</v>
      </c>
      <c r="B10" s="25" t="str">
        <f ca="1">IFERROR(__xludf.DUMMYFUNCTION("""COMPUTED_VALUE"""),"109")</f>
        <v>109</v>
      </c>
      <c r="C10" s="26" t="str">
        <f ca="1">IFERROR(__xludf.DUMMYFUNCTION("""COMPUTED_VALUE"""),"HAMLIN")</f>
        <v>HAMLIN</v>
      </c>
      <c r="D10" s="27" t="str">
        <f ca="1">IFERROR(__xludf.DUMMYFUNCTION("""COMPUTED_VALUE"""),"KARINE")</f>
        <v>KARINE</v>
      </c>
      <c r="E10" s="15" t="str">
        <f ca="1">IFERROR(__xludf.DUMMYFUNCTION("""COMPUTED_VALUE"""),"MF3")</f>
        <v>MF3</v>
      </c>
      <c r="F10" s="51">
        <f ca="1">IFERROR(__xludf.DUMMYFUNCTION("""COMPUTED_VALUE"""),1)</f>
        <v>1</v>
      </c>
      <c r="G10" s="16">
        <f ca="1">IFERROR(__xludf.DUMMYFUNCTION("""COMPUTED_VALUE"""),0.0250462968125299)</f>
        <v>2.50462968125299E-2</v>
      </c>
      <c r="H10" s="17">
        <f ca="1">IFERROR(__xludf.DUMMYFUNCTION("""COMPUTED_VALUE"""),0.00515046300141494)</f>
        <v>5.1504630014149403E-3</v>
      </c>
      <c r="I10" s="17">
        <f ca="1">IFERROR(__xludf.DUMMYFUNCTION("""COMPUTED_VALUE"""),0.00871527785747674)</f>
        <v>8.7152778574767394E-3</v>
      </c>
      <c r="J10" s="17">
        <f ca="1">IFERROR(__xludf.DUMMYFUNCTION("""COMPUTED_VALUE"""),0.00995370316199355)</f>
        <v>9.95370316199355E-3</v>
      </c>
      <c r="K10" s="18">
        <f ca="1">IFERROR(__xludf.DUMMYFUNCTION("""COMPUTED_VALUE"""),0.00122685279164467)</f>
        <v>1.22685279164467E-3</v>
      </c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20"/>
      <c r="W10" s="20"/>
      <c r="X10" s="20"/>
      <c r="Y10" s="20"/>
      <c r="Z10" s="21"/>
      <c r="AA10" s="22"/>
      <c r="AB10" s="23"/>
    </row>
    <row r="11" spans="1:28" ht="13.5" customHeight="1" x14ac:dyDescent="0.35">
      <c r="A11" s="24">
        <f ca="1">IFERROR(__xludf.DUMMYFUNCTION("""COMPUTED_VALUE"""),10)</f>
        <v>10</v>
      </c>
      <c r="B11" s="25" t="str">
        <f ca="1">IFERROR(__xludf.DUMMYFUNCTION("""COMPUTED_VALUE"""),"110")</f>
        <v>110</v>
      </c>
      <c r="C11" s="26" t="str">
        <f ca="1">IFERROR(__xludf.DUMMYFUNCTION("""COMPUTED_VALUE"""),"MALAK")</f>
        <v>MALAK</v>
      </c>
      <c r="D11" s="27" t="str">
        <f ca="1">IFERROR(__xludf.DUMMYFUNCTION("""COMPUTED_VALUE"""),"SANDRA")</f>
        <v>SANDRA</v>
      </c>
      <c r="E11" s="15" t="str">
        <f ca="1">IFERROR(__xludf.DUMMYFUNCTION("""COMPUTED_VALUE"""),"MF2")</f>
        <v>MF2</v>
      </c>
      <c r="F11" s="51">
        <f ca="1">IFERROR(__xludf.DUMMYFUNCTION("""COMPUTED_VALUE"""),4)</f>
        <v>4</v>
      </c>
      <c r="G11" s="16">
        <f ca="1">IFERROR(__xludf.DUMMYFUNCTION("""COMPUTED_VALUE"""),0.0252199074186346)</f>
        <v>2.5219907418634599E-2</v>
      </c>
      <c r="H11" s="17">
        <f ca="1">IFERROR(__xludf.DUMMYFUNCTION("""COMPUTED_VALUE"""),0.00462962965314002)</f>
        <v>4.6296296531400201E-3</v>
      </c>
      <c r="I11" s="17">
        <f ca="1">IFERROR(__xludf.DUMMYFUNCTION("""COMPUTED_VALUE"""),0.00896990751642088)</f>
        <v>8.9699075164208792E-3</v>
      </c>
      <c r="J11" s="17">
        <f ca="1">IFERROR(__xludf.DUMMYFUNCTION("""COMPUTED_VALUE"""),0.0109722217216949)</f>
        <v>1.0972221721694901E-2</v>
      </c>
      <c r="K11" s="18">
        <f ca="1">IFERROR(__xludf.DUMMYFUNCTION("""COMPUTED_VALUE"""),0.000648148527378799)</f>
        <v>6.4814852737879903E-4</v>
      </c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20"/>
      <c r="W11" s="20"/>
      <c r="X11" s="20"/>
      <c r="Y11" s="20"/>
      <c r="Z11" s="21"/>
      <c r="AA11" s="22"/>
      <c r="AB11" s="23"/>
    </row>
    <row r="12" spans="1:28" ht="13.5" customHeight="1" x14ac:dyDescent="0.35">
      <c r="A12" s="24">
        <f ca="1">IFERROR(__xludf.DUMMYFUNCTION("""COMPUTED_VALUE"""),11)</f>
        <v>11</v>
      </c>
      <c r="B12" s="25" t="str">
        <f ca="1">IFERROR(__xludf.DUMMYFUNCTION("""COMPUTED_VALUE"""),"162")</f>
        <v>162</v>
      </c>
      <c r="C12" s="26" t="str">
        <f ca="1">IFERROR(__xludf.DUMMYFUNCTION("""COMPUTED_VALUE"""),"NGUYEN-NGOC")</f>
        <v>NGUYEN-NGOC</v>
      </c>
      <c r="D12" s="27" t="str">
        <f ca="1">IFERROR(__xludf.DUMMYFUNCTION("""COMPUTED_VALUE"""),"AUDE")</f>
        <v>AUDE</v>
      </c>
      <c r="E12" s="15" t="str">
        <f ca="1">IFERROR(__xludf.DUMMYFUNCTION("""COMPUTED_VALUE"""),"MF2")</f>
        <v>MF2</v>
      </c>
      <c r="F12" s="51">
        <f ca="1">IFERROR(__xludf.DUMMYFUNCTION("""COMPUTED_VALUE"""),5)</f>
        <v>5</v>
      </c>
      <c r="G12" s="16">
        <f ca="1">IFERROR(__xludf.DUMMYFUNCTION("""COMPUTED_VALUE"""),0.0261921306944803)</f>
        <v>2.6192130694480301E-2</v>
      </c>
      <c r="H12" s="17">
        <f ca="1">IFERROR(__xludf.DUMMYFUNCTION("""COMPUTED_VALUE"""),0.00540509260517506)</f>
        <v>5.4050926051750596E-3</v>
      </c>
      <c r="I12" s="17">
        <f ca="1">IFERROR(__xludf.DUMMYFUNCTION("""COMPUTED_VALUE"""),0.00863425933086822)</f>
        <v>8.63425933086822E-3</v>
      </c>
      <c r="J12" s="17">
        <f ca="1">IFERROR(__xludf.DUMMYFUNCTION("""COMPUTED_VALUE"""),0.0108912040044828)</f>
        <v>1.0891204004482799E-2</v>
      </c>
      <c r="K12" s="18">
        <f ca="1">IFERROR(__xludf.DUMMYFUNCTION("""COMPUTED_VALUE"""),0.00126157475395421)</f>
        <v>1.2615747539542099E-3</v>
      </c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20"/>
      <c r="W12" s="20"/>
      <c r="X12" s="20"/>
      <c r="Y12" s="20"/>
      <c r="Z12" s="21"/>
      <c r="AA12" s="22"/>
      <c r="AB12" s="23"/>
    </row>
    <row r="13" spans="1:28" ht="13.5" customHeight="1" x14ac:dyDescent="0.35">
      <c r="A13" s="24">
        <f ca="1">IFERROR(__xludf.DUMMYFUNCTION("""COMPUTED_VALUE"""),12)</f>
        <v>12</v>
      </c>
      <c r="B13" s="25" t="str">
        <f ca="1">IFERROR(__xludf.DUMMYFUNCTION("""COMPUTED_VALUE"""),"70")</f>
        <v>70</v>
      </c>
      <c r="C13" s="26" t="str">
        <f ca="1">IFERROR(__xludf.DUMMYFUNCTION("""COMPUTED_VALUE"""),"MARINET")</f>
        <v>MARINET</v>
      </c>
      <c r="D13" s="27" t="str">
        <f ca="1">IFERROR(__xludf.DUMMYFUNCTION("""COMPUTED_VALUE"""),"DELPHINE")</f>
        <v>DELPHINE</v>
      </c>
      <c r="E13" s="15" t="str">
        <f ca="1">IFERROR(__xludf.DUMMYFUNCTION("""COMPUTED_VALUE"""),"MF4")</f>
        <v>MF4</v>
      </c>
      <c r="F13" s="51">
        <f ca="1">IFERROR(__xludf.DUMMYFUNCTION("""COMPUTED_VALUE"""),1)</f>
        <v>1</v>
      </c>
      <c r="G13" s="16">
        <f ca="1">IFERROR(__xludf.DUMMYFUNCTION("""COMPUTED_VALUE"""),0.0271064822121077)</f>
        <v>2.7106482212107701E-2</v>
      </c>
      <c r="H13" s="17">
        <f ca="1">IFERROR(__xludf.DUMMYFUNCTION("""COMPUTED_VALUE"""),0.00516203714992702)</f>
        <v>5.16203714992702E-3</v>
      </c>
      <c r="I13" s="17">
        <f ca="1">IFERROR(__xludf.DUMMYFUNCTION("""COMPUTED_VALUE"""),0.00846064818805948)</f>
        <v>8.4606481880594806E-3</v>
      </c>
      <c r="J13" s="17">
        <f ca="1">IFERROR(__xludf.DUMMYFUNCTION("""COMPUTED_VALUE"""),0.0123148145188664)</f>
        <v>1.23148145188664E-2</v>
      </c>
      <c r="K13" s="18">
        <f ca="1">IFERROR(__xludf.DUMMYFUNCTION("""COMPUTED_VALUE"""),0.00116898235525475)</f>
        <v>1.1689823552547499E-3</v>
      </c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20"/>
      <c r="W13" s="20"/>
      <c r="X13" s="20"/>
      <c r="Y13" s="20"/>
      <c r="Z13" s="21"/>
      <c r="AA13" s="22"/>
      <c r="AB13" s="23"/>
    </row>
    <row r="14" spans="1:28" ht="13.5" customHeight="1" x14ac:dyDescent="0.35">
      <c r="A14" s="24">
        <f ca="1">IFERROR(__xludf.DUMMYFUNCTION("""COMPUTED_VALUE"""),13)</f>
        <v>13</v>
      </c>
      <c r="B14" s="25" t="str">
        <f ca="1">IFERROR(__xludf.DUMMYFUNCTION("""COMPUTED_VALUE"""),"161")</f>
        <v>161</v>
      </c>
      <c r="C14" s="26" t="str">
        <f ca="1">IFERROR(__xludf.DUMMYFUNCTION("""COMPUTED_VALUE"""),"TRAN")</f>
        <v>TRAN</v>
      </c>
      <c r="D14" s="27" t="str">
        <f ca="1">IFERROR(__xludf.DUMMYFUNCTION("""COMPUTED_VALUE"""),"NHA-LE")</f>
        <v>NHA-LE</v>
      </c>
      <c r="E14" s="15" t="str">
        <f ca="1">IFERROR(__xludf.DUMMYFUNCTION("""COMPUTED_VALUE"""),"MF2")</f>
        <v>MF2</v>
      </c>
      <c r="F14" s="51">
        <f ca="1">IFERROR(__xludf.DUMMYFUNCTION("""COMPUTED_VALUE"""),6)</f>
        <v>6</v>
      </c>
      <c r="G14" s="16">
        <f ca="1">IFERROR(__xludf.DUMMYFUNCTION("""COMPUTED_VALUE"""),0.0274305559638199)</f>
        <v>2.7430555963819901E-2</v>
      </c>
      <c r="H14" s="17">
        <f ca="1">IFERROR(__xludf.DUMMYFUNCTION("""COMPUTED_VALUE"""),0.00561342601767308)</f>
        <v>5.6134260176730804E-3</v>
      </c>
      <c r="I14" s="17">
        <f ca="1">IFERROR(__xludf.DUMMYFUNCTION("""COMPUTED_VALUE"""),0.00923611122662794)</f>
        <v>9.2361112266279403E-3</v>
      </c>
      <c r="J14" s="17">
        <f ca="1">IFERROR(__xludf.DUMMYFUNCTION("""COMPUTED_VALUE"""),0.0111342591838822)</f>
        <v>1.11342591838822E-2</v>
      </c>
      <c r="K14" s="18">
        <f ca="1">IFERROR(__xludf.DUMMYFUNCTION("""COMPUTED_VALUE"""),0.00144675953563673)</f>
        <v>1.44675953563673E-3</v>
      </c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20"/>
      <c r="W14" s="20"/>
      <c r="X14" s="20"/>
      <c r="Y14" s="20"/>
      <c r="Z14" s="21"/>
      <c r="AA14" s="22"/>
      <c r="AB14" s="23"/>
    </row>
    <row r="15" spans="1:28" ht="13.5" customHeight="1" x14ac:dyDescent="0.35">
      <c r="A15" s="24">
        <f ca="1">IFERROR(__xludf.DUMMYFUNCTION("""COMPUTED_VALUE"""),14)</f>
        <v>14</v>
      </c>
      <c r="B15" s="25" t="str">
        <f ca="1">IFERROR(__xludf.DUMMYFUNCTION("""COMPUTED_VALUE"""),"125")</f>
        <v>125</v>
      </c>
      <c r="C15" s="26" t="str">
        <f ca="1">IFERROR(__xludf.DUMMYFUNCTION("""COMPUTED_VALUE"""),"SURNINA")</f>
        <v>SURNINA</v>
      </c>
      <c r="D15" s="27" t="str">
        <f ca="1">IFERROR(__xludf.DUMMYFUNCTION("""COMPUTED_VALUE"""),"VERONIKA")</f>
        <v>VERONIKA</v>
      </c>
      <c r="E15" s="15" t="str">
        <f ca="1">IFERROR(__xludf.DUMMYFUNCTION("""COMPUTED_VALUE"""),"MF2")</f>
        <v>MF2</v>
      </c>
      <c r="F15" s="51">
        <f ca="1">IFERROR(__xludf.DUMMYFUNCTION("""COMPUTED_VALUE"""),7)</f>
        <v>7</v>
      </c>
      <c r="G15" s="16">
        <f ca="1">IFERROR(__xludf.DUMMYFUNCTION("""COMPUTED_VALUE"""),0.027488426816821)</f>
        <v>2.7488426816821E-2</v>
      </c>
      <c r="H15" s="17">
        <f ca="1">IFERROR(__xludf.DUMMYFUNCTION("""COMPUTED_VALUE"""),0.00423611112591422)</f>
        <v>4.2361111259142199E-3</v>
      </c>
      <c r="I15" s="17">
        <f ca="1">IFERROR(__xludf.DUMMYFUNCTION("""COMPUTED_VALUE"""),0.00967592603644378)</f>
        <v>9.6759260364437799E-3</v>
      </c>
      <c r="J15" s="17">
        <f ca="1">IFERROR(__xludf.DUMMYFUNCTION("""COMPUTED_VALUE"""),0.0120254628700531)</f>
        <v>1.20254628700531E-2</v>
      </c>
      <c r="K15" s="18">
        <f ca="1">IFERROR(__xludf.DUMMYFUNCTION("""COMPUTED_VALUE"""),0.00155092678440984)</f>
        <v>1.55092678440984E-3</v>
      </c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20"/>
      <c r="W15" s="20"/>
      <c r="X15" s="20"/>
      <c r="Y15" s="20"/>
      <c r="Z15" s="21"/>
      <c r="AA15" s="22"/>
      <c r="AB15" s="23"/>
    </row>
    <row r="16" spans="1:28" ht="13.5" customHeight="1" x14ac:dyDescent="0.35">
      <c r="A16" s="24">
        <f ca="1">IFERROR(__xludf.DUMMYFUNCTION("""COMPUTED_VALUE"""),15)</f>
        <v>15</v>
      </c>
      <c r="B16" s="25" t="str">
        <f ca="1">IFERROR(__xludf.DUMMYFUNCTION("""COMPUTED_VALUE"""),"151")</f>
        <v>151</v>
      </c>
      <c r="C16" s="26" t="str">
        <f ca="1">IFERROR(__xludf.DUMMYFUNCTION("""COMPUTED_VALUE"""),"GREGOIRE")</f>
        <v>GREGOIRE</v>
      </c>
      <c r="D16" s="27" t="str">
        <f ca="1">IFERROR(__xludf.DUMMYFUNCTION("""COMPUTED_VALUE"""),"CHRISTELLE")</f>
        <v>CHRISTELLE</v>
      </c>
      <c r="E16" s="15" t="str">
        <f ca="1">IFERROR(__xludf.DUMMYFUNCTION("""COMPUTED_VALUE"""),"MF3")</f>
        <v>MF3</v>
      </c>
      <c r="F16" s="51">
        <f ca="1">IFERROR(__xludf.DUMMYFUNCTION("""COMPUTED_VALUE"""),2)</f>
        <v>2</v>
      </c>
      <c r="G16" s="16">
        <f ca="1">IFERROR(__xludf.DUMMYFUNCTION("""COMPUTED_VALUE"""),0.0295254640925892)</f>
        <v>2.9525464092589201E-2</v>
      </c>
      <c r="H16" s="17">
        <f ca="1">IFERROR(__xludf.DUMMYFUNCTION("""COMPUTED_VALUE"""),0.0064930555857009)</f>
        <v>6.4930555857009003E-3</v>
      </c>
      <c r="I16" s="17">
        <f ca="1">IFERROR(__xludf.DUMMYFUNCTION("""COMPUTED_VALUE"""),0.00875000006553655)</f>
        <v>8.7500000655365492E-3</v>
      </c>
      <c r="J16" s="17">
        <f ca="1">IFERROR(__xludf.DUMMYFUNCTION("""COMPUTED_VALUE"""),0.0128703709867024)</f>
        <v>1.2870370986702399E-2</v>
      </c>
      <c r="K16" s="18">
        <f ca="1">IFERROR(__xludf.DUMMYFUNCTION("""COMPUTED_VALUE"""),0.00141203745464934)</f>
        <v>1.41203745464934E-3</v>
      </c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20"/>
      <c r="W16" s="20"/>
      <c r="X16" s="20"/>
      <c r="Y16" s="20"/>
      <c r="Z16" s="21"/>
      <c r="AA16" s="22"/>
      <c r="AB16" s="23"/>
    </row>
    <row r="17" spans="1:28" ht="13.5" customHeight="1" x14ac:dyDescent="0.35">
      <c r="A17" s="24">
        <f ca="1">IFERROR(__xludf.DUMMYFUNCTION("""COMPUTED_VALUE"""),16)</f>
        <v>16</v>
      </c>
      <c r="B17" s="25" t="str">
        <f ca="1">IFERROR(__xludf.DUMMYFUNCTION("""COMPUTED_VALUE"""),"13")</f>
        <v>13</v>
      </c>
      <c r="C17" s="26" t="str">
        <f ca="1">IFERROR(__xludf.DUMMYFUNCTION("""COMPUTED_VALUE"""),"TEBIB")</f>
        <v>TEBIB</v>
      </c>
      <c r="D17" s="27" t="str">
        <f ca="1">IFERROR(__xludf.DUMMYFUNCTION("""COMPUTED_VALUE"""),"SABRINA")</f>
        <v>SABRINA</v>
      </c>
      <c r="E17" s="15" t="str">
        <f ca="1">IFERROR(__xludf.DUMMYFUNCTION("""COMPUTED_VALUE"""),"MF2")</f>
        <v>MF2</v>
      </c>
      <c r="F17" s="51">
        <f ca="1">IFERROR(__xludf.DUMMYFUNCTION("""COMPUTED_VALUE"""),8)</f>
        <v>8</v>
      </c>
      <c r="G17" s="16">
        <f ca="1">IFERROR(__xludf.DUMMYFUNCTION("""COMPUTED_VALUE"""),0.0307060193664399)</f>
        <v>3.07060193664399E-2</v>
      </c>
      <c r="H17" s="17">
        <f ca="1">IFERROR(__xludf.DUMMYFUNCTION("""COMPUTED_VALUE"""),0.0050462964037608)</f>
        <v>5.0462964037608004E-3</v>
      </c>
      <c r="I17" s="17">
        <f ca="1">IFERROR(__xludf.DUMMYFUNCTION("""COMPUTED_VALUE"""),0.0085648148624747)</f>
        <v>8.5648148624746998E-3</v>
      </c>
      <c r="J17" s="17">
        <f ca="1">IFERROR(__xludf.DUMMYFUNCTION("""COMPUTED_VALUE"""),0.0157754628480727)</f>
        <v>1.5775462848072699E-2</v>
      </c>
      <c r="K17" s="18">
        <f ca="1">IFERROR(__xludf.DUMMYFUNCTION("""COMPUTED_VALUE"""),0.00131944525213173)</f>
        <v>1.31944525213173E-3</v>
      </c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20"/>
      <c r="W17" s="20"/>
      <c r="X17" s="20"/>
      <c r="Y17" s="20"/>
      <c r="Z17" s="21"/>
      <c r="AA17" s="22"/>
      <c r="AB17" s="23"/>
    </row>
    <row r="18" spans="1:28" ht="13.5" customHeight="1" x14ac:dyDescent="0.35">
      <c r="A18" s="24">
        <f ca="1">IFERROR(__xludf.DUMMYFUNCTION("""COMPUTED_VALUE"""),17)</f>
        <v>17</v>
      </c>
      <c r="B18" s="25" t="str">
        <f ca="1">IFERROR(__xludf.DUMMYFUNCTION("""COMPUTED_VALUE"""),"111")</f>
        <v>111</v>
      </c>
      <c r="C18" s="26" t="str">
        <f ca="1">IFERROR(__xludf.DUMMYFUNCTION("""COMPUTED_VALUE"""),"MORELLI")</f>
        <v>MORELLI</v>
      </c>
      <c r="D18" s="27" t="str">
        <f ca="1">IFERROR(__xludf.DUMMYFUNCTION("""COMPUTED_VALUE"""),"AMELIE")</f>
        <v>AMELIE</v>
      </c>
      <c r="E18" s="15" t="str">
        <f ca="1">IFERROR(__xludf.DUMMYFUNCTION("""COMPUTED_VALUE"""),"MF1")</f>
        <v>MF1</v>
      </c>
      <c r="F18" s="51">
        <f ca="1">IFERROR(__xludf.DUMMYFUNCTION("""COMPUTED_VALUE"""),4)</f>
        <v>4</v>
      </c>
      <c r="G18" s="16">
        <f ca="1">IFERROR(__xludf.DUMMYFUNCTION("""COMPUTED_VALUE"""),0.0361689817578868)</f>
        <v>3.6168981757886798E-2</v>
      </c>
      <c r="H18" s="17">
        <f ca="1">IFERROR(__xludf.DUMMYFUNCTION("""COMPUTED_VALUE"""),0.00717592600160848)</f>
        <v>7.1759260016084798E-3</v>
      </c>
      <c r="I18" s="17">
        <f ca="1">IFERROR(__xludf.DUMMYFUNCTION("""COMPUTED_VALUE"""),0.0114467593647737)</f>
        <v>1.14467593647737E-2</v>
      </c>
      <c r="J18" s="17">
        <f ca="1">IFERROR(__xludf.DUMMYFUNCTION("""COMPUTED_VALUE"""),0.0157407401507647)</f>
        <v>1.5740740150764699E-2</v>
      </c>
      <c r="K18" s="18">
        <f ca="1">IFERROR(__xludf.DUMMYFUNCTION("""COMPUTED_VALUE"""),0.0018055562407399)</f>
        <v>1.8055562407399001E-3</v>
      </c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20"/>
      <c r="W18" s="20"/>
      <c r="X18" s="20"/>
      <c r="Y18" s="20"/>
      <c r="Z18" s="21"/>
      <c r="AA18" s="22"/>
      <c r="AB18" s="23"/>
    </row>
    <row r="19" spans="1:28" ht="13.5" customHeight="1" x14ac:dyDescent="0.35">
      <c r="A19" s="24" t="str">
        <f ca="1">IFERROR(__xludf.DUMMYFUNCTION("""COMPUTED_VALUE"""),"")</f>
        <v/>
      </c>
      <c r="B19" s="25" t="str">
        <f ca="1">IFERROR(__xludf.DUMMYFUNCTION("""COMPUTED_VALUE"""),"")</f>
        <v/>
      </c>
      <c r="C19" s="27" t="str">
        <f ca="1">IFERROR(__xludf.DUMMYFUNCTION("""COMPUTED_VALUE"""),"")</f>
        <v/>
      </c>
      <c r="D19" s="27" t="str">
        <f ca="1">IFERROR(__xludf.DUMMYFUNCTION("""COMPUTED_VALUE"""),"")</f>
        <v/>
      </c>
      <c r="E19" s="15" t="str">
        <f ca="1">IFERROR(__xludf.DUMMYFUNCTION("""COMPUTED_VALUE"""),"")</f>
        <v/>
      </c>
      <c r="F19" s="51" t="str">
        <f ca="1">IFERROR(__xludf.DUMMYFUNCTION("""COMPUTED_VALUE"""),"")</f>
        <v/>
      </c>
      <c r="G19" s="16" t="str">
        <f ca="1">IFERROR(__xludf.DUMMYFUNCTION("""COMPUTED_VALUE"""),"")</f>
        <v/>
      </c>
      <c r="H19" s="17" t="str">
        <f ca="1">IFERROR(__xludf.DUMMYFUNCTION("""COMPUTED_VALUE"""),"")</f>
        <v/>
      </c>
      <c r="I19" s="17" t="str">
        <f ca="1">IFERROR(__xludf.DUMMYFUNCTION("""COMPUTED_VALUE"""),"")</f>
        <v/>
      </c>
      <c r="J19" s="17" t="str">
        <f ca="1">IFERROR(__xludf.DUMMYFUNCTION("""COMPUTED_VALUE"""),"")</f>
        <v/>
      </c>
      <c r="K19" s="18" t="str">
        <f ca="1">IFERROR(__xludf.DUMMYFUNCTION("""COMPUTED_VALUE"""),"")</f>
        <v/>
      </c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20"/>
      <c r="W19" s="20"/>
      <c r="X19" s="20"/>
      <c r="Y19" s="20"/>
      <c r="Z19" s="21"/>
      <c r="AA19" s="22"/>
      <c r="AB19" s="23"/>
    </row>
    <row r="20" spans="1:28" ht="13.5" customHeight="1" x14ac:dyDescent="0.35">
      <c r="A20" s="24" t="str">
        <f ca="1">IFERROR(__xludf.DUMMYFUNCTION("""COMPUTED_VALUE"""),"")</f>
        <v/>
      </c>
      <c r="B20" s="25" t="str">
        <f ca="1">IFERROR(__xludf.DUMMYFUNCTION("""COMPUTED_VALUE"""),"")</f>
        <v/>
      </c>
      <c r="C20" s="27" t="str">
        <f ca="1">IFERROR(__xludf.DUMMYFUNCTION("""COMPUTED_VALUE"""),"")</f>
        <v/>
      </c>
      <c r="D20" s="27" t="str">
        <f ca="1">IFERROR(__xludf.DUMMYFUNCTION("""COMPUTED_VALUE"""),"")</f>
        <v/>
      </c>
      <c r="E20" s="15" t="str">
        <f ca="1">IFERROR(__xludf.DUMMYFUNCTION("""COMPUTED_VALUE"""),"")</f>
        <v/>
      </c>
      <c r="F20" s="51" t="str">
        <f ca="1">IFERROR(__xludf.DUMMYFUNCTION("""COMPUTED_VALUE"""),"")</f>
        <v/>
      </c>
      <c r="G20" s="16" t="str">
        <f ca="1">IFERROR(__xludf.DUMMYFUNCTION("""COMPUTED_VALUE"""),"")</f>
        <v/>
      </c>
      <c r="H20" s="17" t="str">
        <f ca="1">IFERROR(__xludf.DUMMYFUNCTION("""COMPUTED_VALUE"""),"")</f>
        <v/>
      </c>
      <c r="I20" s="17" t="str">
        <f ca="1">IFERROR(__xludf.DUMMYFUNCTION("""COMPUTED_VALUE"""),"")</f>
        <v/>
      </c>
      <c r="J20" s="17" t="str">
        <f ca="1">IFERROR(__xludf.DUMMYFUNCTION("""COMPUTED_VALUE"""),"")</f>
        <v/>
      </c>
      <c r="K20" s="18" t="str">
        <f ca="1">IFERROR(__xludf.DUMMYFUNCTION("""COMPUTED_VALUE"""),"")</f>
        <v/>
      </c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20"/>
      <c r="W20" s="20"/>
      <c r="X20" s="20"/>
      <c r="Y20" s="20"/>
      <c r="Z20" s="21"/>
      <c r="AA20" s="22"/>
      <c r="AB20" s="23"/>
    </row>
    <row r="21" spans="1:28" ht="13.5" customHeight="1" x14ac:dyDescent="0.35">
      <c r="A21" s="24" t="str">
        <f ca="1">IFERROR(__xludf.DUMMYFUNCTION("""COMPUTED_VALUE"""),"")</f>
        <v/>
      </c>
      <c r="B21" s="25" t="str">
        <f ca="1">IFERROR(__xludf.DUMMYFUNCTION("""COMPUTED_VALUE"""),"")</f>
        <v/>
      </c>
      <c r="C21" s="27" t="str">
        <f ca="1">IFERROR(__xludf.DUMMYFUNCTION("""COMPUTED_VALUE"""),"")</f>
        <v/>
      </c>
      <c r="D21" s="27" t="str">
        <f ca="1">IFERROR(__xludf.DUMMYFUNCTION("""COMPUTED_VALUE"""),"")</f>
        <v/>
      </c>
      <c r="E21" s="15" t="str">
        <f ca="1">IFERROR(__xludf.DUMMYFUNCTION("""COMPUTED_VALUE"""),"")</f>
        <v/>
      </c>
      <c r="F21" s="51" t="str">
        <f ca="1">IFERROR(__xludf.DUMMYFUNCTION("""COMPUTED_VALUE"""),"")</f>
        <v/>
      </c>
      <c r="G21" s="16" t="str">
        <f ca="1">IFERROR(__xludf.DUMMYFUNCTION("""COMPUTED_VALUE"""),"")</f>
        <v/>
      </c>
      <c r="H21" s="17" t="str">
        <f ca="1">IFERROR(__xludf.DUMMYFUNCTION("""COMPUTED_VALUE"""),"")</f>
        <v/>
      </c>
      <c r="I21" s="17" t="str">
        <f ca="1">IFERROR(__xludf.DUMMYFUNCTION("""COMPUTED_VALUE"""),"")</f>
        <v/>
      </c>
      <c r="J21" s="17" t="str">
        <f ca="1">IFERROR(__xludf.DUMMYFUNCTION("""COMPUTED_VALUE"""),"")</f>
        <v/>
      </c>
      <c r="K21" s="18" t="str">
        <f ca="1">IFERROR(__xludf.DUMMYFUNCTION("""COMPUTED_VALUE"""),"")</f>
        <v/>
      </c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20"/>
      <c r="W21" s="20"/>
      <c r="X21" s="20"/>
      <c r="Y21" s="20"/>
      <c r="Z21" s="21"/>
      <c r="AA21" s="22"/>
      <c r="AB21" s="23"/>
    </row>
    <row r="22" spans="1:28" ht="13.5" customHeight="1" x14ac:dyDescent="0.35">
      <c r="A22" s="24" t="str">
        <f ca="1">IFERROR(__xludf.DUMMYFUNCTION("""COMPUTED_VALUE"""),"")</f>
        <v/>
      </c>
      <c r="B22" s="25" t="str">
        <f ca="1">IFERROR(__xludf.DUMMYFUNCTION("""COMPUTED_VALUE"""),"")</f>
        <v/>
      </c>
      <c r="C22" s="27" t="str">
        <f ca="1">IFERROR(__xludf.DUMMYFUNCTION("""COMPUTED_VALUE"""),"")</f>
        <v/>
      </c>
      <c r="D22" s="27" t="str">
        <f ca="1">IFERROR(__xludf.DUMMYFUNCTION("""COMPUTED_VALUE"""),"")</f>
        <v/>
      </c>
      <c r="E22" s="15" t="str">
        <f ca="1">IFERROR(__xludf.DUMMYFUNCTION("""COMPUTED_VALUE"""),"")</f>
        <v/>
      </c>
      <c r="F22" s="51" t="str">
        <f ca="1">IFERROR(__xludf.DUMMYFUNCTION("""COMPUTED_VALUE"""),"")</f>
        <v/>
      </c>
      <c r="G22" s="16" t="str">
        <f ca="1">IFERROR(__xludf.DUMMYFUNCTION("""COMPUTED_VALUE"""),"")</f>
        <v/>
      </c>
      <c r="H22" s="17" t="str">
        <f ca="1">IFERROR(__xludf.DUMMYFUNCTION("""COMPUTED_VALUE"""),"")</f>
        <v/>
      </c>
      <c r="I22" s="17" t="str">
        <f ca="1">IFERROR(__xludf.DUMMYFUNCTION("""COMPUTED_VALUE"""),"")</f>
        <v/>
      </c>
      <c r="J22" s="17" t="str">
        <f ca="1">IFERROR(__xludf.DUMMYFUNCTION("""COMPUTED_VALUE"""),"")</f>
        <v/>
      </c>
      <c r="K22" s="18" t="str">
        <f ca="1">IFERROR(__xludf.DUMMYFUNCTION("""COMPUTED_VALUE"""),"")</f>
        <v/>
      </c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20"/>
      <c r="W22" s="20"/>
      <c r="X22" s="20"/>
      <c r="Y22" s="20"/>
      <c r="Z22" s="21"/>
      <c r="AA22" s="22"/>
      <c r="AB22" s="23"/>
    </row>
    <row r="23" spans="1:28" ht="13.5" customHeight="1" x14ac:dyDescent="0.35">
      <c r="A23" s="24" t="str">
        <f ca="1">IFERROR(__xludf.DUMMYFUNCTION("""COMPUTED_VALUE"""),"")</f>
        <v/>
      </c>
      <c r="B23" s="25" t="str">
        <f ca="1">IFERROR(__xludf.DUMMYFUNCTION("""COMPUTED_VALUE"""),"")</f>
        <v/>
      </c>
      <c r="C23" s="27" t="str">
        <f ca="1">IFERROR(__xludf.DUMMYFUNCTION("""COMPUTED_VALUE"""),"")</f>
        <v/>
      </c>
      <c r="D23" s="27" t="str">
        <f ca="1">IFERROR(__xludf.DUMMYFUNCTION("""COMPUTED_VALUE"""),"")</f>
        <v/>
      </c>
      <c r="E23" s="15" t="str">
        <f ca="1">IFERROR(__xludf.DUMMYFUNCTION("""COMPUTED_VALUE"""),"")</f>
        <v/>
      </c>
      <c r="F23" s="51" t="str">
        <f ca="1">IFERROR(__xludf.DUMMYFUNCTION("""COMPUTED_VALUE"""),"")</f>
        <v/>
      </c>
      <c r="G23" s="16" t="str">
        <f ca="1">IFERROR(__xludf.DUMMYFUNCTION("""COMPUTED_VALUE"""),"")</f>
        <v/>
      </c>
      <c r="H23" s="17" t="str">
        <f ca="1">IFERROR(__xludf.DUMMYFUNCTION("""COMPUTED_VALUE"""),"")</f>
        <v/>
      </c>
      <c r="I23" s="17" t="str">
        <f ca="1">IFERROR(__xludf.DUMMYFUNCTION("""COMPUTED_VALUE"""),"")</f>
        <v/>
      </c>
      <c r="J23" s="17" t="str">
        <f ca="1">IFERROR(__xludf.DUMMYFUNCTION("""COMPUTED_VALUE"""),"")</f>
        <v/>
      </c>
      <c r="K23" s="18" t="str">
        <f ca="1">IFERROR(__xludf.DUMMYFUNCTION("""COMPUTED_VALUE"""),"")</f>
        <v/>
      </c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20"/>
      <c r="W23" s="20"/>
      <c r="X23" s="20"/>
      <c r="Y23" s="20"/>
      <c r="Z23" s="21"/>
      <c r="AA23" s="22"/>
      <c r="AB23" s="23"/>
    </row>
    <row r="24" spans="1:28" ht="13.5" customHeight="1" x14ac:dyDescent="0.35">
      <c r="A24" s="24" t="str">
        <f ca="1">IFERROR(__xludf.DUMMYFUNCTION("""COMPUTED_VALUE"""),"")</f>
        <v/>
      </c>
      <c r="B24" s="25" t="str">
        <f ca="1">IFERROR(__xludf.DUMMYFUNCTION("""COMPUTED_VALUE"""),"")</f>
        <v/>
      </c>
      <c r="C24" s="27" t="str">
        <f ca="1">IFERROR(__xludf.DUMMYFUNCTION("""COMPUTED_VALUE"""),"")</f>
        <v/>
      </c>
      <c r="D24" s="27" t="str">
        <f ca="1">IFERROR(__xludf.DUMMYFUNCTION("""COMPUTED_VALUE"""),"")</f>
        <v/>
      </c>
      <c r="E24" s="15" t="str">
        <f ca="1">IFERROR(__xludf.DUMMYFUNCTION("""COMPUTED_VALUE"""),"")</f>
        <v/>
      </c>
      <c r="F24" s="51" t="str">
        <f ca="1">IFERROR(__xludf.DUMMYFUNCTION("""COMPUTED_VALUE"""),"")</f>
        <v/>
      </c>
      <c r="G24" s="16" t="str">
        <f ca="1">IFERROR(__xludf.DUMMYFUNCTION("""COMPUTED_VALUE"""),"")</f>
        <v/>
      </c>
      <c r="H24" s="17" t="str">
        <f ca="1">IFERROR(__xludf.DUMMYFUNCTION("""COMPUTED_VALUE"""),"")</f>
        <v/>
      </c>
      <c r="I24" s="17" t="str">
        <f ca="1">IFERROR(__xludf.DUMMYFUNCTION("""COMPUTED_VALUE"""),"")</f>
        <v/>
      </c>
      <c r="J24" s="17" t="str">
        <f ca="1">IFERROR(__xludf.DUMMYFUNCTION("""COMPUTED_VALUE"""),"")</f>
        <v/>
      </c>
      <c r="K24" s="18" t="str">
        <f ca="1">IFERROR(__xludf.DUMMYFUNCTION("""COMPUTED_VALUE"""),"")</f>
        <v/>
      </c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20"/>
      <c r="W24" s="20"/>
      <c r="X24" s="20"/>
      <c r="Y24" s="20"/>
      <c r="Z24" s="21"/>
      <c r="AA24" s="22"/>
      <c r="AB24" s="23"/>
    </row>
    <row r="25" spans="1:28" ht="13.5" customHeight="1" x14ac:dyDescent="0.35">
      <c r="A25" s="24" t="str">
        <f ca="1">IFERROR(__xludf.DUMMYFUNCTION("""COMPUTED_VALUE"""),"")</f>
        <v/>
      </c>
      <c r="B25" s="25" t="str">
        <f ca="1">IFERROR(__xludf.DUMMYFUNCTION("""COMPUTED_VALUE"""),"")</f>
        <v/>
      </c>
      <c r="C25" s="27" t="str">
        <f ca="1">IFERROR(__xludf.DUMMYFUNCTION("""COMPUTED_VALUE"""),"")</f>
        <v/>
      </c>
      <c r="D25" s="27" t="str">
        <f ca="1">IFERROR(__xludf.DUMMYFUNCTION("""COMPUTED_VALUE"""),"")</f>
        <v/>
      </c>
      <c r="E25" s="15" t="str">
        <f ca="1">IFERROR(__xludf.DUMMYFUNCTION("""COMPUTED_VALUE"""),"")</f>
        <v/>
      </c>
      <c r="F25" s="51" t="str">
        <f ca="1">IFERROR(__xludf.DUMMYFUNCTION("""COMPUTED_VALUE"""),"")</f>
        <v/>
      </c>
      <c r="G25" s="16" t="str">
        <f ca="1">IFERROR(__xludf.DUMMYFUNCTION("""COMPUTED_VALUE"""),"")</f>
        <v/>
      </c>
      <c r="H25" s="17" t="str">
        <f ca="1">IFERROR(__xludf.DUMMYFUNCTION("""COMPUTED_VALUE"""),"")</f>
        <v/>
      </c>
      <c r="I25" s="17" t="str">
        <f ca="1">IFERROR(__xludf.DUMMYFUNCTION("""COMPUTED_VALUE"""),"")</f>
        <v/>
      </c>
      <c r="J25" s="17" t="str">
        <f ca="1">IFERROR(__xludf.DUMMYFUNCTION("""COMPUTED_VALUE"""),"")</f>
        <v/>
      </c>
      <c r="K25" s="18" t="str">
        <f ca="1">IFERROR(__xludf.DUMMYFUNCTION("""COMPUTED_VALUE"""),"")</f>
        <v/>
      </c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20"/>
      <c r="W25" s="20"/>
      <c r="X25" s="20"/>
      <c r="Y25" s="20"/>
      <c r="Z25" s="21"/>
      <c r="AA25" s="22"/>
      <c r="AB25" s="23"/>
    </row>
    <row r="26" spans="1:28" ht="13.5" customHeight="1" x14ac:dyDescent="0.35">
      <c r="A26" s="24" t="str">
        <f ca="1">IFERROR(__xludf.DUMMYFUNCTION("""COMPUTED_VALUE"""),"")</f>
        <v/>
      </c>
      <c r="B26" s="28" t="str">
        <f ca="1">IFERROR(__xludf.DUMMYFUNCTION("""COMPUTED_VALUE"""),"")</f>
        <v/>
      </c>
      <c r="C26" s="27" t="str">
        <f ca="1">IFERROR(__xludf.DUMMYFUNCTION("""COMPUTED_VALUE"""),"")</f>
        <v/>
      </c>
      <c r="D26" s="27" t="str">
        <f ca="1">IFERROR(__xludf.DUMMYFUNCTION("""COMPUTED_VALUE"""),"")</f>
        <v/>
      </c>
      <c r="E26" s="15" t="str">
        <f ca="1">IFERROR(__xludf.DUMMYFUNCTION("""COMPUTED_VALUE"""),"")</f>
        <v/>
      </c>
      <c r="F26" s="51" t="str">
        <f ca="1">IFERROR(__xludf.DUMMYFUNCTION("""COMPUTED_VALUE"""),"")</f>
        <v/>
      </c>
      <c r="G26" s="16" t="str">
        <f ca="1">IFERROR(__xludf.DUMMYFUNCTION("""COMPUTED_VALUE"""),"")</f>
        <v/>
      </c>
      <c r="H26" s="17" t="str">
        <f ca="1">IFERROR(__xludf.DUMMYFUNCTION("""COMPUTED_VALUE"""),"")</f>
        <v/>
      </c>
      <c r="I26" s="17" t="str">
        <f ca="1">IFERROR(__xludf.DUMMYFUNCTION("""COMPUTED_VALUE"""),"")</f>
        <v/>
      </c>
      <c r="J26" s="17" t="str">
        <f ca="1">IFERROR(__xludf.DUMMYFUNCTION("""COMPUTED_VALUE"""),"")</f>
        <v/>
      </c>
      <c r="K26" s="18" t="str">
        <f ca="1">IFERROR(__xludf.DUMMYFUNCTION("""COMPUTED_VALUE"""),"")</f>
        <v/>
      </c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20"/>
      <c r="W26" s="20"/>
      <c r="X26" s="20"/>
      <c r="Y26" s="20"/>
      <c r="Z26" s="21"/>
      <c r="AA26" s="22"/>
      <c r="AB26" s="23"/>
    </row>
    <row r="27" spans="1:28" ht="13.5" customHeight="1" x14ac:dyDescent="0.35">
      <c r="A27" s="24" t="str">
        <f ca="1">IFERROR(__xludf.DUMMYFUNCTION("""COMPUTED_VALUE"""),"")</f>
        <v/>
      </c>
      <c r="B27" s="28" t="str">
        <f ca="1">IFERROR(__xludf.DUMMYFUNCTION("""COMPUTED_VALUE"""),"")</f>
        <v/>
      </c>
      <c r="C27" s="27" t="str">
        <f ca="1">IFERROR(__xludf.DUMMYFUNCTION("""COMPUTED_VALUE"""),"")</f>
        <v/>
      </c>
      <c r="D27" s="27" t="str">
        <f ca="1">IFERROR(__xludf.DUMMYFUNCTION("""COMPUTED_VALUE"""),"")</f>
        <v/>
      </c>
      <c r="E27" s="15" t="str">
        <f ca="1">IFERROR(__xludf.DUMMYFUNCTION("""COMPUTED_VALUE"""),"")</f>
        <v/>
      </c>
      <c r="F27" s="51" t="str">
        <f ca="1">IFERROR(__xludf.DUMMYFUNCTION("""COMPUTED_VALUE"""),"")</f>
        <v/>
      </c>
      <c r="G27" s="16" t="str">
        <f ca="1">IFERROR(__xludf.DUMMYFUNCTION("""COMPUTED_VALUE"""),"")</f>
        <v/>
      </c>
      <c r="H27" s="17" t="str">
        <f ca="1">IFERROR(__xludf.DUMMYFUNCTION("""COMPUTED_VALUE"""),"")</f>
        <v/>
      </c>
      <c r="I27" s="17" t="str">
        <f ca="1">IFERROR(__xludf.DUMMYFUNCTION("""COMPUTED_VALUE"""),"")</f>
        <v/>
      </c>
      <c r="J27" s="17" t="str">
        <f ca="1">IFERROR(__xludf.DUMMYFUNCTION("""COMPUTED_VALUE"""),"")</f>
        <v/>
      </c>
      <c r="K27" s="18" t="str">
        <f ca="1">IFERROR(__xludf.DUMMYFUNCTION("""COMPUTED_VALUE"""),"")</f>
        <v/>
      </c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20"/>
      <c r="W27" s="20"/>
      <c r="X27" s="20"/>
      <c r="Y27" s="20"/>
      <c r="Z27" s="21"/>
      <c r="AA27" s="22"/>
      <c r="AB27" s="23"/>
    </row>
    <row r="28" spans="1:28" ht="13.5" customHeight="1" x14ac:dyDescent="0.35">
      <c r="A28" s="24" t="str">
        <f ca="1">IFERROR(__xludf.DUMMYFUNCTION("""COMPUTED_VALUE"""),"")</f>
        <v/>
      </c>
      <c r="B28" s="28" t="str">
        <f ca="1">IFERROR(__xludf.DUMMYFUNCTION("""COMPUTED_VALUE"""),"")</f>
        <v/>
      </c>
      <c r="C28" s="27" t="str">
        <f ca="1">IFERROR(__xludf.DUMMYFUNCTION("""COMPUTED_VALUE"""),"")</f>
        <v/>
      </c>
      <c r="D28" s="27" t="str">
        <f ca="1">IFERROR(__xludf.DUMMYFUNCTION("""COMPUTED_VALUE"""),"")</f>
        <v/>
      </c>
      <c r="E28" s="15" t="str">
        <f ca="1">IFERROR(__xludf.DUMMYFUNCTION("""COMPUTED_VALUE"""),"")</f>
        <v/>
      </c>
      <c r="F28" s="51" t="str">
        <f ca="1">IFERROR(__xludf.DUMMYFUNCTION("""COMPUTED_VALUE"""),"")</f>
        <v/>
      </c>
      <c r="G28" s="16" t="str">
        <f ca="1">IFERROR(__xludf.DUMMYFUNCTION("""COMPUTED_VALUE"""),"")</f>
        <v/>
      </c>
      <c r="H28" s="17" t="str">
        <f ca="1">IFERROR(__xludf.DUMMYFUNCTION("""COMPUTED_VALUE"""),"")</f>
        <v/>
      </c>
      <c r="I28" s="17" t="str">
        <f ca="1">IFERROR(__xludf.DUMMYFUNCTION("""COMPUTED_VALUE"""),"")</f>
        <v/>
      </c>
      <c r="J28" s="17" t="str">
        <f ca="1">IFERROR(__xludf.DUMMYFUNCTION("""COMPUTED_VALUE"""),"")</f>
        <v/>
      </c>
      <c r="K28" s="18" t="str">
        <f ca="1">IFERROR(__xludf.DUMMYFUNCTION("""COMPUTED_VALUE"""),"")</f>
        <v/>
      </c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20"/>
      <c r="W28" s="20"/>
      <c r="X28" s="20"/>
      <c r="Y28" s="20"/>
      <c r="Z28" s="21"/>
      <c r="AA28" s="22"/>
      <c r="AB28" s="23"/>
    </row>
    <row r="29" spans="1:28" ht="13.5" customHeight="1" x14ac:dyDescent="0.35">
      <c r="A29" s="24" t="str">
        <f ca="1">IFERROR(__xludf.DUMMYFUNCTION("""COMPUTED_VALUE"""),"")</f>
        <v/>
      </c>
      <c r="B29" s="28" t="str">
        <f ca="1">IFERROR(__xludf.DUMMYFUNCTION("""COMPUTED_VALUE"""),"")</f>
        <v/>
      </c>
      <c r="C29" s="27" t="str">
        <f ca="1">IFERROR(__xludf.DUMMYFUNCTION("""COMPUTED_VALUE"""),"")</f>
        <v/>
      </c>
      <c r="D29" s="27" t="str">
        <f ca="1">IFERROR(__xludf.DUMMYFUNCTION("""COMPUTED_VALUE"""),"")</f>
        <v/>
      </c>
      <c r="E29" s="15" t="str">
        <f ca="1">IFERROR(__xludf.DUMMYFUNCTION("""COMPUTED_VALUE"""),"")</f>
        <v/>
      </c>
      <c r="F29" s="51" t="str">
        <f ca="1">IFERROR(__xludf.DUMMYFUNCTION("""COMPUTED_VALUE"""),"")</f>
        <v/>
      </c>
      <c r="G29" s="16" t="str">
        <f ca="1">IFERROR(__xludf.DUMMYFUNCTION("""COMPUTED_VALUE"""),"")</f>
        <v/>
      </c>
      <c r="H29" s="17" t="str">
        <f ca="1">IFERROR(__xludf.DUMMYFUNCTION("""COMPUTED_VALUE"""),"")</f>
        <v/>
      </c>
      <c r="I29" s="17" t="str">
        <f ca="1">IFERROR(__xludf.DUMMYFUNCTION("""COMPUTED_VALUE"""),"")</f>
        <v/>
      </c>
      <c r="J29" s="17" t="str">
        <f ca="1">IFERROR(__xludf.DUMMYFUNCTION("""COMPUTED_VALUE"""),"")</f>
        <v/>
      </c>
      <c r="K29" s="18" t="str">
        <f ca="1">IFERROR(__xludf.DUMMYFUNCTION("""COMPUTED_VALUE"""),"")</f>
        <v/>
      </c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20"/>
      <c r="W29" s="20"/>
      <c r="X29" s="20"/>
      <c r="Y29" s="20"/>
      <c r="Z29" s="21"/>
      <c r="AA29" s="22"/>
      <c r="AB29" s="23"/>
    </row>
    <row r="30" spans="1:28" ht="13.5" customHeight="1" x14ac:dyDescent="0.35">
      <c r="A30" s="24" t="str">
        <f ca="1">IFERROR(__xludf.DUMMYFUNCTION("""COMPUTED_VALUE"""),"")</f>
        <v/>
      </c>
      <c r="B30" s="28" t="str">
        <f ca="1">IFERROR(__xludf.DUMMYFUNCTION("""COMPUTED_VALUE"""),"")</f>
        <v/>
      </c>
      <c r="C30" s="27" t="str">
        <f ca="1">IFERROR(__xludf.DUMMYFUNCTION("""COMPUTED_VALUE"""),"")</f>
        <v/>
      </c>
      <c r="D30" s="27" t="str">
        <f ca="1">IFERROR(__xludf.DUMMYFUNCTION("""COMPUTED_VALUE"""),"")</f>
        <v/>
      </c>
      <c r="E30" s="15" t="str">
        <f ca="1">IFERROR(__xludf.DUMMYFUNCTION("""COMPUTED_VALUE"""),"")</f>
        <v/>
      </c>
      <c r="F30" s="51" t="str">
        <f ca="1">IFERROR(__xludf.DUMMYFUNCTION("""COMPUTED_VALUE"""),"")</f>
        <v/>
      </c>
      <c r="G30" s="16" t="str">
        <f ca="1">IFERROR(__xludf.DUMMYFUNCTION("""COMPUTED_VALUE"""),"")</f>
        <v/>
      </c>
      <c r="H30" s="17" t="str">
        <f ca="1">IFERROR(__xludf.DUMMYFUNCTION("""COMPUTED_VALUE"""),"")</f>
        <v/>
      </c>
      <c r="I30" s="17" t="str">
        <f ca="1">IFERROR(__xludf.DUMMYFUNCTION("""COMPUTED_VALUE"""),"")</f>
        <v/>
      </c>
      <c r="J30" s="17" t="str">
        <f ca="1">IFERROR(__xludf.DUMMYFUNCTION("""COMPUTED_VALUE"""),"")</f>
        <v/>
      </c>
      <c r="K30" s="18" t="str">
        <f ca="1">IFERROR(__xludf.DUMMYFUNCTION("""COMPUTED_VALUE"""),"")</f>
        <v/>
      </c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20"/>
      <c r="W30" s="20"/>
      <c r="X30" s="20"/>
      <c r="Y30" s="20"/>
      <c r="Z30" s="21"/>
      <c r="AA30" s="22"/>
      <c r="AB30" s="23"/>
    </row>
    <row r="31" spans="1:28" ht="13.5" customHeight="1" x14ac:dyDescent="0.35">
      <c r="A31" s="24" t="str">
        <f ca="1">IFERROR(__xludf.DUMMYFUNCTION("""COMPUTED_VALUE"""),"")</f>
        <v/>
      </c>
      <c r="B31" s="28" t="str">
        <f ca="1">IFERROR(__xludf.DUMMYFUNCTION("""COMPUTED_VALUE"""),"")</f>
        <v/>
      </c>
      <c r="C31" s="27" t="str">
        <f ca="1">IFERROR(__xludf.DUMMYFUNCTION("""COMPUTED_VALUE"""),"")</f>
        <v/>
      </c>
      <c r="D31" s="27" t="str">
        <f ca="1">IFERROR(__xludf.DUMMYFUNCTION("""COMPUTED_VALUE"""),"")</f>
        <v/>
      </c>
      <c r="E31" s="15" t="str">
        <f ca="1">IFERROR(__xludf.DUMMYFUNCTION("""COMPUTED_VALUE"""),"")</f>
        <v/>
      </c>
      <c r="F31" s="51" t="str">
        <f ca="1">IFERROR(__xludf.DUMMYFUNCTION("""COMPUTED_VALUE"""),"")</f>
        <v/>
      </c>
      <c r="G31" s="16" t="str">
        <f ca="1">IFERROR(__xludf.DUMMYFUNCTION("""COMPUTED_VALUE"""),"")</f>
        <v/>
      </c>
      <c r="H31" s="17" t="str">
        <f ca="1">IFERROR(__xludf.DUMMYFUNCTION("""COMPUTED_VALUE"""),"")</f>
        <v/>
      </c>
      <c r="I31" s="17" t="str">
        <f ca="1">IFERROR(__xludf.DUMMYFUNCTION("""COMPUTED_VALUE"""),"")</f>
        <v/>
      </c>
      <c r="J31" s="17" t="str">
        <f ca="1">IFERROR(__xludf.DUMMYFUNCTION("""COMPUTED_VALUE"""),"")</f>
        <v/>
      </c>
      <c r="K31" s="18" t="str">
        <f ca="1">IFERROR(__xludf.DUMMYFUNCTION("""COMPUTED_VALUE"""),"")</f>
        <v/>
      </c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20"/>
      <c r="W31" s="20"/>
      <c r="X31" s="20"/>
      <c r="Y31" s="20"/>
      <c r="Z31" s="21"/>
      <c r="AA31" s="22"/>
      <c r="AB31" s="23"/>
    </row>
    <row r="32" spans="1:28" ht="13.5" customHeight="1" x14ac:dyDescent="0.35">
      <c r="A32" s="24" t="str">
        <f ca="1">IFERROR(__xludf.DUMMYFUNCTION("""COMPUTED_VALUE"""),"")</f>
        <v/>
      </c>
      <c r="B32" s="28" t="str">
        <f ca="1">IFERROR(__xludf.DUMMYFUNCTION("""COMPUTED_VALUE"""),"")</f>
        <v/>
      </c>
      <c r="C32" s="27" t="str">
        <f ca="1">IFERROR(__xludf.DUMMYFUNCTION("""COMPUTED_VALUE"""),"")</f>
        <v/>
      </c>
      <c r="D32" s="27" t="str">
        <f ca="1">IFERROR(__xludf.DUMMYFUNCTION("""COMPUTED_VALUE"""),"")</f>
        <v/>
      </c>
      <c r="E32" s="15" t="str">
        <f ca="1">IFERROR(__xludf.DUMMYFUNCTION("""COMPUTED_VALUE"""),"")</f>
        <v/>
      </c>
      <c r="F32" s="51" t="str">
        <f ca="1">IFERROR(__xludf.DUMMYFUNCTION("""COMPUTED_VALUE"""),"")</f>
        <v/>
      </c>
      <c r="G32" s="16" t="str">
        <f ca="1">IFERROR(__xludf.DUMMYFUNCTION("""COMPUTED_VALUE"""),"")</f>
        <v/>
      </c>
      <c r="H32" s="17" t="str">
        <f ca="1">IFERROR(__xludf.DUMMYFUNCTION("""COMPUTED_VALUE"""),"")</f>
        <v/>
      </c>
      <c r="I32" s="17" t="str">
        <f ca="1">IFERROR(__xludf.DUMMYFUNCTION("""COMPUTED_VALUE"""),"")</f>
        <v/>
      </c>
      <c r="J32" s="17" t="str">
        <f ca="1">IFERROR(__xludf.DUMMYFUNCTION("""COMPUTED_VALUE"""),"")</f>
        <v/>
      </c>
      <c r="K32" s="18" t="str">
        <f ca="1">IFERROR(__xludf.DUMMYFUNCTION("""COMPUTED_VALUE"""),"")</f>
        <v/>
      </c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20"/>
      <c r="W32" s="20"/>
      <c r="X32" s="20"/>
      <c r="Y32" s="20"/>
      <c r="Z32" s="21"/>
      <c r="AA32" s="22"/>
      <c r="AB32" s="23"/>
    </row>
    <row r="33" spans="1:28" ht="13.5" customHeight="1" x14ac:dyDescent="0.35">
      <c r="A33" s="24" t="str">
        <f ca="1">IFERROR(__xludf.DUMMYFUNCTION("""COMPUTED_VALUE"""),"")</f>
        <v/>
      </c>
      <c r="B33" s="28" t="str">
        <f ca="1">IFERROR(__xludf.DUMMYFUNCTION("""COMPUTED_VALUE"""),"")</f>
        <v/>
      </c>
      <c r="C33" s="27" t="str">
        <f ca="1">IFERROR(__xludf.DUMMYFUNCTION("""COMPUTED_VALUE"""),"")</f>
        <v/>
      </c>
      <c r="D33" s="27" t="str">
        <f ca="1">IFERROR(__xludf.DUMMYFUNCTION("""COMPUTED_VALUE"""),"")</f>
        <v/>
      </c>
      <c r="E33" s="15" t="str">
        <f ca="1">IFERROR(__xludf.DUMMYFUNCTION("""COMPUTED_VALUE"""),"")</f>
        <v/>
      </c>
      <c r="F33" s="51" t="str">
        <f ca="1">IFERROR(__xludf.DUMMYFUNCTION("""COMPUTED_VALUE"""),"")</f>
        <v/>
      </c>
      <c r="G33" s="16" t="str">
        <f ca="1">IFERROR(__xludf.DUMMYFUNCTION("""COMPUTED_VALUE"""),"")</f>
        <v/>
      </c>
      <c r="H33" s="17" t="str">
        <f ca="1">IFERROR(__xludf.DUMMYFUNCTION("""COMPUTED_VALUE"""),"")</f>
        <v/>
      </c>
      <c r="I33" s="17" t="str">
        <f ca="1">IFERROR(__xludf.DUMMYFUNCTION("""COMPUTED_VALUE"""),"")</f>
        <v/>
      </c>
      <c r="J33" s="17" t="str">
        <f ca="1">IFERROR(__xludf.DUMMYFUNCTION("""COMPUTED_VALUE"""),"")</f>
        <v/>
      </c>
      <c r="K33" s="18" t="str">
        <f ca="1">IFERROR(__xludf.DUMMYFUNCTION("""COMPUTED_VALUE"""),"")</f>
        <v/>
      </c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20"/>
      <c r="W33" s="20"/>
      <c r="X33" s="20"/>
      <c r="Y33" s="20"/>
      <c r="Z33" s="21"/>
      <c r="AA33" s="22"/>
      <c r="AB33" s="23"/>
    </row>
    <row r="34" spans="1:28" ht="13.5" customHeight="1" x14ac:dyDescent="0.35">
      <c r="A34" s="24" t="str">
        <f ca="1">IFERROR(__xludf.DUMMYFUNCTION("""COMPUTED_VALUE"""),"")</f>
        <v/>
      </c>
      <c r="B34" s="28" t="str">
        <f ca="1">IFERROR(__xludf.DUMMYFUNCTION("""COMPUTED_VALUE"""),"")</f>
        <v/>
      </c>
      <c r="C34" s="27" t="str">
        <f ca="1">IFERROR(__xludf.DUMMYFUNCTION("""COMPUTED_VALUE"""),"")</f>
        <v/>
      </c>
      <c r="D34" s="27" t="str">
        <f ca="1">IFERROR(__xludf.DUMMYFUNCTION("""COMPUTED_VALUE"""),"")</f>
        <v/>
      </c>
      <c r="E34" s="15" t="str">
        <f ca="1">IFERROR(__xludf.DUMMYFUNCTION("""COMPUTED_VALUE"""),"")</f>
        <v/>
      </c>
      <c r="F34" s="51" t="str">
        <f ca="1">IFERROR(__xludf.DUMMYFUNCTION("""COMPUTED_VALUE"""),"")</f>
        <v/>
      </c>
      <c r="G34" s="16" t="str">
        <f ca="1">IFERROR(__xludf.DUMMYFUNCTION("""COMPUTED_VALUE"""),"")</f>
        <v/>
      </c>
      <c r="H34" s="17" t="str">
        <f ca="1">IFERROR(__xludf.DUMMYFUNCTION("""COMPUTED_VALUE"""),"")</f>
        <v/>
      </c>
      <c r="I34" s="17" t="str">
        <f ca="1">IFERROR(__xludf.DUMMYFUNCTION("""COMPUTED_VALUE"""),"")</f>
        <v/>
      </c>
      <c r="J34" s="17" t="str">
        <f ca="1">IFERROR(__xludf.DUMMYFUNCTION("""COMPUTED_VALUE"""),"")</f>
        <v/>
      </c>
      <c r="K34" s="18" t="str">
        <f ca="1">IFERROR(__xludf.DUMMYFUNCTION("""COMPUTED_VALUE"""),"")</f>
        <v/>
      </c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20"/>
      <c r="W34" s="20"/>
      <c r="X34" s="20"/>
      <c r="Y34" s="20"/>
      <c r="Z34" s="21"/>
      <c r="AA34" s="22"/>
      <c r="AB34" s="23"/>
    </row>
    <row r="35" spans="1:28" ht="13.5" customHeight="1" x14ac:dyDescent="0.35">
      <c r="A35" s="24" t="str">
        <f ca="1">IFERROR(__xludf.DUMMYFUNCTION("""COMPUTED_VALUE"""),"")</f>
        <v/>
      </c>
      <c r="B35" s="28" t="str">
        <f ca="1">IFERROR(__xludf.DUMMYFUNCTION("""COMPUTED_VALUE"""),"")</f>
        <v/>
      </c>
      <c r="C35" s="27" t="str">
        <f ca="1">IFERROR(__xludf.DUMMYFUNCTION("""COMPUTED_VALUE"""),"")</f>
        <v/>
      </c>
      <c r="D35" s="27" t="str">
        <f ca="1">IFERROR(__xludf.DUMMYFUNCTION("""COMPUTED_VALUE"""),"")</f>
        <v/>
      </c>
      <c r="E35" s="15" t="str">
        <f ca="1">IFERROR(__xludf.DUMMYFUNCTION("""COMPUTED_VALUE"""),"")</f>
        <v/>
      </c>
      <c r="F35" s="51" t="str">
        <f ca="1">IFERROR(__xludf.DUMMYFUNCTION("""COMPUTED_VALUE"""),"")</f>
        <v/>
      </c>
      <c r="G35" s="16" t="str">
        <f ca="1">IFERROR(__xludf.DUMMYFUNCTION("""COMPUTED_VALUE"""),"")</f>
        <v/>
      </c>
      <c r="H35" s="17" t="str">
        <f ca="1">IFERROR(__xludf.DUMMYFUNCTION("""COMPUTED_VALUE"""),"")</f>
        <v/>
      </c>
      <c r="I35" s="17" t="str">
        <f ca="1">IFERROR(__xludf.DUMMYFUNCTION("""COMPUTED_VALUE"""),"")</f>
        <v/>
      </c>
      <c r="J35" s="17" t="str">
        <f ca="1">IFERROR(__xludf.DUMMYFUNCTION("""COMPUTED_VALUE"""),"")</f>
        <v/>
      </c>
      <c r="K35" s="18" t="str">
        <f ca="1">IFERROR(__xludf.DUMMYFUNCTION("""COMPUTED_VALUE"""),"")</f>
        <v/>
      </c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20"/>
      <c r="W35" s="20"/>
      <c r="X35" s="20"/>
      <c r="Y35" s="20"/>
      <c r="Z35" s="21"/>
      <c r="AA35" s="22"/>
      <c r="AB35" s="23"/>
    </row>
    <row r="36" spans="1:28" ht="13.5" customHeight="1" x14ac:dyDescent="0.35">
      <c r="A36" s="24" t="str">
        <f ca="1">IFERROR(__xludf.DUMMYFUNCTION("""COMPUTED_VALUE"""),"")</f>
        <v/>
      </c>
      <c r="B36" s="28" t="str">
        <f ca="1">IFERROR(__xludf.DUMMYFUNCTION("""COMPUTED_VALUE"""),"")</f>
        <v/>
      </c>
      <c r="C36" s="27" t="str">
        <f ca="1">IFERROR(__xludf.DUMMYFUNCTION("""COMPUTED_VALUE"""),"")</f>
        <v/>
      </c>
      <c r="D36" s="27" t="str">
        <f ca="1">IFERROR(__xludf.DUMMYFUNCTION("""COMPUTED_VALUE"""),"")</f>
        <v/>
      </c>
      <c r="E36" s="15" t="str">
        <f ca="1">IFERROR(__xludf.DUMMYFUNCTION("""COMPUTED_VALUE"""),"")</f>
        <v/>
      </c>
      <c r="F36" s="51" t="str">
        <f ca="1">IFERROR(__xludf.DUMMYFUNCTION("""COMPUTED_VALUE"""),"")</f>
        <v/>
      </c>
      <c r="G36" s="16" t="str">
        <f ca="1">IFERROR(__xludf.DUMMYFUNCTION("""COMPUTED_VALUE"""),"")</f>
        <v/>
      </c>
      <c r="H36" s="17" t="str">
        <f ca="1">IFERROR(__xludf.DUMMYFUNCTION("""COMPUTED_VALUE"""),"")</f>
        <v/>
      </c>
      <c r="I36" s="17" t="str">
        <f ca="1">IFERROR(__xludf.DUMMYFUNCTION("""COMPUTED_VALUE"""),"")</f>
        <v/>
      </c>
      <c r="J36" s="17" t="str">
        <f ca="1">IFERROR(__xludf.DUMMYFUNCTION("""COMPUTED_VALUE"""),"")</f>
        <v/>
      </c>
      <c r="K36" s="18" t="str">
        <f ca="1">IFERROR(__xludf.DUMMYFUNCTION("""COMPUTED_VALUE"""),"")</f>
        <v/>
      </c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20"/>
      <c r="W36" s="20"/>
      <c r="X36" s="20"/>
      <c r="Y36" s="20"/>
      <c r="Z36" s="21"/>
      <c r="AA36" s="22"/>
      <c r="AB36" s="23"/>
    </row>
    <row r="37" spans="1:28" ht="13.5" customHeight="1" x14ac:dyDescent="0.35">
      <c r="A37" s="24" t="str">
        <f ca="1">IFERROR(__xludf.DUMMYFUNCTION("""COMPUTED_VALUE"""),"")</f>
        <v/>
      </c>
      <c r="B37" s="28" t="str">
        <f ca="1">IFERROR(__xludf.DUMMYFUNCTION("""COMPUTED_VALUE"""),"")</f>
        <v/>
      </c>
      <c r="C37" s="27" t="str">
        <f ca="1">IFERROR(__xludf.DUMMYFUNCTION("""COMPUTED_VALUE"""),"")</f>
        <v/>
      </c>
      <c r="D37" s="27" t="str">
        <f ca="1">IFERROR(__xludf.DUMMYFUNCTION("""COMPUTED_VALUE"""),"")</f>
        <v/>
      </c>
      <c r="E37" s="15" t="str">
        <f ca="1">IFERROR(__xludf.DUMMYFUNCTION("""COMPUTED_VALUE"""),"")</f>
        <v/>
      </c>
      <c r="F37" s="51" t="str">
        <f ca="1">IFERROR(__xludf.DUMMYFUNCTION("""COMPUTED_VALUE"""),"")</f>
        <v/>
      </c>
      <c r="G37" s="16" t="str">
        <f ca="1">IFERROR(__xludf.DUMMYFUNCTION("""COMPUTED_VALUE"""),"")</f>
        <v/>
      </c>
      <c r="H37" s="17" t="str">
        <f ca="1">IFERROR(__xludf.DUMMYFUNCTION("""COMPUTED_VALUE"""),"")</f>
        <v/>
      </c>
      <c r="I37" s="17" t="str">
        <f ca="1">IFERROR(__xludf.DUMMYFUNCTION("""COMPUTED_VALUE"""),"")</f>
        <v/>
      </c>
      <c r="J37" s="17" t="str">
        <f ca="1">IFERROR(__xludf.DUMMYFUNCTION("""COMPUTED_VALUE"""),"")</f>
        <v/>
      </c>
      <c r="K37" s="18" t="str">
        <f ca="1">IFERROR(__xludf.DUMMYFUNCTION("""COMPUTED_VALUE"""),"")</f>
        <v/>
      </c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20"/>
      <c r="W37" s="20"/>
      <c r="X37" s="20"/>
      <c r="Y37" s="20"/>
      <c r="Z37" s="21"/>
      <c r="AA37" s="22"/>
      <c r="AB37" s="23"/>
    </row>
    <row r="38" spans="1:28" ht="13.5" customHeight="1" x14ac:dyDescent="0.35">
      <c r="A38" s="24" t="str">
        <f ca="1">IFERROR(__xludf.DUMMYFUNCTION("""COMPUTED_VALUE"""),"")</f>
        <v/>
      </c>
      <c r="B38" s="28" t="str">
        <f ca="1">IFERROR(__xludf.DUMMYFUNCTION("""COMPUTED_VALUE"""),"")</f>
        <v/>
      </c>
      <c r="C38" s="27" t="str">
        <f ca="1">IFERROR(__xludf.DUMMYFUNCTION("""COMPUTED_VALUE"""),"")</f>
        <v/>
      </c>
      <c r="D38" s="27" t="str">
        <f ca="1">IFERROR(__xludf.DUMMYFUNCTION("""COMPUTED_VALUE"""),"")</f>
        <v/>
      </c>
      <c r="E38" s="15" t="str">
        <f ca="1">IFERROR(__xludf.DUMMYFUNCTION("""COMPUTED_VALUE"""),"")</f>
        <v/>
      </c>
      <c r="F38" s="51" t="str">
        <f ca="1">IFERROR(__xludf.DUMMYFUNCTION("""COMPUTED_VALUE"""),"")</f>
        <v/>
      </c>
      <c r="G38" s="16" t="str">
        <f ca="1">IFERROR(__xludf.DUMMYFUNCTION("""COMPUTED_VALUE"""),"")</f>
        <v/>
      </c>
      <c r="H38" s="17" t="str">
        <f ca="1">IFERROR(__xludf.DUMMYFUNCTION("""COMPUTED_VALUE"""),"")</f>
        <v/>
      </c>
      <c r="I38" s="17" t="str">
        <f ca="1">IFERROR(__xludf.DUMMYFUNCTION("""COMPUTED_VALUE"""),"")</f>
        <v/>
      </c>
      <c r="J38" s="17" t="str">
        <f ca="1">IFERROR(__xludf.DUMMYFUNCTION("""COMPUTED_VALUE"""),"")</f>
        <v/>
      </c>
      <c r="K38" s="18" t="str">
        <f ca="1">IFERROR(__xludf.DUMMYFUNCTION("""COMPUTED_VALUE"""),"")</f>
        <v/>
      </c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20"/>
      <c r="W38" s="20"/>
      <c r="X38" s="20"/>
      <c r="Y38" s="20"/>
      <c r="Z38" s="21"/>
      <c r="AA38" s="22"/>
      <c r="AB38" s="23"/>
    </row>
    <row r="39" spans="1:28" ht="13.5" customHeight="1" x14ac:dyDescent="0.35">
      <c r="A39" s="24" t="str">
        <f ca="1">IFERROR(__xludf.DUMMYFUNCTION("""COMPUTED_VALUE"""),"")</f>
        <v/>
      </c>
      <c r="B39" s="28" t="str">
        <f ca="1">IFERROR(__xludf.DUMMYFUNCTION("""COMPUTED_VALUE"""),"")</f>
        <v/>
      </c>
      <c r="C39" s="27" t="str">
        <f ca="1">IFERROR(__xludf.DUMMYFUNCTION("""COMPUTED_VALUE"""),"")</f>
        <v/>
      </c>
      <c r="D39" s="27" t="str">
        <f ca="1">IFERROR(__xludf.DUMMYFUNCTION("""COMPUTED_VALUE"""),"")</f>
        <v/>
      </c>
      <c r="E39" s="15" t="str">
        <f ca="1">IFERROR(__xludf.DUMMYFUNCTION("""COMPUTED_VALUE"""),"")</f>
        <v/>
      </c>
      <c r="F39" s="51" t="str">
        <f ca="1">IFERROR(__xludf.DUMMYFUNCTION("""COMPUTED_VALUE"""),"")</f>
        <v/>
      </c>
      <c r="G39" s="16" t="str">
        <f ca="1">IFERROR(__xludf.DUMMYFUNCTION("""COMPUTED_VALUE"""),"")</f>
        <v/>
      </c>
      <c r="H39" s="17" t="str">
        <f ca="1">IFERROR(__xludf.DUMMYFUNCTION("""COMPUTED_VALUE"""),"")</f>
        <v/>
      </c>
      <c r="I39" s="17" t="str">
        <f ca="1">IFERROR(__xludf.DUMMYFUNCTION("""COMPUTED_VALUE"""),"")</f>
        <v/>
      </c>
      <c r="J39" s="17" t="str">
        <f ca="1">IFERROR(__xludf.DUMMYFUNCTION("""COMPUTED_VALUE"""),"")</f>
        <v/>
      </c>
      <c r="K39" s="18" t="str">
        <f ca="1">IFERROR(__xludf.DUMMYFUNCTION("""COMPUTED_VALUE"""),"")</f>
        <v/>
      </c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20"/>
      <c r="W39" s="20"/>
      <c r="X39" s="20"/>
      <c r="Y39" s="20"/>
      <c r="Z39" s="21"/>
      <c r="AA39" s="22"/>
      <c r="AB39" s="23"/>
    </row>
    <row r="40" spans="1:28" ht="13.5" customHeight="1" x14ac:dyDescent="0.35">
      <c r="A40" s="24" t="str">
        <f ca="1">IFERROR(__xludf.DUMMYFUNCTION("""COMPUTED_VALUE"""),"")</f>
        <v/>
      </c>
      <c r="B40" s="28" t="str">
        <f ca="1">IFERROR(__xludf.DUMMYFUNCTION("""COMPUTED_VALUE"""),"")</f>
        <v/>
      </c>
      <c r="C40" s="27" t="str">
        <f ca="1">IFERROR(__xludf.DUMMYFUNCTION("""COMPUTED_VALUE"""),"")</f>
        <v/>
      </c>
      <c r="D40" s="27" t="str">
        <f ca="1">IFERROR(__xludf.DUMMYFUNCTION("""COMPUTED_VALUE"""),"")</f>
        <v/>
      </c>
      <c r="E40" s="15" t="str">
        <f ca="1">IFERROR(__xludf.DUMMYFUNCTION("""COMPUTED_VALUE"""),"")</f>
        <v/>
      </c>
      <c r="F40" s="51" t="str">
        <f ca="1">IFERROR(__xludf.DUMMYFUNCTION("""COMPUTED_VALUE"""),"")</f>
        <v/>
      </c>
      <c r="G40" s="16" t="str">
        <f ca="1">IFERROR(__xludf.DUMMYFUNCTION("""COMPUTED_VALUE"""),"")</f>
        <v/>
      </c>
      <c r="H40" s="17" t="str">
        <f ca="1">IFERROR(__xludf.DUMMYFUNCTION("""COMPUTED_VALUE"""),"")</f>
        <v/>
      </c>
      <c r="I40" s="17" t="str">
        <f ca="1">IFERROR(__xludf.DUMMYFUNCTION("""COMPUTED_VALUE"""),"")</f>
        <v/>
      </c>
      <c r="J40" s="17" t="str">
        <f ca="1">IFERROR(__xludf.DUMMYFUNCTION("""COMPUTED_VALUE"""),"")</f>
        <v/>
      </c>
      <c r="K40" s="18" t="str">
        <f ca="1">IFERROR(__xludf.DUMMYFUNCTION("""COMPUTED_VALUE"""),"")</f>
        <v/>
      </c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20"/>
      <c r="W40" s="20"/>
      <c r="X40" s="20"/>
      <c r="Y40" s="20"/>
      <c r="Z40" s="21"/>
      <c r="AA40" s="22"/>
      <c r="AB40" s="23"/>
    </row>
    <row r="41" spans="1:28" ht="13.5" customHeight="1" x14ac:dyDescent="0.35">
      <c r="A41" s="24" t="str">
        <f ca="1">IFERROR(__xludf.DUMMYFUNCTION("""COMPUTED_VALUE"""),"")</f>
        <v/>
      </c>
      <c r="B41" s="28" t="str">
        <f ca="1">IFERROR(__xludf.DUMMYFUNCTION("""COMPUTED_VALUE"""),"")</f>
        <v/>
      </c>
      <c r="C41" s="27" t="str">
        <f ca="1">IFERROR(__xludf.DUMMYFUNCTION("""COMPUTED_VALUE"""),"")</f>
        <v/>
      </c>
      <c r="D41" s="27" t="str">
        <f ca="1">IFERROR(__xludf.DUMMYFUNCTION("""COMPUTED_VALUE"""),"")</f>
        <v/>
      </c>
      <c r="E41" s="15" t="str">
        <f ca="1">IFERROR(__xludf.DUMMYFUNCTION("""COMPUTED_VALUE"""),"")</f>
        <v/>
      </c>
      <c r="F41" s="51" t="str">
        <f ca="1">IFERROR(__xludf.DUMMYFUNCTION("""COMPUTED_VALUE"""),"")</f>
        <v/>
      </c>
      <c r="G41" s="16" t="str">
        <f ca="1">IFERROR(__xludf.DUMMYFUNCTION("""COMPUTED_VALUE"""),"")</f>
        <v/>
      </c>
      <c r="H41" s="17" t="str">
        <f ca="1">IFERROR(__xludf.DUMMYFUNCTION("""COMPUTED_VALUE"""),"")</f>
        <v/>
      </c>
      <c r="I41" s="17" t="str">
        <f ca="1">IFERROR(__xludf.DUMMYFUNCTION("""COMPUTED_VALUE"""),"")</f>
        <v/>
      </c>
      <c r="J41" s="17" t="str">
        <f ca="1">IFERROR(__xludf.DUMMYFUNCTION("""COMPUTED_VALUE"""),"")</f>
        <v/>
      </c>
      <c r="K41" s="18" t="str">
        <f ca="1">IFERROR(__xludf.DUMMYFUNCTION("""COMPUTED_VALUE"""),"")</f>
        <v/>
      </c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20"/>
      <c r="W41" s="20"/>
      <c r="X41" s="20"/>
      <c r="Y41" s="20"/>
      <c r="Z41" s="21"/>
      <c r="AA41" s="22"/>
      <c r="AB41" s="23"/>
    </row>
    <row r="42" spans="1:28" ht="13.5" customHeight="1" x14ac:dyDescent="0.35">
      <c r="A42" s="24" t="str">
        <f ca="1">IFERROR(__xludf.DUMMYFUNCTION("""COMPUTED_VALUE"""),"")</f>
        <v/>
      </c>
      <c r="B42" s="28" t="str">
        <f ca="1">IFERROR(__xludf.DUMMYFUNCTION("""COMPUTED_VALUE"""),"")</f>
        <v/>
      </c>
      <c r="C42" s="27" t="str">
        <f ca="1">IFERROR(__xludf.DUMMYFUNCTION("""COMPUTED_VALUE"""),"")</f>
        <v/>
      </c>
      <c r="D42" s="27" t="str">
        <f ca="1">IFERROR(__xludf.DUMMYFUNCTION("""COMPUTED_VALUE"""),"")</f>
        <v/>
      </c>
      <c r="E42" s="15" t="str">
        <f ca="1">IFERROR(__xludf.DUMMYFUNCTION("""COMPUTED_VALUE"""),"")</f>
        <v/>
      </c>
      <c r="F42" s="51" t="str">
        <f ca="1">IFERROR(__xludf.DUMMYFUNCTION("""COMPUTED_VALUE"""),"")</f>
        <v/>
      </c>
      <c r="G42" s="16" t="str">
        <f ca="1">IFERROR(__xludf.DUMMYFUNCTION("""COMPUTED_VALUE"""),"")</f>
        <v/>
      </c>
      <c r="H42" s="17" t="str">
        <f ca="1">IFERROR(__xludf.DUMMYFUNCTION("""COMPUTED_VALUE"""),"")</f>
        <v/>
      </c>
      <c r="I42" s="17" t="str">
        <f ca="1">IFERROR(__xludf.DUMMYFUNCTION("""COMPUTED_VALUE"""),"")</f>
        <v/>
      </c>
      <c r="J42" s="17" t="str">
        <f ca="1">IFERROR(__xludf.DUMMYFUNCTION("""COMPUTED_VALUE"""),"")</f>
        <v/>
      </c>
      <c r="K42" s="18" t="str">
        <f ca="1">IFERROR(__xludf.DUMMYFUNCTION("""COMPUTED_VALUE"""),"")</f>
        <v/>
      </c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20"/>
      <c r="W42" s="20"/>
      <c r="X42" s="20"/>
      <c r="Y42" s="20"/>
      <c r="Z42" s="21"/>
      <c r="AA42" s="22"/>
      <c r="AB42" s="23"/>
    </row>
    <row r="43" spans="1:28" ht="13.5" customHeight="1" x14ac:dyDescent="0.35">
      <c r="A43" s="24" t="str">
        <f ca="1">IFERROR(__xludf.DUMMYFUNCTION("""COMPUTED_VALUE"""),"")</f>
        <v/>
      </c>
      <c r="B43" s="28" t="str">
        <f ca="1">IFERROR(__xludf.DUMMYFUNCTION("""COMPUTED_VALUE"""),"")</f>
        <v/>
      </c>
      <c r="C43" s="27" t="str">
        <f ca="1">IFERROR(__xludf.DUMMYFUNCTION("""COMPUTED_VALUE"""),"")</f>
        <v/>
      </c>
      <c r="D43" s="27" t="str">
        <f ca="1">IFERROR(__xludf.DUMMYFUNCTION("""COMPUTED_VALUE"""),"")</f>
        <v/>
      </c>
      <c r="E43" s="15" t="str">
        <f ca="1">IFERROR(__xludf.DUMMYFUNCTION("""COMPUTED_VALUE"""),"")</f>
        <v/>
      </c>
      <c r="F43" s="51" t="str">
        <f ca="1">IFERROR(__xludf.DUMMYFUNCTION("""COMPUTED_VALUE"""),"")</f>
        <v/>
      </c>
      <c r="G43" s="16" t="str">
        <f ca="1">IFERROR(__xludf.DUMMYFUNCTION("""COMPUTED_VALUE"""),"")</f>
        <v/>
      </c>
      <c r="H43" s="17" t="str">
        <f ca="1">IFERROR(__xludf.DUMMYFUNCTION("""COMPUTED_VALUE"""),"")</f>
        <v/>
      </c>
      <c r="I43" s="17" t="str">
        <f ca="1">IFERROR(__xludf.DUMMYFUNCTION("""COMPUTED_VALUE"""),"")</f>
        <v/>
      </c>
      <c r="J43" s="17" t="str">
        <f ca="1">IFERROR(__xludf.DUMMYFUNCTION("""COMPUTED_VALUE"""),"")</f>
        <v/>
      </c>
      <c r="K43" s="18" t="str">
        <f ca="1">IFERROR(__xludf.DUMMYFUNCTION("""COMPUTED_VALUE"""),"")</f>
        <v/>
      </c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20"/>
      <c r="W43" s="20"/>
      <c r="X43" s="20"/>
      <c r="Y43" s="20"/>
      <c r="Z43" s="21"/>
      <c r="AA43" s="22"/>
      <c r="AB43" s="23"/>
    </row>
    <row r="44" spans="1:28" ht="13.5" customHeight="1" x14ac:dyDescent="0.35">
      <c r="A44" s="24" t="str">
        <f ca="1">IFERROR(__xludf.DUMMYFUNCTION("""COMPUTED_VALUE"""),"")</f>
        <v/>
      </c>
      <c r="B44" s="28" t="str">
        <f ca="1">IFERROR(__xludf.DUMMYFUNCTION("""COMPUTED_VALUE"""),"")</f>
        <v/>
      </c>
      <c r="C44" s="27" t="str">
        <f ca="1">IFERROR(__xludf.DUMMYFUNCTION("""COMPUTED_VALUE"""),"")</f>
        <v/>
      </c>
      <c r="D44" s="27" t="str">
        <f ca="1">IFERROR(__xludf.DUMMYFUNCTION("""COMPUTED_VALUE"""),"")</f>
        <v/>
      </c>
      <c r="E44" s="15" t="str">
        <f ca="1">IFERROR(__xludf.DUMMYFUNCTION("""COMPUTED_VALUE"""),"")</f>
        <v/>
      </c>
      <c r="F44" s="51" t="str">
        <f ca="1">IFERROR(__xludf.DUMMYFUNCTION("""COMPUTED_VALUE"""),"")</f>
        <v/>
      </c>
      <c r="G44" s="16" t="str">
        <f ca="1">IFERROR(__xludf.DUMMYFUNCTION("""COMPUTED_VALUE"""),"")</f>
        <v/>
      </c>
      <c r="H44" s="17" t="str">
        <f ca="1">IFERROR(__xludf.DUMMYFUNCTION("""COMPUTED_VALUE"""),"")</f>
        <v/>
      </c>
      <c r="I44" s="17" t="str">
        <f ca="1">IFERROR(__xludf.DUMMYFUNCTION("""COMPUTED_VALUE"""),"")</f>
        <v/>
      </c>
      <c r="J44" s="17" t="str">
        <f ca="1">IFERROR(__xludf.DUMMYFUNCTION("""COMPUTED_VALUE"""),"")</f>
        <v/>
      </c>
      <c r="K44" s="18" t="str">
        <f ca="1">IFERROR(__xludf.DUMMYFUNCTION("""COMPUTED_VALUE"""),"")</f>
        <v/>
      </c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20"/>
      <c r="W44" s="20"/>
      <c r="X44" s="20"/>
      <c r="Y44" s="20"/>
      <c r="Z44" s="21"/>
      <c r="AA44" s="22"/>
      <c r="AB44" s="23"/>
    </row>
    <row r="45" spans="1:28" ht="13.5" customHeight="1" x14ac:dyDescent="0.35">
      <c r="A45" s="24" t="str">
        <f ca="1">IFERROR(__xludf.DUMMYFUNCTION("""COMPUTED_VALUE"""),"")</f>
        <v/>
      </c>
      <c r="B45" s="28" t="str">
        <f ca="1">IFERROR(__xludf.DUMMYFUNCTION("""COMPUTED_VALUE"""),"")</f>
        <v/>
      </c>
      <c r="C45" s="27" t="str">
        <f ca="1">IFERROR(__xludf.DUMMYFUNCTION("""COMPUTED_VALUE"""),"")</f>
        <v/>
      </c>
      <c r="D45" s="27" t="str">
        <f ca="1">IFERROR(__xludf.DUMMYFUNCTION("""COMPUTED_VALUE"""),"")</f>
        <v/>
      </c>
      <c r="E45" s="15" t="str">
        <f ca="1">IFERROR(__xludf.DUMMYFUNCTION("""COMPUTED_VALUE"""),"")</f>
        <v/>
      </c>
      <c r="F45" s="51" t="str">
        <f ca="1">IFERROR(__xludf.DUMMYFUNCTION("""COMPUTED_VALUE"""),"")</f>
        <v/>
      </c>
      <c r="G45" s="16" t="str">
        <f ca="1">IFERROR(__xludf.DUMMYFUNCTION("""COMPUTED_VALUE"""),"")</f>
        <v/>
      </c>
      <c r="H45" s="17" t="str">
        <f ca="1">IFERROR(__xludf.DUMMYFUNCTION("""COMPUTED_VALUE"""),"")</f>
        <v/>
      </c>
      <c r="I45" s="17" t="str">
        <f ca="1">IFERROR(__xludf.DUMMYFUNCTION("""COMPUTED_VALUE"""),"")</f>
        <v/>
      </c>
      <c r="J45" s="17" t="str">
        <f ca="1">IFERROR(__xludf.DUMMYFUNCTION("""COMPUTED_VALUE"""),"")</f>
        <v/>
      </c>
      <c r="K45" s="18" t="str">
        <f ca="1">IFERROR(__xludf.DUMMYFUNCTION("""COMPUTED_VALUE"""),"")</f>
        <v/>
      </c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20"/>
      <c r="W45" s="20"/>
      <c r="X45" s="20"/>
      <c r="Y45" s="20"/>
      <c r="Z45" s="21"/>
      <c r="AA45" s="22"/>
      <c r="AB45" s="23"/>
    </row>
    <row r="46" spans="1:28" ht="13.5" customHeight="1" x14ac:dyDescent="0.35">
      <c r="A46" s="24" t="str">
        <f ca="1">IFERROR(__xludf.DUMMYFUNCTION("""COMPUTED_VALUE"""),"")</f>
        <v/>
      </c>
      <c r="B46" s="28" t="str">
        <f ca="1">IFERROR(__xludf.DUMMYFUNCTION("""COMPUTED_VALUE"""),"")</f>
        <v/>
      </c>
      <c r="C46" s="27" t="str">
        <f ca="1">IFERROR(__xludf.DUMMYFUNCTION("""COMPUTED_VALUE"""),"")</f>
        <v/>
      </c>
      <c r="D46" s="27" t="str">
        <f ca="1">IFERROR(__xludf.DUMMYFUNCTION("""COMPUTED_VALUE"""),"")</f>
        <v/>
      </c>
      <c r="E46" s="15" t="str">
        <f ca="1">IFERROR(__xludf.DUMMYFUNCTION("""COMPUTED_VALUE"""),"")</f>
        <v/>
      </c>
      <c r="F46" s="51" t="str">
        <f ca="1">IFERROR(__xludf.DUMMYFUNCTION("""COMPUTED_VALUE"""),"")</f>
        <v/>
      </c>
      <c r="G46" s="16" t="str">
        <f ca="1">IFERROR(__xludf.DUMMYFUNCTION("""COMPUTED_VALUE"""),"")</f>
        <v/>
      </c>
      <c r="H46" s="17" t="str">
        <f ca="1">IFERROR(__xludf.DUMMYFUNCTION("""COMPUTED_VALUE"""),"")</f>
        <v/>
      </c>
      <c r="I46" s="17" t="str">
        <f ca="1">IFERROR(__xludf.DUMMYFUNCTION("""COMPUTED_VALUE"""),"")</f>
        <v/>
      </c>
      <c r="J46" s="17" t="str">
        <f ca="1">IFERROR(__xludf.DUMMYFUNCTION("""COMPUTED_VALUE"""),"")</f>
        <v/>
      </c>
      <c r="K46" s="18" t="str">
        <f ca="1">IFERROR(__xludf.DUMMYFUNCTION("""COMPUTED_VALUE"""),"")</f>
        <v/>
      </c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20"/>
      <c r="W46" s="20"/>
      <c r="X46" s="20"/>
      <c r="Y46" s="20"/>
      <c r="Z46" s="21"/>
      <c r="AA46" s="22"/>
      <c r="AB46" s="23"/>
    </row>
    <row r="47" spans="1:28" ht="13.5" customHeight="1" x14ac:dyDescent="0.35">
      <c r="A47" s="24" t="str">
        <f ca="1">IFERROR(__xludf.DUMMYFUNCTION("""COMPUTED_VALUE"""),"")</f>
        <v/>
      </c>
      <c r="B47" s="28" t="str">
        <f ca="1">IFERROR(__xludf.DUMMYFUNCTION("""COMPUTED_VALUE"""),"")</f>
        <v/>
      </c>
      <c r="C47" s="27" t="str">
        <f ca="1">IFERROR(__xludf.DUMMYFUNCTION("""COMPUTED_VALUE"""),"")</f>
        <v/>
      </c>
      <c r="D47" s="27" t="str">
        <f ca="1">IFERROR(__xludf.DUMMYFUNCTION("""COMPUTED_VALUE"""),"")</f>
        <v/>
      </c>
      <c r="E47" s="15" t="str">
        <f ca="1">IFERROR(__xludf.DUMMYFUNCTION("""COMPUTED_VALUE"""),"")</f>
        <v/>
      </c>
      <c r="F47" s="51" t="str">
        <f ca="1">IFERROR(__xludf.DUMMYFUNCTION("""COMPUTED_VALUE"""),"")</f>
        <v/>
      </c>
      <c r="G47" s="16" t="str">
        <f ca="1">IFERROR(__xludf.DUMMYFUNCTION("""COMPUTED_VALUE"""),"")</f>
        <v/>
      </c>
      <c r="H47" s="17" t="str">
        <f ca="1">IFERROR(__xludf.DUMMYFUNCTION("""COMPUTED_VALUE"""),"")</f>
        <v/>
      </c>
      <c r="I47" s="17" t="str">
        <f ca="1">IFERROR(__xludf.DUMMYFUNCTION("""COMPUTED_VALUE"""),"")</f>
        <v/>
      </c>
      <c r="J47" s="17" t="str">
        <f ca="1">IFERROR(__xludf.DUMMYFUNCTION("""COMPUTED_VALUE"""),"")</f>
        <v/>
      </c>
      <c r="K47" s="18" t="str">
        <f ca="1">IFERROR(__xludf.DUMMYFUNCTION("""COMPUTED_VALUE"""),"")</f>
        <v/>
      </c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20"/>
      <c r="W47" s="20"/>
      <c r="X47" s="20"/>
      <c r="Y47" s="20"/>
      <c r="Z47" s="21"/>
      <c r="AA47" s="22"/>
      <c r="AB47" s="23"/>
    </row>
    <row r="48" spans="1:28" ht="13.5" customHeight="1" x14ac:dyDescent="0.35">
      <c r="A48" s="24" t="str">
        <f ca="1">IFERROR(__xludf.DUMMYFUNCTION("""COMPUTED_VALUE"""),"")</f>
        <v/>
      </c>
      <c r="B48" s="28" t="str">
        <f ca="1">IFERROR(__xludf.DUMMYFUNCTION("""COMPUTED_VALUE"""),"")</f>
        <v/>
      </c>
      <c r="C48" s="27" t="str">
        <f ca="1">IFERROR(__xludf.DUMMYFUNCTION("""COMPUTED_VALUE"""),"")</f>
        <v/>
      </c>
      <c r="D48" s="27" t="str">
        <f ca="1">IFERROR(__xludf.DUMMYFUNCTION("""COMPUTED_VALUE"""),"")</f>
        <v/>
      </c>
      <c r="E48" s="15" t="str">
        <f ca="1">IFERROR(__xludf.DUMMYFUNCTION("""COMPUTED_VALUE"""),"")</f>
        <v/>
      </c>
      <c r="F48" s="51" t="str">
        <f ca="1">IFERROR(__xludf.DUMMYFUNCTION("""COMPUTED_VALUE"""),"")</f>
        <v/>
      </c>
      <c r="G48" s="16" t="str">
        <f ca="1">IFERROR(__xludf.DUMMYFUNCTION("""COMPUTED_VALUE"""),"")</f>
        <v/>
      </c>
      <c r="H48" s="17" t="str">
        <f ca="1">IFERROR(__xludf.DUMMYFUNCTION("""COMPUTED_VALUE"""),"")</f>
        <v/>
      </c>
      <c r="I48" s="17" t="str">
        <f ca="1">IFERROR(__xludf.DUMMYFUNCTION("""COMPUTED_VALUE"""),"")</f>
        <v/>
      </c>
      <c r="J48" s="17" t="str">
        <f ca="1">IFERROR(__xludf.DUMMYFUNCTION("""COMPUTED_VALUE"""),"")</f>
        <v/>
      </c>
      <c r="K48" s="18" t="str">
        <f ca="1">IFERROR(__xludf.DUMMYFUNCTION("""COMPUTED_VALUE"""),"")</f>
        <v/>
      </c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20"/>
      <c r="W48" s="20"/>
      <c r="X48" s="20"/>
      <c r="Y48" s="20"/>
      <c r="Z48" s="21"/>
      <c r="AA48" s="22"/>
      <c r="AB48" s="23"/>
    </row>
    <row r="49" spans="1:28" ht="13.5" customHeight="1" x14ac:dyDescent="0.35">
      <c r="A49" s="24" t="str">
        <f ca="1">IFERROR(__xludf.DUMMYFUNCTION("""COMPUTED_VALUE"""),"")</f>
        <v/>
      </c>
      <c r="B49" s="28" t="str">
        <f ca="1">IFERROR(__xludf.DUMMYFUNCTION("""COMPUTED_VALUE"""),"")</f>
        <v/>
      </c>
      <c r="C49" s="27" t="str">
        <f ca="1">IFERROR(__xludf.DUMMYFUNCTION("""COMPUTED_VALUE"""),"")</f>
        <v/>
      </c>
      <c r="D49" s="27" t="str">
        <f ca="1">IFERROR(__xludf.DUMMYFUNCTION("""COMPUTED_VALUE"""),"")</f>
        <v/>
      </c>
      <c r="E49" s="15" t="str">
        <f ca="1">IFERROR(__xludf.DUMMYFUNCTION("""COMPUTED_VALUE"""),"")</f>
        <v/>
      </c>
      <c r="F49" s="51" t="str">
        <f ca="1">IFERROR(__xludf.DUMMYFUNCTION("""COMPUTED_VALUE"""),"")</f>
        <v/>
      </c>
      <c r="G49" s="16" t="str">
        <f ca="1">IFERROR(__xludf.DUMMYFUNCTION("""COMPUTED_VALUE"""),"")</f>
        <v/>
      </c>
      <c r="H49" s="17" t="str">
        <f ca="1">IFERROR(__xludf.DUMMYFUNCTION("""COMPUTED_VALUE"""),"")</f>
        <v/>
      </c>
      <c r="I49" s="17" t="str">
        <f ca="1">IFERROR(__xludf.DUMMYFUNCTION("""COMPUTED_VALUE"""),"")</f>
        <v/>
      </c>
      <c r="J49" s="17" t="str">
        <f ca="1">IFERROR(__xludf.DUMMYFUNCTION("""COMPUTED_VALUE"""),"")</f>
        <v/>
      </c>
      <c r="K49" s="18" t="str">
        <f ca="1">IFERROR(__xludf.DUMMYFUNCTION("""COMPUTED_VALUE"""),"")</f>
        <v/>
      </c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20"/>
      <c r="W49" s="20"/>
      <c r="X49" s="20"/>
      <c r="Y49" s="20"/>
      <c r="Z49" s="21"/>
      <c r="AA49" s="22"/>
      <c r="AB49" s="23"/>
    </row>
    <row r="50" spans="1:28" ht="13.5" customHeight="1" x14ac:dyDescent="0.35">
      <c r="A50" s="24" t="str">
        <f ca="1">IFERROR(__xludf.DUMMYFUNCTION("""COMPUTED_VALUE"""),"")</f>
        <v/>
      </c>
      <c r="B50" s="28" t="str">
        <f ca="1">IFERROR(__xludf.DUMMYFUNCTION("""COMPUTED_VALUE"""),"")</f>
        <v/>
      </c>
      <c r="C50" s="27" t="str">
        <f ca="1">IFERROR(__xludf.DUMMYFUNCTION("""COMPUTED_VALUE"""),"")</f>
        <v/>
      </c>
      <c r="D50" s="27" t="str">
        <f ca="1">IFERROR(__xludf.DUMMYFUNCTION("""COMPUTED_VALUE"""),"")</f>
        <v/>
      </c>
      <c r="E50" s="15" t="str">
        <f ca="1">IFERROR(__xludf.DUMMYFUNCTION("""COMPUTED_VALUE"""),"")</f>
        <v/>
      </c>
      <c r="F50" s="51" t="str">
        <f ca="1">IFERROR(__xludf.DUMMYFUNCTION("""COMPUTED_VALUE"""),"")</f>
        <v/>
      </c>
      <c r="G50" s="16" t="str">
        <f ca="1">IFERROR(__xludf.DUMMYFUNCTION("""COMPUTED_VALUE"""),"")</f>
        <v/>
      </c>
      <c r="H50" s="17" t="str">
        <f ca="1">IFERROR(__xludf.DUMMYFUNCTION("""COMPUTED_VALUE"""),"")</f>
        <v/>
      </c>
      <c r="I50" s="17" t="str">
        <f ca="1">IFERROR(__xludf.DUMMYFUNCTION("""COMPUTED_VALUE"""),"")</f>
        <v/>
      </c>
      <c r="J50" s="17" t="str">
        <f ca="1">IFERROR(__xludf.DUMMYFUNCTION("""COMPUTED_VALUE"""),"")</f>
        <v/>
      </c>
      <c r="K50" s="18" t="str">
        <f ca="1">IFERROR(__xludf.DUMMYFUNCTION("""COMPUTED_VALUE"""),"")</f>
        <v/>
      </c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20"/>
      <c r="W50" s="20"/>
      <c r="X50" s="20"/>
      <c r="Y50" s="20"/>
      <c r="Z50" s="21"/>
      <c r="AA50" s="22"/>
      <c r="AB50" s="23"/>
    </row>
    <row r="51" spans="1:28" ht="13.5" customHeight="1" x14ac:dyDescent="0.35">
      <c r="A51" s="24" t="str">
        <f ca="1">IFERROR(__xludf.DUMMYFUNCTION("""COMPUTED_VALUE"""),"")</f>
        <v/>
      </c>
      <c r="B51" s="28" t="str">
        <f ca="1">IFERROR(__xludf.DUMMYFUNCTION("""COMPUTED_VALUE"""),"")</f>
        <v/>
      </c>
      <c r="C51" s="27" t="str">
        <f ca="1">IFERROR(__xludf.DUMMYFUNCTION("""COMPUTED_VALUE"""),"")</f>
        <v/>
      </c>
      <c r="D51" s="27" t="str">
        <f ca="1">IFERROR(__xludf.DUMMYFUNCTION("""COMPUTED_VALUE"""),"")</f>
        <v/>
      </c>
      <c r="E51" s="15" t="str">
        <f ca="1">IFERROR(__xludf.DUMMYFUNCTION("""COMPUTED_VALUE"""),"")</f>
        <v/>
      </c>
      <c r="F51" s="51" t="str">
        <f ca="1">IFERROR(__xludf.DUMMYFUNCTION("""COMPUTED_VALUE"""),"")</f>
        <v/>
      </c>
      <c r="G51" s="16" t="str">
        <f ca="1">IFERROR(__xludf.DUMMYFUNCTION("""COMPUTED_VALUE"""),"")</f>
        <v/>
      </c>
      <c r="H51" s="17" t="str">
        <f ca="1">IFERROR(__xludf.DUMMYFUNCTION("""COMPUTED_VALUE"""),"")</f>
        <v/>
      </c>
      <c r="I51" s="17" t="str">
        <f ca="1">IFERROR(__xludf.DUMMYFUNCTION("""COMPUTED_VALUE"""),"")</f>
        <v/>
      </c>
      <c r="J51" s="17" t="str">
        <f ca="1">IFERROR(__xludf.DUMMYFUNCTION("""COMPUTED_VALUE"""),"")</f>
        <v/>
      </c>
      <c r="K51" s="18" t="str">
        <f ca="1">IFERROR(__xludf.DUMMYFUNCTION("""COMPUTED_VALUE"""),"")</f>
        <v/>
      </c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20"/>
      <c r="W51" s="20"/>
      <c r="X51" s="20"/>
      <c r="Y51" s="20"/>
      <c r="Z51" s="21"/>
      <c r="AA51" s="22"/>
      <c r="AB51" s="23"/>
    </row>
    <row r="52" spans="1:28" ht="13.5" customHeight="1" x14ac:dyDescent="0.35">
      <c r="A52" s="24" t="str">
        <f ca="1">IFERROR(__xludf.DUMMYFUNCTION("""COMPUTED_VALUE"""),"")</f>
        <v/>
      </c>
      <c r="B52" s="28" t="str">
        <f ca="1">IFERROR(__xludf.DUMMYFUNCTION("""COMPUTED_VALUE"""),"")</f>
        <v/>
      </c>
      <c r="C52" s="27" t="str">
        <f ca="1">IFERROR(__xludf.DUMMYFUNCTION("""COMPUTED_VALUE"""),"")</f>
        <v/>
      </c>
      <c r="D52" s="27" t="str">
        <f ca="1">IFERROR(__xludf.DUMMYFUNCTION("""COMPUTED_VALUE"""),"")</f>
        <v/>
      </c>
      <c r="E52" s="15" t="str">
        <f ca="1">IFERROR(__xludf.DUMMYFUNCTION("""COMPUTED_VALUE"""),"")</f>
        <v/>
      </c>
      <c r="F52" s="51" t="str">
        <f ca="1">IFERROR(__xludf.DUMMYFUNCTION("""COMPUTED_VALUE"""),"")</f>
        <v/>
      </c>
      <c r="G52" s="16" t="str">
        <f ca="1">IFERROR(__xludf.DUMMYFUNCTION("""COMPUTED_VALUE"""),"")</f>
        <v/>
      </c>
      <c r="H52" s="17" t="str">
        <f ca="1">IFERROR(__xludf.DUMMYFUNCTION("""COMPUTED_VALUE"""),"")</f>
        <v/>
      </c>
      <c r="I52" s="17" t="str">
        <f ca="1">IFERROR(__xludf.DUMMYFUNCTION("""COMPUTED_VALUE"""),"")</f>
        <v/>
      </c>
      <c r="J52" s="17" t="str">
        <f ca="1">IFERROR(__xludf.DUMMYFUNCTION("""COMPUTED_VALUE"""),"")</f>
        <v/>
      </c>
      <c r="K52" s="18" t="str">
        <f ca="1">IFERROR(__xludf.DUMMYFUNCTION("""COMPUTED_VALUE"""),"")</f>
        <v/>
      </c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20"/>
      <c r="W52" s="20"/>
      <c r="X52" s="20"/>
      <c r="Y52" s="20"/>
      <c r="Z52" s="21"/>
      <c r="AA52" s="22"/>
      <c r="AB52" s="23"/>
    </row>
    <row r="53" spans="1:28" ht="13.5" customHeight="1" x14ac:dyDescent="0.35">
      <c r="A53" s="24" t="str">
        <f ca="1">IFERROR(__xludf.DUMMYFUNCTION("""COMPUTED_VALUE"""),"")</f>
        <v/>
      </c>
      <c r="B53" s="28" t="str">
        <f ca="1">IFERROR(__xludf.DUMMYFUNCTION("""COMPUTED_VALUE"""),"")</f>
        <v/>
      </c>
      <c r="C53" s="27" t="str">
        <f ca="1">IFERROR(__xludf.DUMMYFUNCTION("""COMPUTED_VALUE"""),"")</f>
        <v/>
      </c>
      <c r="D53" s="27" t="str">
        <f ca="1">IFERROR(__xludf.DUMMYFUNCTION("""COMPUTED_VALUE"""),"")</f>
        <v/>
      </c>
      <c r="E53" s="15" t="str">
        <f ca="1">IFERROR(__xludf.DUMMYFUNCTION("""COMPUTED_VALUE"""),"")</f>
        <v/>
      </c>
      <c r="F53" s="51" t="str">
        <f ca="1">IFERROR(__xludf.DUMMYFUNCTION("""COMPUTED_VALUE"""),"")</f>
        <v/>
      </c>
      <c r="G53" s="16" t="str">
        <f ca="1">IFERROR(__xludf.DUMMYFUNCTION("""COMPUTED_VALUE"""),"")</f>
        <v/>
      </c>
      <c r="H53" s="17" t="str">
        <f ca="1">IFERROR(__xludf.DUMMYFUNCTION("""COMPUTED_VALUE"""),"")</f>
        <v/>
      </c>
      <c r="I53" s="17" t="str">
        <f ca="1">IFERROR(__xludf.DUMMYFUNCTION("""COMPUTED_VALUE"""),"")</f>
        <v/>
      </c>
      <c r="J53" s="17" t="str">
        <f ca="1">IFERROR(__xludf.DUMMYFUNCTION("""COMPUTED_VALUE"""),"")</f>
        <v/>
      </c>
      <c r="K53" s="18" t="str">
        <f ca="1">IFERROR(__xludf.DUMMYFUNCTION("""COMPUTED_VALUE"""),"")</f>
        <v/>
      </c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20"/>
      <c r="W53" s="20"/>
      <c r="X53" s="20"/>
      <c r="Y53" s="20"/>
      <c r="Z53" s="21"/>
      <c r="AA53" s="22"/>
      <c r="AB53" s="23"/>
    </row>
    <row r="54" spans="1:28" ht="13.5" customHeight="1" x14ac:dyDescent="0.35">
      <c r="A54" s="24" t="str">
        <f ca="1">IFERROR(__xludf.DUMMYFUNCTION("""COMPUTED_VALUE"""),"")</f>
        <v/>
      </c>
      <c r="B54" s="28" t="str">
        <f ca="1">IFERROR(__xludf.DUMMYFUNCTION("""COMPUTED_VALUE"""),"")</f>
        <v/>
      </c>
      <c r="C54" s="27" t="str">
        <f ca="1">IFERROR(__xludf.DUMMYFUNCTION("""COMPUTED_VALUE"""),"")</f>
        <v/>
      </c>
      <c r="D54" s="27" t="str">
        <f ca="1">IFERROR(__xludf.DUMMYFUNCTION("""COMPUTED_VALUE"""),"")</f>
        <v/>
      </c>
      <c r="E54" s="15" t="str">
        <f ca="1">IFERROR(__xludf.DUMMYFUNCTION("""COMPUTED_VALUE"""),"")</f>
        <v/>
      </c>
      <c r="F54" s="51" t="str">
        <f ca="1">IFERROR(__xludf.DUMMYFUNCTION("""COMPUTED_VALUE"""),"")</f>
        <v/>
      </c>
      <c r="G54" s="16" t="str">
        <f ca="1">IFERROR(__xludf.DUMMYFUNCTION("""COMPUTED_VALUE"""),"")</f>
        <v/>
      </c>
      <c r="H54" s="17" t="str">
        <f ca="1">IFERROR(__xludf.DUMMYFUNCTION("""COMPUTED_VALUE"""),"")</f>
        <v/>
      </c>
      <c r="I54" s="17" t="str">
        <f ca="1">IFERROR(__xludf.DUMMYFUNCTION("""COMPUTED_VALUE"""),"")</f>
        <v/>
      </c>
      <c r="J54" s="17" t="str">
        <f ca="1">IFERROR(__xludf.DUMMYFUNCTION("""COMPUTED_VALUE"""),"")</f>
        <v/>
      </c>
      <c r="K54" s="18" t="str">
        <f ca="1">IFERROR(__xludf.DUMMYFUNCTION("""COMPUTED_VALUE"""),"")</f>
        <v/>
      </c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20"/>
      <c r="W54" s="20"/>
      <c r="X54" s="20"/>
      <c r="Y54" s="20"/>
      <c r="Z54" s="21"/>
      <c r="AA54" s="22"/>
      <c r="AB54" s="23"/>
    </row>
    <row r="55" spans="1:28" ht="13.5" customHeight="1" x14ac:dyDescent="0.35">
      <c r="A55" s="24" t="str">
        <f ca="1">IFERROR(__xludf.DUMMYFUNCTION("""COMPUTED_VALUE"""),"")</f>
        <v/>
      </c>
      <c r="B55" s="28" t="str">
        <f ca="1">IFERROR(__xludf.DUMMYFUNCTION("""COMPUTED_VALUE"""),"")</f>
        <v/>
      </c>
      <c r="C55" s="27" t="str">
        <f ca="1">IFERROR(__xludf.DUMMYFUNCTION("""COMPUTED_VALUE"""),"")</f>
        <v/>
      </c>
      <c r="D55" s="27" t="str">
        <f ca="1">IFERROR(__xludf.DUMMYFUNCTION("""COMPUTED_VALUE"""),"")</f>
        <v/>
      </c>
      <c r="E55" s="15" t="str">
        <f ca="1">IFERROR(__xludf.DUMMYFUNCTION("""COMPUTED_VALUE"""),"")</f>
        <v/>
      </c>
      <c r="F55" s="51" t="str">
        <f ca="1">IFERROR(__xludf.DUMMYFUNCTION("""COMPUTED_VALUE"""),"")</f>
        <v/>
      </c>
      <c r="G55" s="16" t="str">
        <f ca="1">IFERROR(__xludf.DUMMYFUNCTION("""COMPUTED_VALUE"""),"")</f>
        <v/>
      </c>
      <c r="H55" s="17" t="str">
        <f ca="1">IFERROR(__xludf.DUMMYFUNCTION("""COMPUTED_VALUE"""),"")</f>
        <v/>
      </c>
      <c r="I55" s="17" t="str">
        <f ca="1">IFERROR(__xludf.DUMMYFUNCTION("""COMPUTED_VALUE"""),"")</f>
        <v/>
      </c>
      <c r="J55" s="17" t="str">
        <f ca="1">IFERROR(__xludf.DUMMYFUNCTION("""COMPUTED_VALUE"""),"")</f>
        <v/>
      </c>
      <c r="K55" s="18" t="str">
        <f ca="1">IFERROR(__xludf.DUMMYFUNCTION("""COMPUTED_VALUE"""),"")</f>
        <v/>
      </c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20"/>
      <c r="W55" s="20"/>
      <c r="X55" s="20"/>
      <c r="Y55" s="20"/>
      <c r="Z55" s="21"/>
      <c r="AA55" s="22"/>
      <c r="AB55" s="23"/>
    </row>
    <row r="56" spans="1:28" ht="13.5" customHeight="1" x14ac:dyDescent="0.35">
      <c r="A56" s="24" t="str">
        <f ca="1">IFERROR(__xludf.DUMMYFUNCTION("""COMPUTED_VALUE"""),"")</f>
        <v/>
      </c>
      <c r="B56" s="28" t="str">
        <f ca="1">IFERROR(__xludf.DUMMYFUNCTION("""COMPUTED_VALUE"""),"")</f>
        <v/>
      </c>
      <c r="C56" s="27" t="str">
        <f ca="1">IFERROR(__xludf.DUMMYFUNCTION("""COMPUTED_VALUE"""),"")</f>
        <v/>
      </c>
      <c r="D56" s="27" t="str">
        <f ca="1">IFERROR(__xludf.DUMMYFUNCTION("""COMPUTED_VALUE"""),"")</f>
        <v/>
      </c>
      <c r="E56" s="15" t="str">
        <f ca="1">IFERROR(__xludf.DUMMYFUNCTION("""COMPUTED_VALUE"""),"")</f>
        <v/>
      </c>
      <c r="F56" s="51" t="str">
        <f ca="1">IFERROR(__xludf.DUMMYFUNCTION("""COMPUTED_VALUE"""),"")</f>
        <v/>
      </c>
      <c r="G56" s="16" t="str">
        <f ca="1">IFERROR(__xludf.DUMMYFUNCTION("""COMPUTED_VALUE"""),"")</f>
        <v/>
      </c>
      <c r="H56" s="17" t="str">
        <f ca="1">IFERROR(__xludf.DUMMYFUNCTION("""COMPUTED_VALUE"""),"")</f>
        <v/>
      </c>
      <c r="I56" s="17" t="str">
        <f ca="1">IFERROR(__xludf.DUMMYFUNCTION("""COMPUTED_VALUE"""),"")</f>
        <v/>
      </c>
      <c r="J56" s="17" t="str">
        <f ca="1">IFERROR(__xludf.DUMMYFUNCTION("""COMPUTED_VALUE"""),"")</f>
        <v/>
      </c>
      <c r="K56" s="18" t="str">
        <f ca="1">IFERROR(__xludf.DUMMYFUNCTION("""COMPUTED_VALUE"""),"")</f>
        <v/>
      </c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20"/>
      <c r="W56" s="20"/>
      <c r="X56" s="20"/>
      <c r="Y56" s="20"/>
      <c r="Z56" s="21"/>
      <c r="AA56" s="22"/>
      <c r="AB56" s="23"/>
    </row>
    <row r="57" spans="1:28" ht="13.5" customHeight="1" x14ac:dyDescent="0.35">
      <c r="A57" s="24" t="str">
        <f ca="1">IFERROR(__xludf.DUMMYFUNCTION("""COMPUTED_VALUE"""),"")</f>
        <v/>
      </c>
      <c r="B57" s="28" t="str">
        <f ca="1">IFERROR(__xludf.DUMMYFUNCTION("""COMPUTED_VALUE"""),"")</f>
        <v/>
      </c>
      <c r="C57" s="27" t="str">
        <f ca="1">IFERROR(__xludf.DUMMYFUNCTION("""COMPUTED_VALUE"""),"")</f>
        <v/>
      </c>
      <c r="D57" s="27" t="str">
        <f ca="1">IFERROR(__xludf.DUMMYFUNCTION("""COMPUTED_VALUE"""),"")</f>
        <v/>
      </c>
      <c r="E57" s="15" t="str">
        <f ca="1">IFERROR(__xludf.DUMMYFUNCTION("""COMPUTED_VALUE"""),"")</f>
        <v/>
      </c>
      <c r="F57" s="51" t="str">
        <f ca="1">IFERROR(__xludf.DUMMYFUNCTION("""COMPUTED_VALUE"""),"")</f>
        <v/>
      </c>
      <c r="G57" s="16" t="str">
        <f ca="1">IFERROR(__xludf.DUMMYFUNCTION("""COMPUTED_VALUE"""),"")</f>
        <v/>
      </c>
      <c r="H57" s="17" t="str">
        <f ca="1">IFERROR(__xludf.DUMMYFUNCTION("""COMPUTED_VALUE"""),"")</f>
        <v/>
      </c>
      <c r="I57" s="17" t="str">
        <f ca="1">IFERROR(__xludf.DUMMYFUNCTION("""COMPUTED_VALUE"""),"")</f>
        <v/>
      </c>
      <c r="J57" s="17" t="str">
        <f ca="1">IFERROR(__xludf.DUMMYFUNCTION("""COMPUTED_VALUE"""),"")</f>
        <v/>
      </c>
      <c r="K57" s="18" t="str">
        <f ca="1">IFERROR(__xludf.DUMMYFUNCTION("""COMPUTED_VALUE"""),"")</f>
        <v/>
      </c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20"/>
      <c r="W57" s="20"/>
      <c r="X57" s="20"/>
      <c r="Y57" s="20"/>
      <c r="Z57" s="21"/>
      <c r="AA57" s="22"/>
      <c r="AB57" s="23"/>
    </row>
    <row r="58" spans="1:28" ht="13.5" customHeight="1" x14ac:dyDescent="0.35">
      <c r="A58" s="24" t="str">
        <f ca="1">IFERROR(__xludf.DUMMYFUNCTION("""COMPUTED_VALUE"""),"")</f>
        <v/>
      </c>
      <c r="B58" s="28" t="str">
        <f ca="1">IFERROR(__xludf.DUMMYFUNCTION("""COMPUTED_VALUE"""),"")</f>
        <v/>
      </c>
      <c r="C58" s="27" t="str">
        <f ca="1">IFERROR(__xludf.DUMMYFUNCTION("""COMPUTED_VALUE"""),"")</f>
        <v/>
      </c>
      <c r="D58" s="27" t="str">
        <f ca="1">IFERROR(__xludf.DUMMYFUNCTION("""COMPUTED_VALUE"""),"")</f>
        <v/>
      </c>
      <c r="E58" s="15" t="str">
        <f ca="1">IFERROR(__xludf.DUMMYFUNCTION("""COMPUTED_VALUE"""),"")</f>
        <v/>
      </c>
      <c r="F58" s="51" t="str">
        <f ca="1">IFERROR(__xludf.DUMMYFUNCTION("""COMPUTED_VALUE"""),"")</f>
        <v/>
      </c>
      <c r="G58" s="16" t="str">
        <f ca="1">IFERROR(__xludf.DUMMYFUNCTION("""COMPUTED_VALUE"""),"")</f>
        <v/>
      </c>
      <c r="H58" s="17" t="str">
        <f ca="1">IFERROR(__xludf.DUMMYFUNCTION("""COMPUTED_VALUE"""),"")</f>
        <v/>
      </c>
      <c r="I58" s="17" t="str">
        <f ca="1">IFERROR(__xludf.DUMMYFUNCTION("""COMPUTED_VALUE"""),"")</f>
        <v/>
      </c>
      <c r="J58" s="17" t="str">
        <f ca="1">IFERROR(__xludf.DUMMYFUNCTION("""COMPUTED_VALUE"""),"")</f>
        <v/>
      </c>
      <c r="K58" s="18" t="str">
        <f ca="1">IFERROR(__xludf.DUMMYFUNCTION("""COMPUTED_VALUE"""),"")</f>
        <v/>
      </c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20"/>
      <c r="W58" s="20"/>
      <c r="X58" s="20"/>
      <c r="Y58" s="20"/>
      <c r="Z58" s="21"/>
      <c r="AA58" s="22"/>
      <c r="AB58" s="23"/>
    </row>
    <row r="59" spans="1:28" ht="13.5" customHeight="1" x14ac:dyDescent="0.35">
      <c r="A59" s="24" t="str">
        <f ca="1">IFERROR(__xludf.DUMMYFUNCTION("""COMPUTED_VALUE"""),"")</f>
        <v/>
      </c>
      <c r="B59" s="28" t="str">
        <f ca="1">IFERROR(__xludf.DUMMYFUNCTION("""COMPUTED_VALUE"""),"")</f>
        <v/>
      </c>
      <c r="C59" s="27" t="str">
        <f ca="1">IFERROR(__xludf.DUMMYFUNCTION("""COMPUTED_VALUE"""),"")</f>
        <v/>
      </c>
      <c r="D59" s="27" t="str">
        <f ca="1">IFERROR(__xludf.DUMMYFUNCTION("""COMPUTED_VALUE"""),"")</f>
        <v/>
      </c>
      <c r="E59" s="15" t="str">
        <f ca="1">IFERROR(__xludf.DUMMYFUNCTION("""COMPUTED_VALUE"""),"")</f>
        <v/>
      </c>
      <c r="F59" s="51" t="str">
        <f ca="1">IFERROR(__xludf.DUMMYFUNCTION("""COMPUTED_VALUE"""),"")</f>
        <v/>
      </c>
      <c r="G59" s="16" t="str">
        <f ca="1">IFERROR(__xludf.DUMMYFUNCTION("""COMPUTED_VALUE"""),"")</f>
        <v/>
      </c>
      <c r="H59" s="17" t="str">
        <f ca="1">IFERROR(__xludf.DUMMYFUNCTION("""COMPUTED_VALUE"""),"")</f>
        <v/>
      </c>
      <c r="I59" s="17" t="str">
        <f ca="1">IFERROR(__xludf.DUMMYFUNCTION("""COMPUTED_VALUE"""),"")</f>
        <v/>
      </c>
      <c r="J59" s="17" t="str">
        <f ca="1">IFERROR(__xludf.DUMMYFUNCTION("""COMPUTED_VALUE"""),"")</f>
        <v/>
      </c>
      <c r="K59" s="18" t="str">
        <f ca="1">IFERROR(__xludf.DUMMYFUNCTION("""COMPUTED_VALUE"""),"")</f>
        <v/>
      </c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20"/>
      <c r="W59" s="20"/>
      <c r="X59" s="20"/>
      <c r="Y59" s="20"/>
      <c r="Z59" s="21"/>
      <c r="AA59" s="22"/>
      <c r="AB59" s="23"/>
    </row>
    <row r="60" spans="1:28" ht="13.5" customHeight="1" x14ac:dyDescent="0.35">
      <c r="A60" s="24" t="str">
        <f ca="1">IFERROR(__xludf.DUMMYFUNCTION("""COMPUTED_VALUE"""),"")</f>
        <v/>
      </c>
      <c r="B60" s="28" t="str">
        <f ca="1">IFERROR(__xludf.DUMMYFUNCTION("""COMPUTED_VALUE"""),"")</f>
        <v/>
      </c>
      <c r="C60" s="27" t="str">
        <f ca="1">IFERROR(__xludf.DUMMYFUNCTION("""COMPUTED_VALUE"""),"")</f>
        <v/>
      </c>
      <c r="D60" s="27" t="str">
        <f ca="1">IFERROR(__xludf.DUMMYFUNCTION("""COMPUTED_VALUE"""),"")</f>
        <v/>
      </c>
      <c r="E60" s="15" t="str">
        <f ca="1">IFERROR(__xludf.DUMMYFUNCTION("""COMPUTED_VALUE"""),"")</f>
        <v/>
      </c>
      <c r="F60" s="51" t="str">
        <f ca="1">IFERROR(__xludf.DUMMYFUNCTION("""COMPUTED_VALUE"""),"")</f>
        <v/>
      </c>
      <c r="G60" s="16" t="str">
        <f ca="1">IFERROR(__xludf.DUMMYFUNCTION("""COMPUTED_VALUE"""),"")</f>
        <v/>
      </c>
      <c r="H60" s="17" t="str">
        <f ca="1">IFERROR(__xludf.DUMMYFUNCTION("""COMPUTED_VALUE"""),"")</f>
        <v/>
      </c>
      <c r="I60" s="17" t="str">
        <f ca="1">IFERROR(__xludf.DUMMYFUNCTION("""COMPUTED_VALUE"""),"")</f>
        <v/>
      </c>
      <c r="J60" s="17" t="str">
        <f ca="1">IFERROR(__xludf.DUMMYFUNCTION("""COMPUTED_VALUE"""),"")</f>
        <v/>
      </c>
      <c r="K60" s="18" t="str">
        <f ca="1">IFERROR(__xludf.DUMMYFUNCTION("""COMPUTED_VALUE"""),"")</f>
        <v/>
      </c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20"/>
      <c r="W60" s="20"/>
      <c r="X60" s="20"/>
      <c r="Y60" s="20"/>
      <c r="Z60" s="21"/>
      <c r="AA60" s="22"/>
      <c r="AB60" s="23"/>
    </row>
    <row r="61" spans="1:28" ht="13.5" customHeight="1" x14ac:dyDescent="0.35">
      <c r="A61" s="24" t="str">
        <f ca="1">IFERROR(__xludf.DUMMYFUNCTION("""COMPUTED_VALUE"""),"")</f>
        <v/>
      </c>
      <c r="B61" s="28" t="str">
        <f ca="1">IFERROR(__xludf.DUMMYFUNCTION("""COMPUTED_VALUE"""),"")</f>
        <v/>
      </c>
      <c r="C61" s="27" t="str">
        <f ca="1">IFERROR(__xludf.DUMMYFUNCTION("""COMPUTED_VALUE"""),"")</f>
        <v/>
      </c>
      <c r="D61" s="27" t="str">
        <f ca="1">IFERROR(__xludf.DUMMYFUNCTION("""COMPUTED_VALUE"""),"")</f>
        <v/>
      </c>
      <c r="E61" s="15" t="str">
        <f ca="1">IFERROR(__xludf.DUMMYFUNCTION("""COMPUTED_VALUE"""),"")</f>
        <v/>
      </c>
      <c r="F61" s="51" t="str">
        <f ca="1">IFERROR(__xludf.DUMMYFUNCTION("""COMPUTED_VALUE"""),"")</f>
        <v/>
      </c>
      <c r="G61" s="16" t="str">
        <f ca="1">IFERROR(__xludf.DUMMYFUNCTION("""COMPUTED_VALUE"""),"")</f>
        <v/>
      </c>
      <c r="H61" s="17" t="str">
        <f ca="1">IFERROR(__xludf.DUMMYFUNCTION("""COMPUTED_VALUE"""),"")</f>
        <v/>
      </c>
      <c r="I61" s="17" t="str">
        <f ca="1">IFERROR(__xludf.DUMMYFUNCTION("""COMPUTED_VALUE"""),"")</f>
        <v/>
      </c>
      <c r="J61" s="17" t="str">
        <f ca="1">IFERROR(__xludf.DUMMYFUNCTION("""COMPUTED_VALUE"""),"")</f>
        <v/>
      </c>
      <c r="K61" s="18" t="str">
        <f ca="1">IFERROR(__xludf.DUMMYFUNCTION("""COMPUTED_VALUE"""),"")</f>
        <v/>
      </c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20"/>
      <c r="W61" s="20"/>
      <c r="X61" s="20"/>
      <c r="Y61" s="20"/>
      <c r="Z61" s="21"/>
      <c r="AA61" s="22"/>
      <c r="AB61" s="23"/>
    </row>
    <row r="62" spans="1:28" ht="13.5" customHeight="1" x14ac:dyDescent="0.35">
      <c r="A62" s="24" t="str">
        <f ca="1">IFERROR(__xludf.DUMMYFUNCTION("""COMPUTED_VALUE"""),"")</f>
        <v/>
      </c>
      <c r="B62" s="28" t="str">
        <f ca="1">IFERROR(__xludf.DUMMYFUNCTION("""COMPUTED_VALUE"""),"")</f>
        <v/>
      </c>
      <c r="C62" s="27" t="str">
        <f ca="1">IFERROR(__xludf.DUMMYFUNCTION("""COMPUTED_VALUE"""),"")</f>
        <v/>
      </c>
      <c r="D62" s="27" t="str">
        <f ca="1">IFERROR(__xludf.DUMMYFUNCTION("""COMPUTED_VALUE"""),"")</f>
        <v/>
      </c>
      <c r="E62" s="15" t="str">
        <f ca="1">IFERROR(__xludf.DUMMYFUNCTION("""COMPUTED_VALUE"""),"")</f>
        <v/>
      </c>
      <c r="F62" s="51" t="str">
        <f ca="1">IFERROR(__xludf.DUMMYFUNCTION("""COMPUTED_VALUE"""),"")</f>
        <v/>
      </c>
      <c r="G62" s="16" t="str">
        <f ca="1">IFERROR(__xludf.DUMMYFUNCTION("""COMPUTED_VALUE"""),"")</f>
        <v/>
      </c>
      <c r="H62" s="17" t="str">
        <f ca="1">IFERROR(__xludf.DUMMYFUNCTION("""COMPUTED_VALUE"""),"")</f>
        <v/>
      </c>
      <c r="I62" s="17" t="str">
        <f ca="1">IFERROR(__xludf.DUMMYFUNCTION("""COMPUTED_VALUE"""),"")</f>
        <v/>
      </c>
      <c r="J62" s="17" t="str">
        <f ca="1">IFERROR(__xludf.DUMMYFUNCTION("""COMPUTED_VALUE"""),"")</f>
        <v/>
      </c>
      <c r="K62" s="18" t="str">
        <f ca="1">IFERROR(__xludf.DUMMYFUNCTION("""COMPUTED_VALUE"""),"")</f>
        <v/>
      </c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20"/>
      <c r="W62" s="20"/>
      <c r="X62" s="20"/>
      <c r="Y62" s="20"/>
      <c r="Z62" s="21"/>
      <c r="AA62" s="22"/>
      <c r="AB62" s="23"/>
    </row>
    <row r="63" spans="1:28" ht="13.5" customHeight="1" x14ac:dyDescent="0.35">
      <c r="A63" s="24" t="str">
        <f ca="1">IFERROR(__xludf.DUMMYFUNCTION("""COMPUTED_VALUE"""),"")</f>
        <v/>
      </c>
      <c r="B63" s="28" t="str">
        <f ca="1">IFERROR(__xludf.DUMMYFUNCTION("""COMPUTED_VALUE"""),"")</f>
        <v/>
      </c>
      <c r="C63" s="27" t="str">
        <f ca="1">IFERROR(__xludf.DUMMYFUNCTION("""COMPUTED_VALUE"""),"")</f>
        <v/>
      </c>
      <c r="D63" s="27" t="str">
        <f ca="1">IFERROR(__xludf.DUMMYFUNCTION("""COMPUTED_VALUE"""),"")</f>
        <v/>
      </c>
      <c r="E63" s="15" t="str">
        <f ca="1">IFERROR(__xludf.DUMMYFUNCTION("""COMPUTED_VALUE"""),"")</f>
        <v/>
      </c>
      <c r="F63" s="51" t="str">
        <f ca="1">IFERROR(__xludf.DUMMYFUNCTION("""COMPUTED_VALUE"""),"")</f>
        <v/>
      </c>
      <c r="G63" s="16" t="str">
        <f ca="1">IFERROR(__xludf.DUMMYFUNCTION("""COMPUTED_VALUE"""),"")</f>
        <v/>
      </c>
      <c r="H63" s="17" t="str">
        <f ca="1">IFERROR(__xludf.DUMMYFUNCTION("""COMPUTED_VALUE"""),"")</f>
        <v/>
      </c>
      <c r="I63" s="17" t="str">
        <f ca="1">IFERROR(__xludf.DUMMYFUNCTION("""COMPUTED_VALUE"""),"")</f>
        <v/>
      </c>
      <c r="J63" s="17" t="str">
        <f ca="1">IFERROR(__xludf.DUMMYFUNCTION("""COMPUTED_VALUE"""),"")</f>
        <v/>
      </c>
      <c r="K63" s="18" t="str">
        <f ca="1">IFERROR(__xludf.DUMMYFUNCTION("""COMPUTED_VALUE"""),"")</f>
        <v/>
      </c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20"/>
      <c r="W63" s="20"/>
      <c r="X63" s="20"/>
      <c r="Y63" s="20"/>
      <c r="Z63" s="21"/>
      <c r="AA63" s="22"/>
      <c r="AB63" s="23"/>
    </row>
    <row r="64" spans="1:28" ht="13.5" customHeight="1" x14ac:dyDescent="0.35">
      <c r="A64" s="24" t="str">
        <f ca="1">IFERROR(__xludf.DUMMYFUNCTION("""COMPUTED_VALUE"""),"")</f>
        <v/>
      </c>
      <c r="B64" s="28" t="str">
        <f ca="1">IFERROR(__xludf.DUMMYFUNCTION("""COMPUTED_VALUE"""),"")</f>
        <v/>
      </c>
      <c r="C64" s="27" t="str">
        <f ca="1">IFERROR(__xludf.DUMMYFUNCTION("""COMPUTED_VALUE"""),"")</f>
        <v/>
      </c>
      <c r="D64" s="27" t="str">
        <f ca="1">IFERROR(__xludf.DUMMYFUNCTION("""COMPUTED_VALUE"""),"")</f>
        <v/>
      </c>
      <c r="E64" s="15" t="str">
        <f ca="1">IFERROR(__xludf.DUMMYFUNCTION("""COMPUTED_VALUE"""),"")</f>
        <v/>
      </c>
      <c r="F64" s="51" t="str">
        <f ca="1">IFERROR(__xludf.DUMMYFUNCTION("""COMPUTED_VALUE"""),"")</f>
        <v/>
      </c>
      <c r="G64" s="16" t="str">
        <f ca="1">IFERROR(__xludf.DUMMYFUNCTION("""COMPUTED_VALUE"""),"")</f>
        <v/>
      </c>
      <c r="H64" s="17" t="str">
        <f ca="1">IFERROR(__xludf.DUMMYFUNCTION("""COMPUTED_VALUE"""),"")</f>
        <v/>
      </c>
      <c r="I64" s="17" t="str">
        <f ca="1">IFERROR(__xludf.DUMMYFUNCTION("""COMPUTED_VALUE"""),"")</f>
        <v/>
      </c>
      <c r="J64" s="17" t="str">
        <f ca="1">IFERROR(__xludf.DUMMYFUNCTION("""COMPUTED_VALUE"""),"")</f>
        <v/>
      </c>
      <c r="K64" s="18" t="str">
        <f ca="1">IFERROR(__xludf.DUMMYFUNCTION("""COMPUTED_VALUE"""),"")</f>
        <v/>
      </c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20"/>
      <c r="W64" s="20"/>
      <c r="X64" s="20"/>
      <c r="Y64" s="20"/>
      <c r="Z64" s="21"/>
      <c r="AA64" s="22"/>
      <c r="AB64" s="23"/>
    </row>
    <row r="65" spans="1:28" ht="13.5" customHeight="1" x14ac:dyDescent="0.35">
      <c r="A65" s="24" t="str">
        <f ca="1">IFERROR(__xludf.DUMMYFUNCTION("""COMPUTED_VALUE"""),"")</f>
        <v/>
      </c>
      <c r="B65" s="28" t="str">
        <f ca="1">IFERROR(__xludf.DUMMYFUNCTION("""COMPUTED_VALUE"""),"")</f>
        <v/>
      </c>
      <c r="C65" s="27" t="str">
        <f ca="1">IFERROR(__xludf.DUMMYFUNCTION("""COMPUTED_VALUE"""),"")</f>
        <v/>
      </c>
      <c r="D65" s="27" t="str">
        <f ca="1">IFERROR(__xludf.DUMMYFUNCTION("""COMPUTED_VALUE"""),"")</f>
        <v/>
      </c>
      <c r="E65" s="15" t="str">
        <f ca="1">IFERROR(__xludf.DUMMYFUNCTION("""COMPUTED_VALUE"""),"")</f>
        <v/>
      </c>
      <c r="F65" s="51" t="str">
        <f ca="1">IFERROR(__xludf.DUMMYFUNCTION("""COMPUTED_VALUE"""),"")</f>
        <v/>
      </c>
      <c r="G65" s="16" t="str">
        <f ca="1">IFERROR(__xludf.DUMMYFUNCTION("""COMPUTED_VALUE"""),"")</f>
        <v/>
      </c>
      <c r="H65" s="17" t="str">
        <f ca="1">IFERROR(__xludf.DUMMYFUNCTION("""COMPUTED_VALUE"""),"")</f>
        <v/>
      </c>
      <c r="I65" s="17" t="str">
        <f ca="1">IFERROR(__xludf.DUMMYFUNCTION("""COMPUTED_VALUE"""),"")</f>
        <v/>
      </c>
      <c r="J65" s="17" t="str">
        <f ca="1">IFERROR(__xludf.DUMMYFUNCTION("""COMPUTED_VALUE"""),"")</f>
        <v/>
      </c>
      <c r="K65" s="18" t="str">
        <f ca="1">IFERROR(__xludf.DUMMYFUNCTION("""COMPUTED_VALUE"""),"")</f>
        <v/>
      </c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20"/>
      <c r="W65" s="20"/>
      <c r="X65" s="20"/>
      <c r="Y65" s="20"/>
      <c r="Z65" s="21"/>
      <c r="AA65" s="22"/>
      <c r="AB65" s="23"/>
    </row>
    <row r="66" spans="1:28" ht="13.5" customHeight="1" x14ac:dyDescent="0.35">
      <c r="A66" s="24" t="str">
        <f ca="1">IFERROR(__xludf.DUMMYFUNCTION("""COMPUTED_VALUE"""),"")</f>
        <v/>
      </c>
      <c r="B66" s="28" t="str">
        <f ca="1">IFERROR(__xludf.DUMMYFUNCTION("""COMPUTED_VALUE"""),"")</f>
        <v/>
      </c>
      <c r="C66" s="27" t="str">
        <f ca="1">IFERROR(__xludf.DUMMYFUNCTION("""COMPUTED_VALUE"""),"")</f>
        <v/>
      </c>
      <c r="D66" s="27" t="str">
        <f ca="1">IFERROR(__xludf.DUMMYFUNCTION("""COMPUTED_VALUE"""),"")</f>
        <v/>
      </c>
      <c r="E66" s="15" t="str">
        <f ca="1">IFERROR(__xludf.DUMMYFUNCTION("""COMPUTED_VALUE"""),"")</f>
        <v/>
      </c>
      <c r="F66" s="51" t="str">
        <f ca="1">IFERROR(__xludf.DUMMYFUNCTION("""COMPUTED_VALUE"""),"")</f>
        <v/>
      </c>
      <c r="G66" s="16" t="str">
        <f ca="1">IFERROR(__xludf.DUMMYFUNCTION("""COMPUTED_VALUE"""),"")</f>
        <v/>
      </c>
      <c r="H66" s="17" t="str">
        <f ca="1">IFERROR(__xludf.DUMMYFUNCTION("""COMPUTED_VALUE"""),"")</f>
        <v/>
      </c>
      <c r="I66" s="17" t="str">
        <f ca="1">IFERROR(__xludf.DUMMYFUNCTION("""COMPUTED_VALUE"""),"")</f>
        <v/>
      </c>
      <c r="J66" s="17" t="str">
        <f ca="1">IFERROR(__xludf.DUMMYFUNCTION("""COMPUTED_VALUE"""),"")</f>
        <v/>
      </c>
      <c r="K66" s="18" t="str">
        <f ca="1">IFERROR(__xludf.DUMMYFUNCTION("""COMPUTED_VALUE"""),"")</f>
        <v/>
      </c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20"/>
      <c r="W66" s="20"/>
      <c r="X66" s="20"/>
      <c r="Y66" s="20"/>
      <c r="Z66" s="21"/>
      <c r="AA66" s="22"/>
      <c r="AB66" s="23"/>
    </row>
    <row r="67" spans="1:28" ht="13.5" customHeight="1" x14ac:dyDescent="0.35">
      <c r="A67" s="24" t="str">
        <f ca="1">IFERROR(__xludf.DUMMYFUNCTION("""COMPUTED_VALUE"""),"")</f>
        <v/>
      </c>
      <c r="B67" s="28" t="str">
        <f ca="1">IFERROR(__xludf.DUMMYFUNCTION("""COMPUTED_VALUE"""),"")</f>
        <v/>
      </c>
      <c r="C67" s="27" t="str">
        <f ca="1">IFERROR(__xludf.DUMMYFUNCTION("""COMPUTED_VALUE"""),"")</f>
        <v/>
      </c>
      <c r="D67" s="27" t="str">
        <f ca="1">IFERROR(__xludf.DUMMYFUNCTION("""COMPUTED_VALUE"""),"")</f>
        <v/>
      </c>
      <c r="E67" s="15" t="str">
        <f ca="1">IFERROR(__xludf.DUMMYFUNCTION("""COMPUTED_VALUE"""),"")</f>
        <v/>
      </c>
      <c r="F67" s="51" t="str">
        <f ca="1">IFERROR(__xludf.DUMMYFUNCTION("""COMPUTED_VALUE"""),"")</f>
        <v/>
      </c>
      <c r="G67" s="16" t="str">
        <f ca="1">IFERROR(__xludf.DUMMYFUNCTION("""COMPUTED_VALUE"""),"")</f>
        <v/>
      </c>
      <c r="H67" s="17" t="str">
        <f ca="1">IFERROR(__xludf.DUMMYFUNCTION("""COMPUTED_VALUE"""),"")</f>
        <v/>
      </c>
      <c r="I67" s="17" t="str">
        <f ca="1">IFERROR(__xludf.DUMMYFUNCTION("""COMPUTED_VALUE"""),"")</f>
        <v/>
      </c>
      <c r="J67" s="17" t="str">
        <f ca="1">IFERROR(__xludf.DUMMYFUNCTION("""COMPUTED_VALUE"""),"")</f>
        <v/>
      </c>
      <c r="K67" s="18" t="str">
        <f ca="1">IFERROR(__xludf.DUMMYFUNCTION("""COMPUTED_VALUE"""),"")</f>
        <v/>
      </c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20"/>
      <c r="W67" s="20"/>
      <c r="X67" s="20"/>
      <c r="Y67" s="20"/>
      <c r="Z67" s="21"/>
      <c r="AA67" s="22"/>
      <c r="AB67" s="23"/>
    </row>
    <row r="68" spans="1:28" ht="13.5" customHeight="1" x14ac:dyDescent="0.35">
      <c r="A68" s="24" t="str">
        <f ca="1">IFERROR(__xludf.DUMMYFUNCTION("""COMPUTED_VALUE"""),"")</f>
        <v/>
      </c>
      <c r="B68" s="28" t="str">
        <f ca="1">IFERROR(__xludf.DUMMYFUNCTION("""COMPUTED_VALUE"""),"")</f>
        <v/>
      </c>
      <c r="C68" s="27" t="str">
        <f ca="1">IFERROR(__xludf.DUMMYFUNCTION("""COMPUTED_VALUE"""),"")</f>
        <v/>
      </c>
      <c r="D68" s="27" t="str">
        <f ca="1">IFERROR(__xludf.DUMMYFUNCTION("""COMPUTED_VALUE"""),"")</f>
        <v/>
      </c>
      <c r="E68" s="15" t="str">
        <f ca="1">IFERROR(__xludf.DUMMYFUNCTION("""COMPUTED_VALUE"""),"")</f>
        <v/>
      </c>
      <c r="F68" s="51" t="str">
        <f ca="1">IFERROR(__xludf.DUMMYFUNCTION("""COMPUTED_VALUE"""),"")</f>
        <v/>
      </c>
      <c r="G68" s="16" t="str">
        <f ca="1">IFERROR(__xludf.DUMMYFUNCTION("""COMPUTED_VALUE"""),"")</f>
        <v/>
      </c>
      <c r="H68" s="17" t="str">
        <f ca="1">IFERROR(__xludf.DUMMYFUNCTION("""COMPUTED_VALUE"""),"")</f>
        <v/>
      </c>
      <c r="I68" s="17" t="str">
        <f ca="1">IFERROR(__xludf.DUMMYFUNCTION("""COMPUTED_VALUE"""),"")</f>
        <v/>
      </c>
      <c r="J68" s="17" t="str">
        <f ca="1">IFERROR(__xludf.DUMMYFUNCTION("""COMPUTED_VALUE"""),"")</f>
        <v/>
      </c>
      <c r="K68" s="18" t="str">
        <f ca="1">IFERROR(__xludf.DUMMYFUNCTION("""COMPUTED_VALUE"""),"")</f>
        <v/>
      </c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20"/>
      <c r="W68" s="20"/>
      <c r="X68" s="20"/>
      <c r="Y68" s="20"/>
      <c r="Z68" s="21"/>
      <c r="AA68" s="22"/>
      <c r="AB68" s="23"/>
    </row>
    <row r="69" spans="1:28" ht="13.5" customHeight="1" x14ac:dyDescent="0.35">
      <c r="A69" s="24" t="str">
        <f ca="1">IFERROR(__xludf.DUMMYFUNCTION("""COMPUTED_VALUE"""),"")</f>
        <v/>
      </c>
      <c r="B69" s="28" t="str">
        <f ca="1">IFERROR(__xludf.DUMMYFUNCTION("""COMPUTED_VALUE"""),"")</f>
        <v/>
      </c>
      <c r="C69" s="27" t="str">
        <f ca="1">IFERROR(__xludf.DUMMYFUNCTION("""COMPUTED_VALUE"""),"")</f>
        <v/>
      </c>
      <c r="D69" s="27" t="str">
        <f ca="1">IFERROR(__xludf.DUMMYFUNCTION("""COMPUTED_VALUE"""),"")</f>
        <v/>
      </c>
      <c r="E69" s="15" t="str">
        <f ca="1">IFERROR(__xludf.DUMMYFUNCTION("""COMPUTED_VALUE"""),"")</f>
        <v/>
      </c>
      <c r="F69" s="51" t="str">
        <f ca="1">IFERROR(__xludf.DUMMYFUNCTION("""COMPUTED_VALUE"""),"")</f>
        <v/>
      </c>
      <c r="G69" s="16" t="str">
        <f ca="1">IFERROR(__xludf.DUMMYFUNCTION("""COMPUTED_VALUE"""),"")</f>
        <v/>
      </c>
      <c r="H69" s="17" t="str">
        <f ca="1">IFERROR(__xludf.DUMMYFUNCTION("""COMPUTED_VALUE"""),"")</f>
        <v/>
      </c>
      <c r="I69" s="17" t="str">
        <f ca="1">IFERROR(__xludf.DUMMYFUNCTION("""COMPUTED_VALUE"""),"")</f>
        <v/>
      </c>
      <c r="J69" s="17" t="str">
        <f ca="1">IFERROR(__xludf.DUMMYFUNCTION("""COMPUTED_VALUE"""),"")</f>
        <v/>
      </c>
      <c r="K69" s="18" t="str">
        <f ca="1">IFERROR(__xludf.DUMMYFUNCTION("""COMPUTED_VALUE"""),"")</f>
        <v/>
      </c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20"/>
      <c r="W69" s="20"/>
      <c r="X69" s="20"/>
      <c r="Y69" s="20"/>
      <c r="Z69" s="21"/>
      <c r="AA69" s="22"/>
      <c r="AB69" s="23"/>
    </row>
    <row r="70" spans="1:28" ht="13.5" customHeight="1" x14ac:dyDescent="0.35">
      <c r="A70" s="24" t="str">
        <f ca="1">IFERROR(__xludf.DUMMYFUNCTION("""COMPUTED_VALUE"""),"")</f>
        <v/>
      </c>
      <c r="B70" s="28" t="str">
        <f ca="1">IFERROR(__xludf.DUMMYFUNCTION("""COMPUTED_VALUE"""),"")</f>
        <v/>
      </c>
      <c r="C70" s="27" t="str">
        <f ca="1">IFERROR(__xludf.DUMMYFUNCTION("""COMPUTED_VALUE"""),"")</f>
        <v/>
      </c>
      <c r="D70" s="27" t="str">
        <f ca="1">IFERROR(__xludf.DUMMYFUNCTION("""COMPUTED_VALUE"""),"")</f>
        <v/>
      </c>
      <c r="E70" s="15" t="str">
        <f ca="1">IFERROR(__xludf.DUMMYFUNCTION("""COMPUTED_VALUE"""),"")</f>
        <v/>
      </c>
      <c r="F70" s="51" t="str">
        <f ca="1">IFERROR(__xludf.DUMMYFUNCTION("""COMPUTED_VALUE"""),"")</f>
        <v/>
      </c>
      <c r="G70" s="16" t="str">
        <f ca="1">IFERROR(__xludf.DUMMYFUNCTION("""COMPUTED_VALUE"""),"")</f>
        <v/>
      </c>
      <c r="H70" s="17" t="str">
        <f ca="1">IFERROR(__xludf.DUMMYFUNCTION("""COMPUTED_VALUE"""),"")</f>
        <v/>
      </c>
      <c r="I70" s="17" t="str">
        <f ca="1">IFERROR(__xludf.DUMMYFUNCTION("""COMPUTED_VALUE"""),"")</f>
        <v/>
      </c>
      <c r="J70" s="17" t="str">
        <f ca="1">IFERROR(__xludf.DUMMYFUNCTION("""COMPUTED_VALUE"""),"")</f>
        <v/>
      </c>
      <c r="K70" s="18" t="str">
        <f ca="1">IFERROR(__xludf.DUMMYFUNCTION("""COMPUTED_VALUE"""),"")</f>
        <v/>
      </c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20"/>
      <c r="W70" s="20"/>
      <c r="X70" s="20"/>
      <c r="Y70" s="20"/>
      <c r="Z70" s="21"/>
      <c r="AA70" s="22"/>
      <c r="AB70" s="23"/>
    </row>
    <row r="71" spans="1:28" ht="13.5" customHeight="1" x14ac:dyDescent="0.35">
      <c r="A71" s="24" t="str">
        <f ca="1">IFERROR(__xludf.DUMMYFUNCTION("""COMPUTED_VALUE"""),"")</f>
        <v/>
      </c>
      <c r="B71" s="28" t="str">
        <f ca="1">IFERROR(__xludf.DUMMYFUNCTION("""COMPUTED_VALUE"""),"")</f>
        <v/>
      </c>
      <c r="C71" s="27" t="str">
        <f ca="1">IFERROR(__xludf.DUMMYFUNCTION("""COMPUTED_VALUE"""),"")</f>
        <v/>
      </c>
      <c r="D71" s="27" t="str">
        <f ca="1">IFERROR(__xludf.DUMMYFUNCTION("""COMPUTED_VALUE"""),"")</f>
        <v/>
      </c>
      <c r="E71" s="15" t="str">
        <f ca="1">IFERROR(__xludf.DUMMYFUNCTION("""COMPUTED_VALUE"""),"")</f>
        <v/>
      </c>
      <c r="F71" s="51" t="str">
        <f ca="1">IFERROR(__xludf.DUMMYFUNCTION("""COMPUTED_VALUE"""),"")</f>
        <v/>
      </c>
      <c r="G71" s="16" t="str">
        <f ca="1">IFERROR(__xludf.DUMMYFUNCTION("""COMPUTED_VALUE"""),"")</f>
        <v/>
      </c>
      <c r="H71" s="17" t="str">
        <f ca="1">IFERROR(__xludf.DUMMYFUNCTION("""COMPUTED_VALUE"""),"")</f>
        <v/>
      </c>
      <c r="I71" s="17" t="str">
        <f ca="1">IFERROR(__xludf.DUMMYFUNCTION("""COMPUTED_VALUE"""),"")</f>
        <v/>
      </c>
      <c r="J71" s="17" t="str">
        <f ca="1">IFERROR(__xludf.DUMMYFUNCTION("""COMPUTED_VALUE"""),"")</f>
        <v/>
      </c>
      <c r="K71" s="18" t="str">
        <f ca="1">IFERROR(__xludf.DUMMYFUNCTION("""COMPUTED_VALUE"""),"")</f>
        <v/>
      </c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20"/>
      <c r="W71" s="20"/>
      <c r="X71" s="20"/>
      <c r="Y71" s="20"/>
      <c r="Z71" s="21"/>
      <c r="AA71" s="22"/>
      <c r="AB71" s="23"/>
    </row>
    <row r="72" spans="1:28" ht="13.5" customHeight="1" x14ac:dyDescent="0.35">
      <c r="A72" s="24" t="str">
        <f ca="1">IFERROR(__xludf.DUMMYFUNCTION("""COMPUTED_VALUE"""),"")</f>
        <v/>
      </c>
      <c r="B72" s="28" t="str">
        <f ca="1">IFERROR(__xludf.DUMMYFUNCTION("""COMPUTED_VALUE"""),"")</f>
        <v/>
      </c>
      <c r="C72" s="27" t="str">
        <f ca="1">IFERROR(__xludf.DUMMYFUNCTION("""COMPUTED_VALUE"""),"")</f>
        <v/>
      </c>
      <c r="D72" s="27" t="str">
        <f ca="1">IFERROR(__xludf.DUMMYFUNCTION("""COMPUTED_VALUE"""),"")</f>
        <v/>
      </c>
      <c r="E72" s="15" t="str">
        <f ca="1">IFERROR(__xludf.DUMMYFUNCTION("""COMPUTED_VALUE"""),"")</f>
        <v/>
      </c>
      <c r="F72" s="51" t="str">
        <f ca="1">IFERROR(__xludf.DUMMYFUNCTION("""COMPUTED_VALUE"""),"")</f>
        <v/>
      </c>
      <c r="G72" s="16" t="str">
        <f ca="1">IFERROR(__xludf.DUMMYFUNCTION("""COMPUTED_VALUE"""),"")</f>
        <v/>
      </c>
      <c r="H72" s="17" t="str">
        <f ca="1">IFERROR(__xludf.DUMMYFUNCTION("""COMPUTED_VALUE"""),"")</f>
        <v/>
      </c>
      <c r="I72" s="17" t="str">
        <f ca="1">IFERROR(__xludf.DUMMYFUNCTION("""COMPUTED_VALUE"""),"")</f>
        <v/>
      </c>
      <c r="J72" s="17" t="str">
        <f ca="1">IFERROR(__xludf.DUMMYFUNCTION("""COMPUTED_VALUE"""),"")</f>
        <v/>
      </c>
      <c r="K72" s="18" t="str">
        <f ca="1">IFERROR(__xludf.DUMMYFUNCTION("""COMPUTED_VALUE"""),"")</f>
        <v/>
      </c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20"/>
      <c r="W72" s="20"/>
      <c r="X72" s="20"/>
      <c r="Y72" s="20"/>
      <c r="Z72" s="21"/>
      <c r="AA72" s="22"/>
      <c r="AB72" s="23"/>
    </row>
    <row r="73" spans="1:28" ht="13.5" customHeight="1" x14ac:dyDescent="0.35">
      <c r="A73" s="24" t="str">
        <f ca="1">IFERROR(__xludf.DUMMYFUNCTION("""COMPUTED_VALUE"""),"")</f>
        <v/>
      </c>
      <c r="B73" s="28" t="str">
        <f ca="1">IFERROR(__xludf.DUMMYFUNCTION("""COMPUTED_VALUE"""),"")</f>
        <v/>
      </c>
      <c r="C73" s="27" t="str">
        <f ca="1">IFERROR(__xludf.DUMMYFUNCTION("""COMPUTED_VALUE"""),"")</f>
        <v/>
      </c>
      <c r="D73" s="27" t="str">
        <f ca="1">IFERROR(__xludf.DUMMYFUNCTION("""COMPUTED_VALUE"""),"")</f>
        <v/>
      </c>
      <c r="E73" s="15" t="str">
        <f ca="1">IFERROR(__xludf.DUMMYFUNCTION("""COMPUTED_VALUE"""),"")</f>
        <v/>
      </c>
      <c r="F73" s="51" t="str">
        <f ca="1">IFERROR(__xludf.DUMMYFUNCTION("""COMPUTED_VALUE"""),"")</f>
        <v/>
      </c>
      <c r="G73" s="16" t="str">
        <f ca="1">IFERROR(__xludf.DUMMYFUNCTION("""COMPUTED_VALUE"""),"")</f>
        <v/>
      </c>
      <c r="H73" s="17" t="str">
        <f ca="1">IFERROR(__xludf.DUMMYFUNCTION("""COMPUTED_VALUE"""),"")</f>
        <v/>
      </c>
      <c r="I73" s="17" t="str">
        <f ca="1">IFERROR(__xludf.DUMMYFUNCTION("""COMPUTED_VALUE"""),"")</f>
        <v/>
      </c>
      <c r="J73" s="17" t="str">
        <f ca="1">IFERROR(__xludf.DUMMYFUNCTION("""COMPUTED_VALUE"""),"")</f>
        <v/>
      </c>
      <c r="K73" s="18" t="str">
        <f ca="1">IFERROR(__xludf.DUMMYFUNCTION("""COMPUTED_VALUE"""),"")</f>
        <v/>
      </c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20"/>
      <c r="W73" s="20"/>
      <c r="X73" s="20"/>
      <c r="Y73" s="20"/>
      <c r="Z73" s="21"/>
      <c r="AA73" s="22"/>
      <c r="AB73" s="23"/>
    </row>
    <row r="74" spans="1:28" ht="13.5" customHeight="1" x14ac:dyDescent="0.35">
      <c r="A74" s="24" t="str">
        <f ca="1">IFERROR(__xludf.DUMMYFUNCTION("""COMPUTED_VALUE"""),"")</f>
        <v/>
      </c>
      <c r="B74" s="28" t="str">
        <f ca="1">IFERROR(__xludf.DUMMYFUNCTION("""COMPUTED_VALUE"""),"")</f>
        <v/>
      </c>
      <c r="C74" s="27" t="str">
        <f ca="1">IFERROR(__xludf.DUMMYFUNCTION("""COMPUTED_VALUE"""),"")</f>
        <v/>
      </c>
      <c r="D74" s="27" t="str">
        <f ca="1">IFERROR(__xludf.DUMMYFUNCTION("""COMPUTED_VALUE"""),"")</f>
        <v/>
      </c>
      <c r="E74" s="15" t="str">
        <f ca="1">IFERROR(__xludf.DUMMYFUNCTION("""COMPUTED_VALUE"""),"")</f>
        <v/>
      </c>
      <c r="F74" s="51" t="str">
        <f ca="1">IFERROR(__xludf.DUMMYFUNCTION("""COMPUTED_VALUE"""),"")</f>
        <v/>
      </c>
      <c r="G74" s="16" t="str">
        <f ca="1">IFERROR(__xludf.DUMMYFUNCTION("""COMPUTED_VALUE"""),"")</f>
        <v/>
      </c>
      <c r="H74" s="17" t="str">
        <f ca="1">IFERROR(__xludf.DUMMYFUNCTION("""COMPUTED_VALUE"""),"")</f>
        <v/>
      </c>
      <c r="I74" s="17" t="str">
        <f ca="1">IFERROR(__xludf.DUMMYFUNCTION("""COMPUTED_VALUE"""),"")</f>
        <v/>
      </c>
      <c r="J74" s="17" t="str">
        <f ca="1">IFERROR(__xludf.DUMMYFUNCTION("""COMPUTED_VALUE"""),"")</f>
        <v/>
      </c>
      <c r="K74" s="18" t="str">
        <f ca="1">IFERROR(__xludf.DUMMYFUNCTION("""COMPUTED_VALUE"""),"")</f>
        <v/>
      </c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20"/>
      <c r="W74" s="20"/>
      <c r="X74" s="20"/>
      <c r="Y74" s="20"/>
      <c r="Z74" s="21"/>
      <c r="AA74" s="22"/>
      <c r="AB74" s="23"/>
    </row>
    <row r="75" spans="1:28" ht="13.5" customHeight="1" x14ac:dyDescent="0.35">
      <c r="A75" s="24" t="str">
        <f ca="1">IFERROR(__xludf.DUMMYFUNCTION("""COMPUTED_VALUE"""),"")</f>
        <v/>
      </c>
      <c r="B75" s="28" t="str">
        <f ca="1">IFERROR(__xludf.DUMMYFUNCTION("""COMPUTED_VALUE"""),"")</f>
        <v/>
      </c>
      <c r="C75" s="27" t="str">
        <f ca="1">IFERROR(__xludf.DUMMYFUNCTION("""COMPUTED_VALUE"""),"")</f>
        <v/>
      </c>
      <c r="D75" s="27" t="str">
        <f ca="1">IFERROR(__xludf.DUMMYFUNCTION("""COMPUTED_VALUE"""),"")</f>
        <v/>
      </c>
      <c r="E75" s="15" t="str">
        <f ca="1">IFERROR(__xludf.DUMMYFUNCTION("""COMPUTED_VALUE"""),"")</f>
        <v/>
      </c>
      <c r="F75" s="51" t="str">
        <f ca="1">IFERROR(__xludf.DUMMYFUNCTION("""COMPUTED_VALUE"""),"")</f>
        <v/>
      </c>
      <c r="G75" s="16" t="str">
        <f ca="1">IFERROR(__xludf.DUMMYFUNCTION("""COMPUTED_VALUE"""),"")</f>
        <v/>
      </c>
      <c r="H75" s="17" t="str">
        <f ca="1">IFERROR(__xludf.DUMMYFUNCTION("""COMPUTED_VALUE"""),"")</f>
        <v/>
      </c>
      <c r="I75" s="17" t="str">
        <f ca="1">IFERROR(__xludf.DUMMYFUNCTION("""COMPUTED_VALUE"""),"")</f>
        <v/>
      </c>
      <c r="J75" s="17" t="str">
        <f ca="1">IFERROR(__xludf.DUMMYFUNCTION("""COMPUTED_VALUE"""),"")</f>
        <v/>
      </c>
      <c r="K75" s="18" t="str">
        <f ca="1">IFERROR(__xludf.DUMMYFUNCTION("""COMPUTED_VALUE"""),"")</f>
        <v/>
      </c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20"/>
      <c r="W75" s="20"/>
      <c r="X75" s="20"/>
      <c r="Y75" s="20"/>
      <c r="Z75" s="21"/>
      <c r="AA75" s="22"/>
      <c r="AB75" s="23"/>
    </row>
    <row r="76" spans="1:28" ht="13.5" customHeight="1" x14ac:dyDescent="0.35">
      <c r="A76" s="24" t="str">
        <f ca="1">IFERROR(__xludf.DUMMYFUNCTION("""COMPUTED_VALUE"""),"")</f>
        <v/>
      </c>
      <c r="B76" s="28" t="str">
        <f ca="1">IFERROR(__xludf.DUMMYFUNCTION("""COMPUTED_VALUE"""),"")</f>
        <v/>
      </c>
      <c r="C76" s="27" t="str">
        <f ca="1">IFERROR(__xludf.DUMMYFUNCTION("""COMPUTED_VALUE"""),"")</f>
        <v/>
      </c>
      <c r="D76" s="27" t="str">
        <f ca="1">IFERROR(__xludf.DUMMYFUNCTION("""COMPUTED_VALUE"""),"")</f>
        <v/>
      </c>
      <c r="E76" s="15" t="str">
        <f ca="1">IFERROR(__xludf.DUMMYFUNCTION("""COMPUTED_VALUE"""),"")</f>
        <v/>
      </c>
      <c r="F76" s="51" t="str">
        <f ca="1">IFERROR(__xludf.DUMMYFUNCTION("""COMPUTED_VALUE"""),"")</f>
        <v/>
      </c>
      <c r="G76" s="16" t="str">
        <f ca="1">IFERROR(__xludf.DUMMYFUNCTION("""COMPUTED_VALUE"""),"")</f>
        <v/>
      </c>
      <c r="H76" s="17" t="str">
        <f ca="1">IFERROR(__xludf.DUMMYFUNCTION("""COMPUTED_VALUE"""),"")</f>
        <v/>
      </c>
      <c r="I76" s="17" t="str">
        <f ca="1">IFERROR(__xludf.DUMMYFUNCTION("""COMPUTED_VALUE"""),"")</f>
        <v/>
      </c>
      <c r="J76" s="17" t="str">
        <f ca="1">IFERROR(__xludf.DUMMYFUNCTION("""COMPUTED_VALUE"""),"")</f>
        <v/>
      </c>
      <c r="K76" s="18" t="str">
        <f ca="1">IFERROR(__xludf.DUMMYFUNCTION("""COMPUTED_VALUE"""),"")</f>
        <v/>
      </c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20"/>
      <c r="W76" s="20"/>
      <c r="X76" s="20"/>
      <c r="Y76" s="20"/>
      <c r="Z76" s="21"/>
      <c r="AA76" s="22"/>
      <c r="AB76" s="23"/>
    </row>
    <row r="77" spans="1:28" ht="13.5" customHeight="1" x14ac:dyDescent="0.35">
      <c r="A77" s="24" t="str">
        <f ca="1">IFERROR(__xludf.DUMMYFUNCTION("""COMPUTED_VALUE"""),"")</f>
        <v/>
      </c>
      <c r="B77" s="28" t="str">
        <f ca="1">IFERROR(__xludf.DUMMYFUNCTION("""COMPUTED_VALUE"""),"")</f>
        <v/>
      </c>
      <c r="C77" s="27" t="str">
        <f ca="1">IFERROR(__xludf.DUMMYFUNCTION("""COMPUTED_VALUE"""),"")</f>
        <v/>
      </c>
      <c r="D77" s="27" t="str">
        <f ca="1">IFERROR(__xludf.DUMMYFUNCTION("""COMPUTED_VALUE"""),"")</f>
        <v/>
      </c>
      <c r="E77" s="15" t="str">
        <f ca="1">IFERROR(__xludf.DUMMYFUNCTION("""COMPUTED_VALUE"""),"")</f>
        <v/>
      </c>
      <c r="F77" s="51" t="str">
        <f ca="1">IFERROR(__xludf.DUMMYFUNCTION("""COMPUTED_VALUE"""),"")</f>
        <v/>
      </c>
      <c r="G77" s="16" t="str">
        <f ca="1">IFERROR(__xludf.DUMMYFUNCTION("""COMPUTED_VALUE"""),"")</f>
        <v/>
      </c>
      <c r="H77" s="17" t="str">
        <f ca="1">IFERROR(__xludf.DUMMYFUNCTION("""COMPUTED_VALUE"""),"")</f>
        <v/>
      </c>
      <c r="I77" s="17" t="str">
        <f ca="1">IFERROR(__xludf.DUMMYFUNCTION("""COMPUTED_VALUE"""),"")</f>
        <v/>
      </c>
      <c r="J77" s="17" t="str">
        <f ca="1">IFERROR(__xludf.DUMMYFUNCTION("""COMPUTED_VALUE"""),"")</f>
        <v/>
      </c>
      <c r="K77" s="18" t="str">
        <f ca="1">IFERROR(__xludf.DUMMYFUNCTION("""COMPUTED_VALUE"""),"")</f>
        <v/>
      </c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20"/>
      <c r="W77" s="20"/>
      <c r="X77" s="20"/>
      <c r="Y77" s="20"/>
      <c r="Z77" s="21"/>
      <c r="AA77" s="22"/>
      <c r="AB77" s="23"/>
    </row>
    <row r="78" spans="1:28" ht="13.5" customHeight="1" x14ac:dyDescent="0.35">
      <c r="A78" s="24" t="str">
        <f ca="1">IFERROR(__xludf.DUMMYFUNCTION("""COMPUTED_VALUE"""),"")</f>
        <v/>
      </c>
      <c r="B78" s="28" t="str">
        <f ca="1">IFERROR(__xludf.DUMMYFUNCTION("""COMPUTED_VALUE"""),"")</f>
        <v/>
      </c>
      <c r="C78" s="27" t="str">
        <f ca="1">IFERROR(__xludf.DUMMYFUNCTION("""COMPUTED_VALUE"""),"")</f>
        <v/>
      </c>
      <c r="D78" s="27" t="str">
        <f ca="1">IFERROR(__xludf.DUMMYFUNCTION("""COMPUTED_VALUE"""),"")</f>
        <v/>
      </c>
      <c r="E78" s="15" t="str">
        <f ca="1">IFERROR(__xludf.DUMMYFUNCTION("""COMPUTED_VALUE"""),"")</f>
        <v/>
      </c>
      <c r="F78" s="51" t="str">
        <f ca="1">IFERROR(__xludf.DUMMYFUNCTION("""COMPUTED_VALUE"""),"")</f>
        <v/>
      </c>
      <c r="G78" s="16" t="str">
        <f ca="1">IFERROR(__xludf.DUMMYFUNCTION("""COMPUTED_VALUE"""),"")</f>
        <v/>
      </c>
      <c r="H78" s="17" t="str">
        <f ca="1">IFERROR(__xludf.DUMMYFUNCTION("""COMPUTED_VALUE"""),"")</f>
        <v/>
      </c>
      <c r="I78" s="17" t="str">
        <f ca="1">IFERROR(__xludf.DUMMYFUNCTION("""COMPUTED_VALUE"""),"")</f>
        <v/>
      </c>
      <c r="J78" s="17" t="str">
        <f ca="1">IFERROR(__xludf.DUMMYFUNCTION("""COMPUTED_VALUE"""),"")</f>
        <v/>
      </c>
      <c r="K78" s="18" t="str">
        <f ca="1">IFERROR(__xludf.DUMMYFUNCTION("""COMPUTED_VALUE"""),"")</f>
        <v/>
      </c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20"/>
      <c r="W78" s="20"/>
      <c r="X78" s="20"/>
      <c r="Y78" s="20"/>
      <c r="Z78" s="21"/>
      <c r="AA78" s="22"/>
      <c r="AB78" s="23"/>
    </row>
    <row r="79" spans="1:28" ht="13.5" customHeight="1" x14ac:dyDescent="0.35">
      <c r="A79" s="24" t="str">
        <f ca="1">IFERROR(__xludf.DUMMYFUNCTION("""COMPUTED_VALUE"""),"")</f>
        <v/>
      </c>
      <c r="B79" s="28" t="str">
        <f ca="1">IFERROR(__xludf.DUMMYFUNCTION("""COMPUTED_VALUE"""),"")</f>
        <v/>
      </c>
      <c r="C79" s="27" t="str">
        <f ca="1">IFERROR(__xludf.DUMMYFUNCTION("""COMPUTED_VALUE"""),"")</f>
        <v/>
      </c>
      <c r="D79" s="27" t="str">
        <f ca="1">IFERROR(__xludf.DUMMYFUNCTION("""COMPUTED_VALUE"""),"")</f>
        <v/>
      </c>
      <c r="E79" s="15" t="str">
        <f ca="1">IFERROR(__xludf.DUMMYFUNCTION("""COMPUTED_VALUE"""),"")</f>
        <v/>
      </c>
      <c r="F79" s="51" t="str">
        <f ca="1">IFERROR(__xludf.DUMMYFUNCTION("""COMPUTED_VALUE"""),"")</f>
        <v/>
      </c>
      <c r="G79" s="16" t="str">
        <f ca="1">IFERROR(__xludf.DUMMYFUNCTION("""COMPUTED_VALUE"""),"")</f>
        <v/>
      </c>
      <c r="H79" s="17" t="str">
        <f ca="1">IFERROR(__xludf.DUMMYFUNCTION("""COMPUTED_VALUE"""),"")</f>
        <v/>
      </c>
      <c r="I79" s="17" t="str">
        <f ca="1">IFERROR(__xludf.DUMMYFUNCTION("""COMPUTED_VALUE"""),"")</f>
        <v/>
      </c>
      <c r="J79" s="17" t="str">
        <f ca="1">IFERROR(__xludf.DUMMYFUNCTION("""COMPUTED_VALUE"""),"")</f>
        <v/>
      </c>
      <c r="K79" s="18" t="str">
        <f ca="1">IFERROR(__xludf.DUMMYFUNCTION("""COMPUTED_VALUE"""),"")</f>
        <v/>
      </c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20"/>
      <c r="W79" s="20"/>
      <c r="X79" s="20"/>
      <c r="Y79" s="20"/>
      <c r="Z79" s="21"/>
      <c r="AA79" s="22"/>
      <c r="AB79" s="23"/>
    </row>
    <row r="80" spans="1:28" ht="13.5" customHeight="1" x14ac:dyDescent="0.35">
      <c r="A80" s="24" t="str">
        <f ca="1">IFERROR(__xludf.DUMMYFUNCTION("""COMPUTED_VALUE"""),"")</f>
        <v/>
      </c>
      <c r="B80" s="28" t="str">
        <f ca="1">IFERROR(__xludf.DUMMYFUNCTION("""COMPUTED_VALUE"""),"")</f>
        <v/>
      </c>
      <c r="C80" s="27" t="str">
        <f ca="1">IFERROR(__xludf.DUMMYFUNCTION("""COMPUTED_VALUE"""),"")</f>
        <v/>
      </c>
      <c r="D80" s="27" t="str">
        <f ca="1">IFERROR(__xludf.DUMMYFUNCTION("""COMPUTED_VALUE"""),"")</f>
        <v/>
      </c>
      <c r="E80" s="15" t="str">
        <f ca="1">IFERROR(__xludf.DUMMYFUNCTION("""COMPUTED_VALUE"""),"")</f>
        <v/>
      </c>
      <c r="F80" s="51" t="str">
        <f ca="1">IFERROR(__xludf.DUMMYFUNCTION("""COMPUTED_VALUE"""),"")</f>
        <v/>
      </c>
      <c r="G80" s="16" t="str">
        <f ca="1">IFERROR(__xludf.DUMMYFUNCTION("""COMPUTED_VALUE"""),"")</f>
        <v/>
      </c>
      <c r="H80" s="17" t="str">
        <f ca="1">IFERROR(__xludf.DUMMYFUNCTION("""COMPUTED_VALUE"""),"")</f>
        <v/>
      </c>
      <c r="I80" s="17" t="str">
        <f ca="1">IFERROR(__xludf.DUMMYFUNCTION("""COMPUTED_VALUE"""),"")</f>
        <v/>
      </c>
      <c r="J80" s="17" t="str">
        <f ca="1">IFERROR(__xludf.DUMMYFUNCTION("""COMPUTED_VALUE"""),"")</f>
        <v/>
      </c>
      <c r="K80" s="18" t="str">
        <f ca="1">IFERROR(__xludf.DUMMYFUNCTION("""COMPUTED_VALUE"""),"")</f>
        <v/>
      </c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20"/>
      <c r="W80" s="20"/>
      <c r="X80" s="20"/>
      <c r="Y80" s="20"/>
      <c r="Z80" s="21"/>
      <c r="AA80" s="22"/>
      <c r="AB80" s="23"/>
    </row>
    <row r="81" spans="1:28" ht="13.5" customHeight="1" x14ac:dyDescent="0.35">
      <c r="A81" s="24" t="str">
        <f ca="1">IFERROR(__xludf.DUMMYFUNCTION("""COMPUTED_VALUE"""),"")</f>
        <v/>
      </c>
      <c r="B81" s="28" t="str">
        <f ca="1">IFERROR(__xludf.DUMMYFUNCTION("""COMPUTED_VALUE"""),"")</f>
        <v/>
      </c>
      <c r="C81" s="27" t="str">
        <f ca="1">IFERROR(__xludf.DUMMYFUNCTION("""COMPUTED_VALUE"""),"")</f>
        <v/>
      </c>
      <c r="D81" s="27" t="str">
        <f ca="1">IFERROR(__xludf.DUMMYFUNCTION("""COMPUTED_VALUE"""),"")</f>
        <v/>
      </c>
      <c r="E81" s="15" t="str">
        <f ca="1">IFERROR(__xludf.DUMMYFUNCTION("""COMPUTED_VALUE"""),"")</f>
        <v/>
      </c>
      <c r="F81" s="51" t="str">
        <f ca="1">IFERROR(__xludf.DUMMYFUNCTION("""COMPUTED_VALUE"""),"")</f>
        <v/>
      </c>
      <c r="G81" s="16" t="str">
        <f ca="1">IFERROR(__xludf.DUMMYFUNCTION("""COMPUTED_VALUE"""),"")</f>
        <v/>
      </c>
      <c r="H81" s="17" t="str">
        <f ca="1">IFERROR(__xludf.DUMMYFUNCTION("""COMPUTED_VALUE"""),"")</f>
        <v/>
      </c>
      <c r="I81" s="17" t="str">
        <f ca="1">IFERROR(__xludf.DUMMYFUNCTION("""COMPUTED_VALUE"""),"")</f>
        <v/>
      </c>
      <c r="J81" s="17" t="str">
        <f ca="1">IFERROR(__xludf.DUMMYFUNCTION("""COMPUTED_VALUE"""),"")</f>
        <v/>
      </c>
      <c r="K81" s="18" t="str">
        <f ca="1">IFERROR(__xludf.DUMMYFUNCTION("""COMPUTED_VALUE"""),"")</f>
        <v/>
      </c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20"/>
      <c r="W81" s="20"/>
      <c r="X81" s="20"/>
      <c r="Y81" s="20"/>
      <c r="Z81" s="21"/>
      <c r="AA81" s="22"/>
      <c r="AB81" s="23"/>
    </row>
    <row r="82" spans="1:28" ht="13.5" customHeight="1" x14ac:dyDescent="0.35">
      <c r="A82" s="24" t="str">
        <f ca="1">IFERROR(__xludf.DUMMYFUNCTION("""COMPUTED_VALUE"""),"")</f>
        <v/>
      </c>
      <c r="B82" s="28" t="str">
        <f ca="1">IFERROR(__xludf.DUMMYFUNCTION("""COMPUTED_VALUE"""),"")</f>
        <v/>
      </c>
      <c r="C82" s="27" t="str">
        <f ca="1">IFERROR(__xludf.DUMMYFUNCTION("""COMPUTED_VALUE"""),"")</f>
        <v/>
      </c>
      <c r="D82" s="27" t="str">
        <f ca="1">IFERROR(__xludf.DUMMYFUNCTION("""COMPUTED_VALUE"""),"")</f>
        <v/>
      </c>
      <c r="E82" s="15" t="str">
        <f ca="1">IFERROR(__xludf.DUMMYFUNCTION("""COMPUTED_VALUE"""),"")</f>
        <v/>
      </c>
      <c r="F82" s="51" t="str">
        <f ca="1">IFERROR(__xludf.DUMMYFUNCTION("""COMPUTED_VALUE"""),"")</f>
        <v/>
      </c>
      <c r="G82" s="16" t="str">
        <f ca="1">IFERROR(__xludf.DUMMYFUNCTION("""COMPUTED_VALUE"""),"")</f>
        <v/>
      </c>
      <c r="H82" s="17" t="str">
        <f ca="1">IFERROR(__xludf.DUMMYFUNCTION("""COMPUTED_VALUE"""),"")</f>
        <v/>
      </c>
      <c r="I82" s="17" t="str">
        <f ca="1">IFERROR(__xludf.DUMMYFUNCTION("""COMPUTED_VALUE"""),"")</f>
        <v/>
      </c>
      <c r="J82" s="17" t="str">
        <f ca="1">IFERROR(__xludf.DUMMYFUNCTION("""COMPUTED_VALUE"""),"")</f>
        <v/>
      </c>
      <c r="K82" s="18" t="str">
        <f ca="1">IFERROR(__xludf.DUMMYFUNCTION("""COMPUTED_VALUE"""),"")</f>
        <v/>
      </c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20"/>
      <c r="W82" s="20"/>
      <c r="X82" s="20"/>
      <c r="Y82" s="20"/>
      <c r="Z82" s="21"/>
      <c r="AA82" s="22"/>
      <c r="AB82" s="23"/>
    </row>
    <row r="83" spans="1:28" ht="13.5" customHeight="1" x14ac:dyDescent="0.35">
      <c r="A83" s="24" t="str">
        <f ca="1">IFERROR(__xludf.DUMMYFUNCTION("""COMPUTED_VALUE"""),"")</f>
        <v/>
      </c>
      <c r="B83" s="28" t="str">
        <f ca="1">IFERROR(__xludf.DUMMYFUNCTION("""COMPUTED_VALUE"""),"")</f>
        <v/>
      </c>
      <c r="C83" s="27" t="str">
        <f ca="1">IFERROR(__xludf.DUMMYFUNCTION("""COMPUTED_VALUE"""),"")</f>
        <v/>
      </c>
      <c r="D83" s="27" t="str">
        <f ca="1">IFERROR(__xludf.DUMMYFUNCTION("""COMPUTED_VALUE"""),"")</f>
        <v/>
      </c>
      <c r="E83" s="15" t="str">
        <f ca="1">IFERROR(__xludf.DUMMYFUNCTION("""COMPUTED_VALUE"""),"")</f>
        <v/>
      </c>
      <c r="F83" s="51" t="str">
        <f ca="1">IFERROR(__xludf.DUMMYFUNCTION("""COMPUTED_VALUE"""),"")</f>
        <v/>
      </c>
      <c r="G83" s="16" t="str">
        <f ca="1">IFERROR(__xludf.DUMMYFUNCTION("""COMPUTED_VALUE"""),"")</f>
        <v/>
      </c>
      <c r="H83" s="17" t="str">
        <f ca="1">IFERROR(__xludf.DUMMYFUNCTION("""COMPUTED_VALUE"""),"")</f>
        <v/>
      </c>
      <c r="I83" s="17" t="str">
        <f ca="1">IFERROR(__xludf.DUMMYFUNCTION("""COMPUTED_VALUE"""),"")</f>
        <v/>
      </c>
      <c r="J83" s="17" t="str">
        <f ca="1">IFERROR(__xludf.DUMMYFUNCTION("""COMPUTED_VALUE"""),"")</f>
        <v/>
      </c>
      <c r="K83" s="18" t="str">
        <f ca="1">IFERROR(__xludf.DUMMYFUNCTION("""COMPUTED_VALUE"""),"")</f>
        <v/>
      </c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20"/>
      <c r="W83" s="20"/>
      <c r="X83" s="20"/>
      <c r="Y83" s="20"/>
      <c r="Z83" s="21"/>
      <c r="AA83" s="22"/>
      <c r="AB83" s="23"/>
    </row>
    <row r="84" spans="1:28" ht="13.5" customHeight="1" x14ac:dyDescent="0.35">
      <c r="A84" s="24" t="str">
        <f ca="1">IFERROR(__xludf.DUMMYFUNCTION("""COMPUTED_VALUE"""),"")</f>
        <v/>
      </c>
      <c r="B84" s="28" t="str">
        <f ca="1">IFERROR(__xludf.DUMMYFUNCTION("""COMPUTED_VALUE"""),"")</f>
        <v/>
      </c>
      <c r="C84" s="27" t="str">
        <f ca="1">IFERROR(__xludf.DUMMYFUNCTION("""COMPUTED_VALUE"""),"")</f>
        <v/>
      </c>
      <c r="D84" s="27" t="str">
        <f ca="1">IFERROR(__xludf.DUMMYFUNCTION("""COMPUTED_VALUE"""),"")</f>
        <v/>
      </c>
      <c r="E84" s="15" t="str">
        <f ca="1">IFERROR(__xludf.DUMMYFUNCTION("""COMPUTED_VALUE"""),"")</f>
        <v/>
      </c>
      <c r="F84" s="51" t="str">
        <f ca="1">IFERROR(__xludf.DUMMYFUNCTION("""COMPUTED_VALUE"""),"")</f>
        <v/>
      </c>
      <c r="G84" s="16" t="str">
        <f ca="1">IFERROR(__xludf.DUMMYFUNCTION("""COMPUTED_VALUE"""),"")</f>
        <v/>
      </c>
      <c r="H84" s="17" t="str">
        <f ca="1">IFERROR(__xludf.DUMMYFUNCTION("""COMPUTED_VALUE"""),"")</f>
        <v/>
      </c>
      <c r="I84" s="17" t="str">
        <f ca="1">IFERROR(__xludf.DUMMYFUNCTION("""COMPUTED_VALUE"""),"")</f>
        <v/>
      </c>
      <c r="J84" s="17" t="str">
        <f ca="1">IFERROR(__xludf.DUMMYFUNCTION("""COMPUTED_VALUE"""),"")</f>
        <v/>
      </c>
      <c r="K84" s="18" t="str">
        <f ca="1">IFERROR(__xludf.DUMMYFUNCTION("""COMPUTED_VALUE"""),"")</f>
        <v/>
      </c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20"/>
      <c r="W84" s="20"/>
      <c r="X84" s="20"/>
      <c r="Y84" s="20"/>
      <c r="Z84" s="21"/>
      <c r="AA84" s="22"/>
      <c r="AB84" s="23"/>
    </row>
    <row r="85" spans="1:28" ht="13.5" customHeight="1" x14ac:dyDescent="0.35">
      <c r="A85" s="24" t="str">
        <f ca="1">IFERROR(__xludf.DUMMYFUNCTION("""COMPUTED_VALUE"""),"")</f>
        <v/>
      </c>
      <c r="B85" s="28" t="str">
        <f ca="1">IFERROR(__xludf.DUMMYFUNCTION("""COMPUTED_VALUE"""),"")</f>
        <v/>
      </c>
      <c r="C85" s="27" t="str">
        <f ca="1">IFERROR(__xludf.DUMMYFUNCTION("""COMPUTED_VALUE"""),"")</f>
        <v/>
      </c>
      <c r="D85" s="27" t="str">
        <f ca="1">IFERROR(__xludf.DUMMYFUNCTION("""COMPUTED_VALUE"""),"")</f>
        <v/>
      </c>
      <c r="E85" s="15" t="str">
        <f ca="1">IFERROR(__xludf.DUMMYFUNCTION("""COMPUTED_VALUE"""),"")</f>
        <v/>
      </c>
      <c r="F85" s="51" t="str">
        <f ca="1">IFERROR(__xludf.DUMMYFUNCTION("""COMPUTED_VALUE"""),"")</f>
        <v/>
      </c>
      <c r="G85" s="16" t="str">
        <f ca="1">IFERROR(__xludf.DUMMYFUNCTION("""COMPUTED_VALUE"""),"")</f>
        <v/>
      </c>
      <c r="H85" s="17" t="str">
        <f ca="1">IFERROR(__xludf.DUMMYFUNCTION("""COMPUTED_VALUE"""),"")</f>
        <v/>
      </c>
      <c r="I85" s="17" t="str">
        <f ca="1">IFERROR(__xludf.DUMMYFUNCTION("""COMPUTED_VALUE"""),"")</f>
        <v/>
      </c>
      <c r="J85" s="17" t="str">
        <f ca="1">IFERROR(__xludf.DUMMYFUNCTION("""COMPUTED_VALUE"""),"")</f>
        <v/>
      </c>
      <c r="K85" s="18" t="str">
        <f ca="1">IFERROR(__xludf.DUMMYFUNCTION("""COMPUTED_VALUE"""),"")</f>
        <v/>
      </c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20"/>
      <c r="W85" s="20"/>
      <c r="X85" s="20"/>
      <c r="Y85" s="20"/>
      <c r="Z85" s="21"/>
      <c r="AA85" s="22"/>
      <c r="AB85" s="23"/>
    </row>
    <row r="86" spans="1:28" ht="13.5" customHeight="1" x14ac:dyDescent="0.35">
      <c r="A86" s="24" t="str">
        <f ca="1">IFERROR(__xludf.DUMMYFUNCTION("""COMPUTED_VALUE"""),"")</f>
        <v/>
      </c>
      <c r="B86" s="28" t="str">
        <f ca="1">IFERROR(__xludf.DUMMYFUNCTION("""COMPUTED_VALUE"""),"")</f>
        <v/>
      </c>
      <c r="C86" s="27" t="str">
        <f ca="1">IFERROR(__xludf.DUMMYFUNCTION("""COMPUTED_VALUE"""),"")</f>
        <v/>
      </c>
      <c r="D86" s="27" t="str">
        <f ca="1">IFERROR(__xludf.DUMMYFUNCTION("""COMPUTED_VALUE"""),"")</f>
        <v/>
      </c>
      <c r="E86" s="15" t="str">
        <f ca="1">IFERROR(__xludf.DUMMYFUNCTION("""COMPUTED_VALUE"""),"")</f>
        <v/>
      </c>
      <c r="F86" s="51" t="str">
        <f ca="1">IFERROR(__xludf.DUMMYFUNCTION("""COMPUTED_VALUE"""),"")</f>
        <v/>
      </c>
      <c r="G86" s="16" t="str">
        <f ca="1">IFERROR(__xludf.DUMMYFUNCTION("""COMPUTED_VALUE"""),"")</f>
        <v/>
      </c>
      <c r="H86" s="17" t="str">
        <f ca="1">IFERROR(__xludf.DUMMYFUNCTION("""COMPUTED_VALUE"""),"")</f>
        <v/>
      </c>
      <c r="I86" s="17" t="str">
        <f ca="1">IFERROR(__xludf.DUMMYFUNCTION("""COMPUTED_VALUE"""),"")</f>
        <v/>
      </c>
      <c r="J86" s="17" t="str">
        <f ca="1">IFERROR(__xludf.DUMMYFUNCTION("""COMPUTED_VALUE"""),"")</f>
        <v/>
      </c>
      <c r="K86" s="18" t="str">
        <f ca="1">IFERROR(__xludf.DUMMYFUNCTION("""COMPUTED_VALUE"""),"")</f>
        <v/>
      </c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20"/>
      <c r="W86" s="20"/>
      <c r="X86" s="20"/>
      <c r="Y86" s="20"/>
      <c r="Z86" s="21"/>
      <c r="AA86" s="22"/>
      <c r="AB86" s="23"/>
    </row>
    <row r="87" spans="1:28" ht="13.5" customHeight="1" x14ac:dyDescent="0.35">
      <c r="A87" s="24" t="str">
        <f ca="1">IFERROR(__xludf.DUMMYFUNCTION("""COMPUTED_VALUE"""),"")</f>
        <v/>
      </c>
      <c r="B87" s="28" t="str">
        <f ca="1">IFERROR(__xludf.DUMMYFUNCTION("""COMPUTED_VALUE"""),"")</f>
        <v/>
      </c>
      <c r="C87" s="27" t="str">
        <f ca="1">IFERROR(__xludf.DUMMYFUNCTION("""COMPUTED_VALUE"""),"")</f>
        <v/>
      </c>
      <c r="D87" s="27" t="str">
        <f ca="1">IFERROR(__xludf.DUMMYFUNCTION("""COMPUTED_VALUE"""),"")</f>
        <v/>
      </c>
      <c r="E87" s="15" t="str">
        <f ca="1">IFERROR(__xludf.DUMMYFUNCTION("""COMPUTED_VALUE"""),"")</f>
        <v/>
      </c>
      <c r="F87" s="51" t="str">
        <f ca="1">IFERROR(__xludf.DUMMYFUNCTION("""COMPUTED_VALUE"""),"")</f>
        <v/>
      </c>
      <c r="G87" s="16" t="str">
        <f ca="1">IFERROR(__xludf.DUMMYFUNCTION("""COMPUTED_VALUE"""),"")</f>
        <v/>
      </c>
      <c r="H87" s="17" t="str">
        <f ca="1">IFERROR(__xludf.DUMMYFUNCTION("""COMPUTED_VALUE"""),"")</f>
        <v/>
      </c>
      <c r="I87" s="17" t="str">
        <f ca="1">IFERROR(__xludf.DUMMYFUNCTION("""COMPUTED_VALUE"""),"")</f>
        <v/>
      </c>
      <c r="J87" s="17" t="str">
        <f ca="1">IFERROR(__xludf.DUMMYFUNCTION("""COMPUTED_VALUE"""),"")</f>
        <v/>
      </c>
      <c r="K87" s="18" t="str">
        <f ca="1">IFERROR(__xludf.DUMMYFUNCTION("""COMPUTED_VALUE"""),"")</f>
        <v/>
      </c>
      <c r="L87" s="19"/>
      <c r="M87" s="19"/>
      <c r="N87" s="19"/>
      <c r="O87" s="19"/>
      <c r="P87" s="19"/>
      <c r="Q87" s="19"/>
      <c r="R87" s="19"/>
      <c r="S87" s="19"/>
      <c r="T87" s="19"/>
      <c r="U87" s="19"/>
      <c r="V87" s="20"/>
      <c r="W87" s="20"/>
      <c r="X87" s="20"/>
      <c r="Y87" s="20"/>
      <c r="Z87" s="21"/>
      <c r="AA87" s="22"/>
      <c r="AB87" s="23"/>
    </row>
    <row r="88" spans="1:28" ht="13.5" customHeight="1" x14ac:dyDescent="0.35">
      <c r="A88" s="24" t="str">
        <f ca="1">IFERROR(__xludf.DUMMYFUNCTION("""COMPUTED_VALUE"""),"")</f>
        <v/>
      </c>
      <c r="B88" s="28" t="str">
        <f ca="1">IFERROR(__xludf.DUMMYFUNCTION("""COMPUTED_VALUE"""),"")</f>
        <v/>
      </c>
      <c r="C88" s="27" t="str">
        <f ca="1">IFERROR(__xludf.DUMMYFUNCTION("""COMPUTED_VALUE"""),"")</f>
        <v/>
      </c>
      <c r="D88" s="27" t="str">
        <f ca="1">IFERROR(__xludf.DUMMYFUNCTION("""COMPUTED_VALUE"""),"")</f>
        <v/>
      </c>
      <c r="E88" s="15" t="str">
        <f ca="1">IFERROR(__xludf.DUMMYFUNCTION("""COMPUTED_VALUE"""),"")</f>
        <v/>
      </c>
      <c r="F88" s="51" t="str">
        <f ca="1">IFERROR(__xludf.DUMMYFUNCTION("""COMPUTED_VALUE"""),"")</f>
        <v/>
      </c>
      <c r="G88" s="16" t="str">
        <f ca="1">IFERROR(__xludf.DUMMYFUNCTION("""COMPUTED_VALUE"""),"")</f>
        <v/>
      </c>
      <c r="H88" s="17" t="str">
        <f ca="1">IFERROR(__xludf.DUMMYFUNCTION("""COMPUTED_VALUE"""),"")</f>
        <v/>
      </c>
      <c r="I88" s="17" t="str">
        <f ca="1">IFERROR(__xludf.DUMMYFUNCTION("""COMPUTED_VALUE"""),"")</f>
        <v/>
      </c>
      <c r="J88" s="17" t="str">
        <f ca="1">IFERROR(__xludf.DUMMYFUNCTION("""COMPUTED_VALUE"""),"")</f>
        <v/>
      </c>
      <c r="K88" s="18" t="str">
        <f ca="1">IFERROR(__xludf.DUMMYFUNCTION("""COMPUTED_VALUE"""),"")</f>
        <v/>
      </c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20"/>
      <c r="W88" s="20"/>
      <c r="X88" s="20"/>
      <c r="Y88" s="20"/>
      <c r="Z88" s="21"/>
      <c r="AA88" s="22"/>
      <c r="AB88" s="23"/>
    </row>
    <row r="89" spans="1:28" ht="13.5" customHeight="1" x14ac:dyDescent="0.35">
      <c r="A89" s="24" t="str">
        <f ca="1">IFERROR(__xludf.DUMMYFUNCTION("""COMPUTED_VALUE"""),"")</f>
        <v/>
      </c>
      <c r="B89" s="28" t="str">
        <f ca="1">IFERROR(__xludf.DUMMYFUNCTION("""COMPUTED_VALUE"""),"")</f>
        <v/>
      </c>
      <c r="C89" s="27" t="str">
        <f ca="1">IFERROR(__xludf.DUMMYFUNCTION("""COMPUTED_VALUE"""),"")</f>
        <v/>
      </c>
      <c r="D89" s="27" t="str">
        <f ca="1">IFERROR(__xludf.DUMMYFUNCTION("""COMPUTED_VALUE"""),"")</f>
        <v/>
      </c>
      <c r="E89" s="15" t="str">
        <f ca="1">IFERROR(__xludf.DUMMYFUNCTION("""COMPUTED_VALUE"""),"")</f>
        <v/>
      </c>
      <c r="F89" s="51" t="str">
        <f ca="1">IFERROR(__xludf.DUMMYFUNCTION("""COMPUTED_VALUE"""),"")</f>
        <v/>
      </c>
      <c r="G89" s="16" t="str">
        <f ca="1">IFERROR(__xludf.DUMMYFUNCTION("""COMPUTED_VALUE"""),"")</f>
        <v/>
      </c>
      <c r="H89" s="17" t="str">
        <f ca="1">IFERROR(__xludf.DUMMYFUNCTION("""COMPUTED_VALUE"""),"")</f>
        <v/>
      </c>
      <c r="I89" s="17" t="str">
        <f ca="1">IFERROR(__xludf.DUMMYFUNCTION("""COMPUTED_VALUE"""),"")</f>
        <v/>
      </c>
      <c r="J89" s="17" t="str">
        <f ca="1">IFERROR(__xludf.DUMMYFUNCTION("""COMPUTED_VALUE"""),"")</f>
        <v/>
      </c>
      <c r="K89" s="18" t="str">
        <f ca="1">IFERROR(__xludf.DUMMYFUNCTION("""COMPUTED_VALUE"""),"")</f>
        <v/>
      </c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20"/>
      <c r="W89" s="20"/>
      <c r="X89" s="20"/>
      <c r="Y89" s="20"/>
      <c r="Z89" s="21"/>
      <c r="AA89" s="22"/>
      <c r="AB89" s="23"/>
    </row>
    <row r="90" spans="1:28" ht="13.5" customHeight="1" x14ac:dyDescent="0.35">
      <c r="A90" s="24" t="str">
        <f ca="1">IFERROR(__xludf.DUMMYFUNCTION("""COMPUTED_VALUE"""),"")</f>
        <v/>
      </c>
      <c r="B90" s="28" t="str">
        <f ca="1">IFERROR(__xludf.DUMMYFUNCTION("""COMPUTED_VALUE"""),"")</f>
        <v/>
      </c>
      <c r="C90" s="27" t="str">
        <f ca="1">IFERROR(__xludf.DUMMYFUNCTION("""COMPUTED_VALUE"""),"")</f>
        <v/>
      </c>
      <c r="D90" s="27" t="str">
        <f ca="1">IFERROR(__xludf.DUMMYFUNCTION("""COMPUTED_VALUE"""),"")</f>
        <v/>
      </c>
      <c r="E90" s="15" t="str">
        <f ca="1">IFERROR(__xludf.DUMMYFUNCTION("""COMPUTED_VALUE"""),"")</f>
        <v/>
      </c>
      <c r="F90" s="51" t="str">
        <f ca="1">IFERROR(__xludf.DUMMYFUNCTION("""COMPUTED_VALUE"""),"")</f>
        <v/>
      </c>
      <c r="G90" s="16" t="str">
        <f ca="1">IFERROR(__xludf.DUMMYFUNCTION("""COMPUTED_VALUE"""),"")</f>
        <v/>
      </c>
      <c r="H90" s="17" t="str">
        <f ca="1">IFERROR(__xludf.DUMMYFUNCTION("""COMPUTED_VALUE"""),"")</f>
        <v/>
      </c>
      <c r="I90" s="17" t="str">
        <f ca="1">IFERROR(__xludf.DUMMYFUNCTION("""COMPUTED_VALUE"""),"")</f>
        <v/>
      </c>
      <c r="J90" s="17" t="str">
        <f ca="1">IFERROR(__xludf.DUMMYFUNCTION("""COMPUTED_VALUE"""),"")</f>
        <v/>
      </c>
      <c r="K90" s="18" t="str">
        <f ca="1">IFERROR(__xludf.DUMMYFUNCTION("""COMPUTED_VALUE"""),"")</f>
        <v/>
      </c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20"/>
      <c r="W90" s="20"/>
      <c r="X90" s="20"/>
      <c r="Y90" s="20"/>
      <c r="Z90" s="21"/>
      <c r="AA90" s="22"/>
      <c r="AB90" s="23"/>
    </row>
    <row r="91" spans="1:28" ht="13.5" customHeight="1" x14ac:dyDescent="0.35">
      <c r="A91" s="24" t="str">
        <f ca="1">IFERROR(__xludf.DUMMYFUNCTION("""COMPUTED_VALUE"""),"")</f>
        <v/>
      </c>
      <c r="B91" s="28" t="str">
        <f ca="1">IFERROR(__xludf.DUMMYFUNCTION("""COMPUTED_VALUE"""),"")</f>
        <v/>
      </c>
      <c r="C91" s="27" t="str">
        <f ca="1">IFERROR(__xludf.DUMMYFUNCTION("""COMPUTED_VALUE"""),"")</f>
        <v/>
      </c>
      <c r="D91" s="27" t="str">
        <f ca="1">IFERROR(__xludf.DUMMYFUNCTION("""COMPUTED_VALUE"""),"")</f>
        <v/>
      </c>
      <c r="E91" s="15" t="str">
        <f ca="1">IFERROR(__xludf.DUMMYFUNCTION("""COMPUTED_VALUE"""),"")</f>
        <v/>
      </c>
      <c r="F91" s="51" t="str">
        <f ca="1">IFERROR(__xludf.DUMMYFUNCTION("""COMPUTED_VALUE"""),"")</f>
        <v/>
      </c>
      <c r="G91" s="16" t="str">
        <f ca="1">IFERROR(__xludf.DUMMYFUNCTION("""COMPUTED_VALUE"""),"")</f>
        <v/>
      </c>
      <c r="H91" s="17" t="str">
        <f ca="1">IFERROR(__xludf.DUMMYFUNCTION("""COMPUTED_VALUE"""),"")</f>
        <v/>
      </c>
      <c r="I91" s="17" t="str">
        <f ca="1">IFERROR(__xludf.DUMMYFUNCTION("""COMPUTED_VALUE"""),"")</f>
        <v/>
      </c>
      <c r="J91" s="17" t="str">
        <f ca="1">IFERROR(__xludf.DUMMYFUNCTION("""COMPUTED_VALUE"""),"")</f>
        <v/>
      </c>
      <c r="K91" s="18" t="str">
        <f ca="1">IFERROR(__xludf.DUMMYFUNCTION("""COMPUTED_VALUE"""),"")</f>
        <v/>
      </c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20"/>
      <c r="W91" s="20"/>
      <c r="X91" s="20"/>
      <c r="Y91" s="20"/>
      <c r="Z91" s="21"/>
      <c r="AA91" s="22"/>
      <c r="AB91" s="23"/>
    </row>
    <row r="92" spans="1:28" ht="13.5" customHeight="1" x14ac:dyDescent="0.35">
      <c r="A92" s="24" t="str">
        <f ca="1">IFERROR(__xludf.DUMMYFUNCTION("""COMPUTED_VALUE"""),"")</f>
        <v/>
      </c>
      <c r="B92" s="28" t="str">
        <f ca="1">IFERROR(__xludf.DUMMYFUNCTION("""COMPUTED_VALUE"""),"")</f>
        <v/>
      </c>
      <c r="C92" s="27" t="str">
        <f ca="1">IFERROR(__xludf.DUMMYFUNCTION("""COMPUTED_VALUE"""),"")</f>
        <v/>
      </c>
      <c r="D92" s="27" t="str">
        <f ca="1">IFERROR(__xludf.DUMMYFUNCTION("""COMPUTED_VALUE"""),"")</f>
        <v/>
      </c>
      <c r="E92" s="15" t="str">
        <f ca="1">IFERROR(__xludf.DUMMYFUNCTION("""COMPUTED_VALUE"""),"")</f>
        <v/>
      </c>
      <c r="F92" s="51" t="str">
        <f ca="1">IFERROR(__xludf.DUMMYFUNCTION("""COMPUTED_VALUE"""),"")</f>
        <v/>
      </c>
      <c r="G92" s="16" t="str">
        <f ca="1">IFERROR(__xludf.DUMMYFUNCTION("""COMPUTED_VALUE"""),"")</f>
        <v/>
      </c>
      <c r="H92" s="17" t="str">
        <f ca="1">IFERROR(__xludf.DUMMYFUNCTION("""COMPUTED_VALUE"""),"")</f>
        <v/>
      </c>
      <c r="I92" s="17" t="str">
        <f ca="1">IFERROR(__xludf.DUMMYFUNCTION("""COMPUTED_VALUE"""),"")</f>
        <v/>
      </c>
      <c r="J92" s="17" t="str">
        <f ca="1">IFERROR(__xludf.DUMMYFUNCTION("""COMPUTED_VALUE"""),"")</f>
        <v/>
      </c>
      <c r="K92" s="18" t="str">
        <f ca="1">IFERROR(__xludf.DUMMYFUNCTION("""COMPUTED_VALUE"""),"")</f>
        <v/>
      </c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20"/>
      <c r="W92" s="20"/>
      <c r="X92" s="20"/>
      <c r="Y92" s="20"/>
      <c r="Z92" s="21"/>
      <c r="AA92" s="22"/>
      <c r="AB92" s="23"/>
    </row>
    <row r="93" spans="1:28" ht="13.5" customHeight="1" x14ac:dyDescent="0.35">
      <c r="A93" s="24" t="str">
        <f ca="1">IFERROR(__xludf.DUMMYFUNCTION("""COMPUTED_VALUE"""),"")</f>
        <v/>
      </c>
      <c r="B93" s="28" t="str">
        <f ca="1">IFERROR(__xludf.DUMMYFUNCTION("""COMPUTED_VALUE"""),"")</f>
        <v/>
      </c>
      <c r="C93" s="27" t="str">
        <f ca="1">IFERROR(__xludf.DUMMYFUNCTION("""COMPUTED_VALUE"""),"")</f>
        <v/>
      </c>
      <c r="D93" s="27" t="str">
        <f ca="1">IFERROR(__xludf.DUMMYFUNCTION("""COMPUTED_VALUE"""),"")</f>
        <v/>
      </c>
      <c r="E93" s="15" t="str">
        <f ca="1">IFERROR(__xludf.DUMMYFUNCTION("""COMPUTED_VALUE"""),"")</f>
        <v/>
      </c>
      <c r="F93" s="51" t="str">
        <f ca="1">IFERROR(__xludf.DUMMYFUNCTION("""COMPUTED_VALUE"""),"")</f>
        <v/>
      </c>
      <c r="G93" s="16" t="str">
        <f ca="1">IFERROR(__xludf.DUMMYFUNCTION("""COMPUTED_VALUE"""),"")</f>
        <v/>
      </c>
      <c r="H93" s="17" t="str">
        <f ca="1">IFERROR(__xludf.DUMMYFUNCTION("""COMPUTED_VALUE"""),"")</f>
        <v/>
      </c>
      <c r="I93" s="17" t="str">
        <f ca="1">IFERROR(__xludf.DUMMYFUNCTION("""COMPUTED_VALUE"""),"")</f>
        <v/>
      </c>
      <c r="J93" s="17" t="str">
        <f ca="1">IFERROR(__xludf.DUMMYFUNCTION("""COMPUTED_VALUE"""),"")</f>
        <v/>
      </c>
      <c r="K93" s="18" t="str">
        <f ca="1">IFERROR(__xludf.DUMMYFUNCTION("""COMPUTED_VALUE"""),"")</f>
        <v/>
      </c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20"/>
      <c r="W93" s="20"/>
      <c r="X93" s="20"/>
      <c r="Y93" s="20"/>
      <c r="Z93" s="21"/>
      <c r="AA93" s="22"/>
      <c r="AB93" s="23"/>
    </row>
    <row r="94" spans="1:28" ht="13.5" customHeight="1" x14ac:dyDescent="0.35">
      <c r="A94" s="24" t="str">
        <f ca="1">IFERROR(__xludf.DUMMYFUNCTION("""COMPUTED_VALUE"""),"")</f>
        <v/>
      </c>
      <c r="B94" s="28" t="str">
        <f ca="1">IFERROR(__xludf.DUMMYFUNCTION("""COMPUTED_VALUE"""),"")</f>
        <v/>
      </c>
      <c r="C94" s="27" t="str">
        <f ca="1">IFERROR(__xludf.DUMMYFUNCTION("""COMPUTED_VALUE"""),"")</f>
        <v/>
      </c>
      <c r="D94" s="27" t="str">
        <f ca="1">IFERROR(__xludf.DUMMYFUNCTION("""COMPUTED_VALUE"""),"")</f>
        <v/>
      </c>
      <c r="E94" s="15" t="str">
        <f ca="1">IFERROR(__xludf.DUMMYFUNCTION("""COMPUTED_VALUE"""),"")</f>
        <v/>
      </c>
      <c r="F94" s="51" t="str">
        <f ca="1">IFERROR(__xludf.DUMMYFUNCTION("""COMPUTED_VALUE"""),"")</f>
        <v/>
      </c>
      <c r="G94" s="16" t="str">
        <f ca="1">IFERROR(__xludf.DUMMYFUNCTION("""COMPUTED_VALUE"""),"")</f>
        <v/>
      </c>
      <c r="H94" s="17" t="str">
        <f ca="1">IFERROR(__xludf.DUMMYFUNCTION("""COMPUTED_VALUE"""),"")</f>
        <v/>
      </c>
      <c r="I94" s="17" t="str">
        <f ca="1">IFERROR(__xludf.DUMMYFUNCTION("""COMPUTED_VALUE"""),"")</f>
        <v/>
      </c>
      <c r="J94" s="17" t="str">
        <f ca="1">IFERROR(__xludf.DUMMYFUNCTION("""COMPUTED_VALUE"""),"")</f>
        <v/>
      </c>
      <c r="K94" s="18" t="str">
        <f ca="1">IFERROR(__xludf.DUMMYFUNCTION("""COMPUTED_VALUE"""),"")</f>
        <v/>
      </c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20"/>
      <c r="W94" s="20"/>
      <c r="X94" s="20"/>
      <c r="Y94" s="20"/>
      <c r="Z94" s="21"/>
      <c r="AA94" s="22"/>
      <c r="AB94" s="23"/>
    </row>
    <row r="95" spans="1:28" ht="13.5" customHeight="1" x14ac:dyDescent="0.35">
      <c r="A95" s="24" t="str">
        <f ca="1">IFERROR(__xludf.DUMMYFUNCTION("""COMPUTED_VALUE"""),"")</f>
        <v/>
      </c>
      <c r="B95" s="28" t="str">
        <f ca="1">IFERROR(__xludf.DUMMYFUNCTION("""COMPUTED_VALUE"""),"")</f>
        <v/>
      </c>
      <c r="C95" s="27" t="str">
        <f ca="1">IFERROR(__xludf.DUMMYFUNCTION("""COMPUTED_VALUE"""),"")</f>
        <v/>
      </c>
      <c r="D95" s="27" t="str">
        <f ca="1">IFERROR(__xludf.DUMMYFUNCTION("""COMPUTED_VALUE"""),"")</f>
        <v/>
      </c>
      <c r="E95" s="15" t="str">
        <f ca="1">IFERROR(__xludf.DUMMYFUNCTION("""COMPUTED_VALUE"""),"")</f>
        <v/>
      </c>
      <c r="F95" s="51" t="str">
        <f ca="1">IFERROR(__xludf.DUMMYFUNCTION("""COMPUTED_VALUE"""),"")</f>
        <v/>
      </c>
      <c r="G95" s="16" t="str">
        <f ca="1">IFERROR(__xludf.DUMMYFUNCTION("""COMPUTED_VALUE"""),"")</f>
        <v/>
      </c>
      <c r="H95" s="17" t="str">
        <f ca="1">IFERROR(__xludf.DUMMYFUNCTION("""COMPUTED_VALUE"""),"")</f>
        <v/>
      </c>
      <c r="I95" s="17" t="str">
        <f ca="1">IFERROR(__xludf.DUMMYFUNCTION("""COMPUTED_VALUE"""),"")</f>
        <v/>
      </c>
      <c r="J95" s="17" t="str">
        <f ca="1">IFERROR(__xludf.DUMMYFUNCTION("""COMPUTED_VALUE"""),"")</f>
        <v/>
      </c>
      <c r="K95" s="18" t="str">
        <f ca="1">IFERROR(__xludf.DUMMYFUNCTION("""COMPUTED_VALUE"""),"")</f>
        <v/>
      </c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20"/>
      <c r="W95" s="20"/>
      <c r="X95" s="20"/>
      <c r="Y95" s="20"/>
      <c r="Z95" s="21"/>
      <c r="AA95" s="22"/>
      <c r="AB95" s="23"/>
    </row>
    <row r="96" spans="1:28" ht="13.5" customHeight="1" x14ac:dyDescent="0.35">
      <c r="A96" s="24" t="str">
        <f ca="1">IFERROR(__xludf.DUMMYFUNCTION("""COMPUTED_VALUE"""),"")</f>
        <v/>
      </c>
      <c r="B96" s="28" t="str">
        <f ca="1">IFERROR(__xludf.DUMMYFUNCTION("""COMPUTED_VALUE"""),"")</f>
        <v/>
      </c>
      <c r="C96" s="27" t="str">
        <f ca="1">IFERROR(__xludf.DUMMYFUNCTION("""COMPUTED_VALUE"""),"")</f>
        <v/>
      </c>
      <c r="D96" s="27" t="str">
        <f ca="1">IFERROR(__xludf.DUMMYFUNCTION("""COMPUTED_VALUE"""),"")</f>
        <v/>
      </c>
      <c r="E96" s="15" t="str">
        <f ca="1">IFERROR(__xludf.DUMMYFUNCTION("""COMPUTED_VALUE"""),"")</f>
        <v/>
      </c>
      <c r="F96" s="51" t="str">
        <f ca="1">IFERROR(__xludf.DUMMYFUNCTION("""COMPUTED_VALUE"""),"")</f>
        <v/>
      </c>
      <c r="G96" s="16" t="str">
        <f ca="1">IFERROR(__xludf.DUMMYFUNCTION("""COMPUTED_VALUE"""),"")</f>
        <v/>
      </c>
      <c r="H96" s="17" t="str">
        <f ca="1">IFERROR(__xludf.DUMMYFUNCTION("""COMPUTED_VALUE"""),"")</f>
        <v/>
      </c>
      <c r="I96" s="17" t="str">
        <f ca="1">IFERROR(__xludf.DUMMYFUNCTION("""COMPUTED_VALUE"""),"")</f>
        <v/>
      </c>
      <c r="J96" s="17" t="str">
        <f ca="1">IFERROR(__xludf.DUMMYFUNCTION("""COMPUTED_VALUE"""),"")</f>
        <v/>
      </c>
      <c r="K96" s="18" t="str">
        <f ca="1">IFERROR(__xludf.DUMMYFUNCTION("""COMPUTED_VALUE"""),"")</f>
        <v/>
      </c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20"/>
      <c r="W96" s="20"/>
      <c r="X96" s="20"/>
      <c r="Y96" s="20"/>
      <c r="Z96" s="21"/>
      <c r="AA96" s="22"/>
      <c r="AB96" s="23"/>
    </row>
    <row r="97" spans="1:28" ht="13.5" customHeight="1" x14ac:dyDescent="0.35">
      <c r="A97" s="24" t="str">
        <f ca="1">IFERROR(__xludf.DUMMYFUNCTION("""COMPUTED_VALUE"""),"")</f>
        <v/>
      </c>
      <c r="B97" s="28" t="str">
        <f ca="1">IFERROR(__xludf.DUMMYFUNCTION("""COMPUTED_VALUE"""),"")</f>
        <v/>
      </c>
      <c r="C97" s="27" t="str">
        <f ca="1">IFERROR(__xludf.DUMMYFUNCTION("""COMPUTED_VALUE"""),"")</f>
        <v/>
      </c>
      <c r="D97" s="27" t="str">
        <f ca="1">IFERROR(__xludf.DUMMYFUNCTION("""COMPUTED_VALUE"""),"")</f>
        <v/>
      </c>
      <c r="E97" s="15" t="str">
        <f ca="1">IFERROR(__xludf.DUMMYFUNCTION("""COMPUTED_VALUE"""),"")</f>
        <v/>
      </c>
      <c r="F97" s="51" t="str">
        <f ca="1">IFERROR(__xludf.DUMMYFUNCTION("""COMPUTED_VALUE"""),"")</f>
        <v/>
      </c>
      <c r="G97" s="16" t="str">
        <f ca="1">IFERROR(__xludf.DUMMYFUNCTION("""COMPUTED_VALUE"""),"")</f>
        <v/>
      </c>
      <c r="H97" s="17" t="str">
        <f ca="1">IFERROR(__xludf.DUMMYFUNCTION("""COMPUTED_VALUE"""),"")</f>
        <v/>
      </c>
      <c r="I97" s="17" t="str">
        <f ca="1">IFERROR(__xludf.DUMMYFUNCTION("""COMPUTED_VALUE"""),"")</f>
        <v/>
      </c>
      <c r="J97" s="17" t="str">
        <f ca="1">IFERROR(__xludf.DUMMYFUNCTION("""COMPUTED_VALUE"""),"")</f>
        <v/>
      </c>
      <c r="K97" s="18" t="str">
        <f ca="1">IFERROR(__xludf.DUMMYFUNCTION("""COMPUTED_VALUE"""),"")</f>
        <v/>
      </c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20"/>
      <c r="W97" s="20"/>
      <c r="X97" s="20"/>
      <c r="Y97" s="20"/>
      <c r="Z97" s="21"/>
      <c r="AA97" s="22"/>
      <c r="AB97" s="23"/>
    </row>
    <row r="98" spans="1:28" ht="13.5" customHeight="1" x14ac:dyDescent="0.35">
      <c r="A98" s="24" t="str">
        <f ca="1">IFERROR(__xludf.DUMMYFUNCTION("""COMPUTED_VALUE"""),"")</f>
        <v/>
      </c>
      <c r="B98" s="28" t="str">
        <f ca="1">IFERROR(__xludf.DUMMYFUNCTION("""COMPUTED_VALUE"""),"")</f>
        <v/>
      </c>
      <c r="C98" s="27" t="str">
        <f ca="1">IFERROR(__xludf.DUMMYFUNCTION("""COMPUTED_VALUE"""),"")</f>
        <v/>
      </c>
      <c r="D98" s="27" t="str">
        <f ca="1">IFERROR(__xludf.DUMMYFUNCTION("""COMPUTED_VALUE"""),"")</f>
        <v/>
      </c>
      <c r="E98" s="15" t="str">
        <f ca="1">IFERROR(__xludf.DUMMYFUNCTION("""COMPUTED_VALUE"""),"")</f>
        <v/>
      </c>
      <c r="F98" s="51" t="str">
        <f ca="1">IFERROR(__xludf.DUMMYFUNCTION("""COMPUTED_VALUE"""),"")</f>
        <v/>
      </c>
      <c r="G98" s="16" t="str">
        <f ca="1">IFERROR(__xludf.DUMMYFUNCTION("""COMPUTED_VALUE"""),"")</f>
        <v/>
      </c>
      <c r="H98" s="17" t="str">
        <f ca="1">IFERROR(__xludf.DUMMYFUNCTION("""COMPUTED_VALUE"""),"")</f>
        <v/>
      </c>
      <c r="I98" s="17" t="str">
        <f ca="1">IFERROR(__xludf.DUMMYFUNCTION("""COMPUTED_VALUE"""),"")</f>
        <v/>
      </c>
      <c r="J98" s="17" t="str">
        <f ca="1">IFERROR(__xludf.DUMMYFUNCTION("""COMPUTED_VALUE"""),"")</f>
        <v/>
      </c>
      <c r="K98" s="18" t="str">
        <f ca="1">IFERROR(__xludf.DUMMYFUNCTION("""COMPUTED_VALUE"""),"")</f>
        <v/>
      </c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20"/>
      <c r="W98" s="20"/>
      <c r="X98" s="20"/>
      <c r="Y98" s="20"/>
      <c r="Z98" s="21"/>
      <c r="AA98" s="22"/>
      <c r="AB98" s="23"/>
    </row>
    <row r="99" spans="1:28" ht="13.5" customHeight="1" x14ac:dyDescent="0.35">
      <c r="A99" s="24" t="str">
        <f ca="1">IFERROR(__xludf.DUMMYFUNCTION("""COMPUTED_VALUE"""),"")</f>
        <v/>
      </c>
      <c r="B99" s="28" t="str">
        <f ca="1">IFERROR(__xludf.DUMMYFUNCTION("""COMPUTED_VALUE"""),"")</f>
        <v/>
      </c>
      <c r="C99" s="27" t="str">
        <f ca="1">IFERROR(__xludf.DUMMYFUNCTION("""COMPUTED_VALUE"""),"")</f>
        <v/>
      </c>
      <c r="D99" s="27" t="str">
        <f ca="1">IFERROR(__xludf.DUMMYFUNCTION("""COMPUTED_VALUE"""),"")</f>
        <v/>
      </c>
      <c r="E99" s="15" t="str">
        <f ca="1">IFERROR(__xludf.DUMMYFUNCTION("""COMPUTED_VALUE"""),"")</f>
        <v/>
      </c>
      <c r="F99" s="51" t="str">
        <f ca="1">IFERROR(__xludf.DUMMYFUNCTION("""COMPUTED_VALUE"""),"")</f>
        <v/>
      </c>
      <c r="G99" s="16" t="str">
        <f ca="1">IFERROR(__xludf.DUMMYFUNCTION("""COMPUTED_VALUE"""),"")</f>
        <v/>
      </c>
      <c r="H99" s="17" t="str">
        <f ca="1">IFERROR(__xludf.DUMMYFUNCTION("""COMPUTED_VALUE"""),"")</f>
        <v/>
      </c>
      <c r="I99" s="17" t="str">
        <f ca="1">IFERROR(__xludf.DUMMYFUNCTION("""COMPUTED_VALUE"""),"")</f>
        <v/>
      </c>
      <c r="J99" s="17" t="str">
        <f ca="1">IFERROR(__xludf.DUMMYFUNCTION("""COMPUTED_VALUE"""),"")</f>
        <v/>
      </c>
      <c r="K99" s="18" t="str">
        <f ca="1">IFERROR(__xludf.DUMMYFUNCTION("""COMPUTED_VALUE"""),"")</f>
        <v/>
      </c>
      <c r="L99" s="19"/>
      <c r="M99" s="19"/>
      <c r="N99" s="19"/>
      <c r="O99" s="19"/>
      <c r="P99" s="19"/>
      <c r="Q99" s="19"/>
      <c r="R99" s="19"/>
      <c r="S99" s="19"/>
      <c r="T99" s="19"/>
      <c r="U99" s="19"/>
      <c r="V99" s="20"/>
      <c r="W99" s="20"/>
      <c r="X99" s="20"/>
      <c r="Y99" s="20"/>
      <c r="Z99" s="21"/>
      <c r="AA99" s="22"/>
      <c r="AB99" s="23"/>
    </row>
    <row r="100" spans="1:28" ht="13.5" customHeight="1" x14ac:dyDescent="0.35">
      <c r="A100" s="24" t="str">
        <f ca="1">IFERROR(__xludf.DUMMYFUNCTION("""COMPUTED_VALUE"""),"")</f>
        <v/>
      </c>
      <c r="B100" s="28" t="str">
        <f ca="1">IFERROR(__xludf.DUMMYFUNCTION("""COMPUTED_VALUE"""),"")</f>
        <v/>
      </c>
      <c r="C100" s="27" t="str">
        <f ca="1">IFERROR(__xludf.DUMMYFUNCTION("""COMPUTED_VALUE"""),"")</f>
        <v/>
      </c>
      <c r="D100" s="27" t="str">
        <f ca="1">IFERROR(__xludf.DUMMYFUNCTION("""COMPUTED_VALUE"""),"")</f>
        <v/>
      </c>
      <c r="E100" s="15" t="str">
        <f ca="1">IFERROR(__xludf.DUMMYFUNCTION("""COMPUTED_VALUE"""),"")</f>
        <v/>
      </c>
      <c r="F100" s="51" t="str">
        <f ca="1">IFERROR(__xludf.DUMMYFUNCTION("""COMPUTED_VALUE"""),"")</f>
        <v/>
      </c>
      <c r="G100" s="16" t="str">
        <f ca="1">IFERROR(__xludf.DUMMYFUNCTION("""COMPUTED_VALUE"""),"")</f>
        <v/>
      </c>
      <c r="H100" s="17" t="str">
        <f ca="1">IFERROR(__xludf.DUMMYFUNCTION("""COMPUTED_VALUE"""),"")</f>
        <v/>
      </c>
      <c r="I100" s="17" t="str">
        <f ca="1">IFERROR(__xludf.DUMMYFUNCTION("""COMPUTED_VALUE"""),"")</f>
        <v/>
      </c>
      <c r="J100" s="17" t="str">
        <f ca="1">IFERROR(__xludf.DUMMYFUNCTION("""COMPUTED_VALUE"""),"")</f>
        <v/>
      </c>
      <c r="K100" s="18" t="str">
        <f ca="1">IFERROR(__xludf.DUMMYFUNCTION("""COMPUTED_VALUE"""),"")</f>
        <v/>
      </c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20"/>
      <c r="W100" s="20"/>
      <c r="X100" s="20"/>
      <c r="Y100" s="20"/>
      <c r="Z100" s="21"/>
      <c r="AA100" s="22"/>
      <c r="AB100" s="23"/>
    </row>
    <row r="101" spans="1:28" ht="13.5" customHeight="1" x14ac:dyDescent="0.35">
      <c r="A101" s="24" t="str">
        <f ca="1">IFERROR(__xludf.DUMMYFUNCTION("""COMPUTED_VALUE"""),"")</f>
        <v/>
      </c>
      <c r="B101" s="28" t="str">
        <f ca="1">IFERROR(__xludf.DUMMYFUNCTION("""COMPUTED_VALUE"""),"")</f>
        <v/>
      </c>
      <c r="C101" s="27" t="str">
        <f ca="1">IFERROR(__xludf.DUMMYFUNCTION("""COMPUTED_VALUE"""),"")</f>
        <v/>
      </c>
      <c r="D101" s="27" t="str">
        <f ca="1">IFERROR(__xludf.DUMMYFUNCTION("""COMPUTED_VALUE"""),"")</f>
        <v/>
      </c>
      <c r="E101" s="15" t="str">
        <f ca="1">IFERROR(__xludf.DUMMYFUNCTION("""COMPUTED_VALUE"""),"")</f>
        <v/>
      </c>
      <c r="F101" s="51" t="str">
        <f ca="1">IFERROR(__xludf.DUMMYFUNCTION("""COMPUTED_VALUE"""),"")</f>
        <v/>
      </c>
      <c r="G101" s="16" t="str">
        <f ca="1">IFERROR(__xludf.DUMMYFUNCTION("""COMPUTED_VALUE"""),"")</f>
        <v/>
      </c>
      <c r="H101" s="17" t="str">
        <f ca="1">IFERROR(__xludf.DUMMYFUNCTION("""COMPUTED_VALUE"""),"")</f>
        <v/>
      </c>
      <c r="I101" s="17" t="str">
        <f ca="1">IFERROR(__xludf.DUMMYFUNCTION("""COMPUTED_VALUE"""),"")</f>
        <v/>
      </c>
      <c r="J101" s="17" t="str">
        <f ca="1">IFERROR(__xludf.DUMMYFUNCTION("""COMPUTED_VALUE"""),"")</f>
        <v/>
      </c>
      <c r="K101" s="18" t="str">
        <f ca="1">IFERROR(__xludf.DUMMYFUNCTION("""COMPUTED_VALUE"""),"")</f>
        <v/>
      </c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20"/>
      <c r="W101" s="20"/>
      <c r="X101" s="20"/>
      <c r="Y101" s="20"/>
      <c r="Z101" s="21"/>
      <c r="AA101" s="22"/>
      <c r="AB101" s="23"/>
    </row>
    <row r="102" spans="1:28" ht="13.5" customHeight="1" x14ac:dyDescent="0.35">
      <c r="A102" s="24" t="str">
        <f ca="1">IFERROR(__xludf.DUMMYFUNCTION("""COMPUTED_VALUE"""),"")</f>
        <v/>
      </c>
      <c r="B102" s="28" t="str">
        <f ca="1">IFERROR(__xludf.DUMMYFUNCTION("""COMPUTED_VALUE"""),"")</f>
        <v/>
      </c>
      <c r="C102" s="27" t="str">
        <f ca="1">IFERROR(__xludf.DUMMYFUNCTION("""COMPUTED_VALUE"""),"")</f>
        <v/>
      </c>
      <c r="D102" s="27" t="str">
        <f ca="1">IFERROR(__xludf.DUMMYFUNCTION("""COMPUTED_VALUE"""),"")</f>
        <v/>
      </c>
      <c r="E102" s="15" t="str">
        <f ca="1">IFERROR(__xludf.DUMMYFUNCTION("""COMPUTED_VALUE"""),"")</f>
        <v/>
      </c>
      <c r="F102" s="51" t="str">
        <f ca="1">IFERROR(__xludf.DUMMYFUNCTION("""COMPUTED_VALUE"""),"")</f>
        <v/>
      </c>
      <c r="G102" s="16" t="str">
        <f ca="1">IFERROR(__xludf.DUMMYFUNCTION("""COMPUTED_VALUE"""),"")</f>
        <v/>
      </c>
      <c r="H102" s="17" t="str">
        <f ca="1">IFERROR(__xludf.DUMMYFUNCTION("""COMPUTED_VALUE"""),"")</f>
        <v/>
      </c>
      <c r="I102" s="17" t="str">
        <f ca="1">IFERROR(__xludf.DUMMYFUNCTION("""COMPUTED_VALUE"""),"")</f>
        <v/>
      </c>
      <c r="J102" s="17" t="str">
        <f ca="1">IFERROR(__xludf.DUMMYFUNCTION("""COMPUTED_VALUE"""),"")</f>
        <v/>
      </c>
      <c r="K102" s="18" t="str">
        <f ca="1">IFERROR(__xludf.DUMMYFUNCTION("""COMPUTED_VALUE"""),"")</f>
        <v/>
      </c>
      <c r="L102" s="19"/>
      <c r="M102" s="19"/>
      <c r="N102" s="19"/>
      <c r="O102" s="19"/>
      <c r="P102" s="19"/>
      <c r="Q102" s="19"/>
      <c r="R102" s="19"/>
      <c r="S102" s="19"/>
      <c r="T102" s="19"/>
      <c r="U102" s="19"/>
      <c r="V102" s="20"/>
      <c r="W102" s="20"/>
      <c r="X102" s="20"/>
      <c r="Y102" s="20"/>
      <c r="Z102" s="21"/>
      <c r="AA102" s="22"/>
      <c r="AB102" s="23"/>
    </row>
    <row r="103" spans="1:28" ht="13.5" customHeight="1" x14ac:dyDescent="0.35">
      <c r="A103" s="24" t="str">
        <f ca="1">IFERROR(__xludf.DUMMYFUNCTION("""COMPUTED_VALUE"""),"")</f>
        <v/>
      </c>
      <c r="B103" s="28" t="str">
        <f ca="1">IFERROR(__xludf.DUMMYFUNCTION("""COMPUTED_VALUE"""),"")</f>
        <v/>
      </c>
      <c r="C103" s="27" t="str">
        <f ca="1">IFERROR(__xludf.DUMMYFUNCTION("""COMPUTED_VALUE"""),"")</f>
        <v/>
      </c>
      <c r="D103" s="27" t="str">
        <f ca="1">IFERROR(__xludf.DUMMYFUNCTION("""COMPUTED_VALUE"""),"")</f>
        <v/>
      </c>
      <c r="E103" s="15" t="str">
        <f ca="1">IFERROR(__xludf.DUMMYFUNCTION("""COMPUTED_VALUE"""),"")</f>
        <v/>
      </c>
      <c r="F103" s="51" t="str">
        <f ca="1">IFERROR(__xludf.DUMMYFUNCTION("""COMPUTED_VALUE"""),"")</f>
        <v/>
      </c>
      <c r="G103" s="16" t="str">
        <f ca="1">IFERROR(__xludf.DUMMYFUNCTION("""COMPUTED_VALUE"""),"")</f>
        <v/>
      </c>
      <c r="H103" s="17" t="str">
        <f ca="1">IFERROR(__xludf.DUMMYFUNCTION("""COMPUTED_VALUE"""),"")</f>
        <v/>
      </c>
      <c r="I103" s="17" t="str">
        <f ca="1">IFERROR(__xludf.DUMMYFUNCTION("""COMPUTED_VALUE"""),"")</f>
        <v/>
      </c>
      <c r="J103" s="17" t="str">
        <f ca="1">IFERROR(__xludf.DUMMYFUNCTION("""COMPUTED_VALUE"""),"")</f>
        <v/>
      </c>
      <c r="K103" s="18" t="str">
        <f ca="1">IFERROR(__xludf.DUMMYFUNCTION("""COMPUTED_VALUE"""),"")</f>
        <v/>
      </c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20"/>
      <c r="W103" s="20"/>
      <c r="X103" s="20"/>
      <c r="Y103" s="20"/>
      <c r="Z103" s="21"/>
      <c r="AA103" s="22"/>
      <c r="AB103" s="23"/>
    </row>
    <row r="104" spans="1:28" ht="13.5" customHeight="1" x14ac:dyDescent="0.35">
      <c r="A104" s="24" t="str">
        <f ca="1">IFERROR(__xludf.DUMMYFUNCTION("""COMPUTED_VALUE"""),"")</f>
        <v/>
      </c>
      <c r="B104" s="28" t="str">
        <f ca="1">IFERROR(__xludf.DUMMYFUNCTION("""COMPUTED_VALUE"""),"")</f>
        <v/>
      </c>
      <c r="C104" s="27" t="str">
        <f ca="1">IFERROR(__xludf.DUMMYFUNCTION("""COMPUTED_VALUE"""),"")</f>
        <v/>
      </c>
      <c r="D104" s="27" t="str">
        <f ca="1">IFERROR(__xludf.DUMMYFUNCTION("""COMPUTED_VALUE"""),"")</f>
        <v/>
      </c>
      <c r="E104" s="15" t="str">
        <f ca="1">IFERROR(__xludf.DUMMYFUNCTION("""COMPUTED_VALUE"""),"")</f>
        <v/>
      </c>
      <c r="F104" s="51" t="str">
        <f ca="1">IFERROR(__xludf.DUMMYFUNCTION("""COMPUTED_VALUE"""),"")</f>
        <v/>
      </c>
      <c r="G104" s="16" t="str">
        <f ca="1">IFERROR(__xludf.DUMMYFUNCTION("""COMPUTED_VALUE"""),"")</f>
        <v/>
      </c>
      <c r="H104" s="17" t="str">
        <f ca="1">IFERROR(__xludf.DUMMYFUNCTION("""COMPUTED_VALUE"""),"")</f>
        <v/>
      </c>
      <c r="I104" s="17" t="str">
        <f ca="1">IFERROR(__xludf.DUMMYFUNCTION("""COMPUTED_VALUE"""),"")</f>
        <v/>
      </c>
      <c r="J104" s="17" t="str">
        <f ca="1">IFERROR(__xludf.DUMMYFUNCTION("""COMPUTED_VALUE"""),"")</f>
        <v/>
      </c>
      <c r="K104" s="18" t="str">
        <f ca="1">IFERROR(__xludf.DUMMYFUNCTION("""COMPUTED_VALUE"""),"")</f>
        <v/>
      </c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20"/>
      <c r="W104" s="20"/>
      <c r="X104" s="20"/>
      <c r="Y104" s="20"/>
      <c r="Z104" s="21"/>
      <c r="AA104" s="22"/>
      <c r="AB104" s="23"/>
    </row>
    <row r="105" spans="1:28" ht="13.5" customHeight="1" x14ac:dyDescent="0.35">
      <c r="A105" s="24" t="str">
        <f ca="1">IFERROR(__xludf.DUMMYFUNCTION("""COMPUTED_VALUE"""),"")</f>
        <v/>
      </c>
      <c r="B105" s="28" t="str">
        <f ca="1">IFERROR(__xludf.DUMMYFUNCTION("""COMPUTED_VALUE"""),"")</f>
        <v/>
      </c>
      <c r="C105" s="27" t="str">
        <f ca="1">IFERROR(__xludf.DUMMYFUNCTION("""COMPUTED_VALUE"""),"")</f>
        <v/>
      </c>
      <c r="D105" s="27" t="str">
        <f ca="1">IFERROR(__xludf.DUMMYFUNCTION("""COMPUTED_VALUE"""),"")</f>
        <v/>
      </c>
      <c r="E105" s="15" t="str">
        <f ca="1">IFERROR(__xludf.DUMMYFUNCTION("""COMPUTED_VALUE"""),"")</f>
        <v/>
      </c>
      <c r="F105" s="51" t="str">
        <f ca="1">IFERROR(__xludf.DUMMYFUNCTION("""COMPUTED_VALUE"""),"")</f>
        <v/>
      </c>
      <c r="G105" s="16" t="str">
        <f ca="1">IFERROR(__xludf.DUMMYFUNCTION("""COMPUTED_VALUE"""),"")</f>
        <v/>
      </c>
      <c r="H105" s="17" t="str">
        <f ca="1">IFERROR(__xludf.DUMMYFUNCTION("""COMPUTED_VALUE"""),"")</f>
        <v/>
      </c>
      <c r="I105" s="17" t="str">
        <f ca="1">IFERROR(__xludf.DUMMYFUNCTION("""COMPUTED_VALUE"""),"")</f>
        <v/>
      </c>
      <c r="J105" s="17" t="str">
        <f ca="1">IFERROR(__xludf.DUMMYFUNCTION("""COMPUTED_VALUE"""),"")</f>
        <v/>
      </c>
      <c r="K105" s="18" t="str">
        <f ca="1">IFERROR(__xludf.DUMMYFUNCTION("""COMPUTED_VALUE"""),"")</f>
        <v/>
      </c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V105" s="20"/>
      <c r="W105" s="20"/>
      <c r="X105" s="20"/>
      <c r="Y105" s="20"/>
      <c r="Z105" s="21"/>
      <c r="AA105" s="22"/>
      <c r="AB105" s="23"/>
    </row>
    <row r="106" spans="1:28" ht="13.5" customHeight="1" x14ac:dyDescent="0.35">
      <c r="A106" s="24" t="str">
        <f ca="1">IFERROR(__xludf.DUMMYFUNCTION("""COMPUTED_VALUE"""),"")</f>
        <v/>
      </c>
      <c r="B106" s="28" t="str">
        <f ca="1">IFERROR(__xludf.DUMMYFUNCTION("""COMPUTED_VALUE"""),"")</f>
        <v/>
      </c>
      <c r="C106" s="27" t="str">
        <f ca="1">IFERROR(__xludf.DUMMYFUNCTION("""COMPUTED_VALUE"""),"")</f>
        <v/>
      </c>
      <c r="D106" s="27" t="str">
        <f ca="1">IFERROR(__xludf.DUMMYFUNCTION("""COMPUTED_VALUE"""),"")</f>
        <v/>
      </c>
      <c r="E106" s="15" t="str">
        <f ca="1">IFERROR(__xludf.DUMMYFUNCTION("""COMPUTED_VALUE"""),"")</f>
        <v/>
      </c>
      <c r="F106" s="51" t="str">
        <f ca="1">IFERROR(__xludf.DUMMYFUNCTION("""COMPUTED_VALUE"""),"")</f>
        <v/>
      </c>
      <c r="G106" s="16" t="str">
        <f ca="1">IFERROR(__xludf.DUMMYFUNCTION("""COMPUTED_VALUE"""),"")</f>
        <v/>
      </c>
      <c r="H106" s="17" t="str">
        <f ca="1">IFERROR(__xludf.DUMMYFUNCTION("""COMPUTED_VALUE"""),"")</f>
        <v/>
      </c>
      <c r="I106" s="17" t="str">
        <f ca="1">IFERROR(__xludf.DUMMYFUNCTION("""COMPUTED_VALUE"""),"")</f>
        <v/>
      </c>
      <c r="J106" s="17" t="str">
        <f ca="1">IFERROR(__xludf.DUMMYFUNCTION("""COMPUTED_VALUE"""),"")</f>
        <v/>
      </c>
      <c r="K106" s="18" t="str">
        <f ca="1">IFERROR(__xludf.DUMMYFUNCTION("""COMPUTED_VALUE"""),"")</f>
        <v/>
      </c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20"/>
      <c r="W106" s="20"/>
      <c r="X106" s="20"/>
      <c r="Y106" s="20"/>
      <c r="Z106" s="21"/>
      <c r="AA106" s="22"/>
      <c r="AB106" s="23"/>
    </row>
    <row r="107" spans="1:28" ht="13.5" customHeight="1" x14ac:dyDescent="0.35">
      <c r="A107" s="24" t="str">
        <f ca="1">IFERROR(__xludf.DUMMYFUNCTION("""COMPUTED_VALUE"""),"")</f>
        <v/>
      </c>
      <c r="B107" s="28" t="str">
        <f ca="1">IFERROR(__xludf.DUMMYFUNCTION("""COMPUTED_VALUE"""),"")</f>
        <v/>
      </c>
      <c r="C107" s="27" t="str">
        <f ca="1">IFERROR(__xludf.DUMMYFUNCTION("""COMPUTED_VALUE"""),"")</f>
        <v/>
      </c>
      <c r="D107" s="27" t="str">
        <f ca="1">IFERROR(__xludf.DUMMYFUNCTION("""COMPUTED_VALUE"""),"")</f>
        <v/>
      </c>
      <c r="E107" s="15" t="str">
        <f ca="1">IFERROR(__xludf.DUMMYFUNCTION("""COMPUTED_VALUE"""),"")</f>
        <v/>
      </c>
      <c r="F107" s="51" t="str">
        <f ca="1">IFERROR(__xludf.DUMMYFUNCTION("""COMPUTED_VALUE"""),"")</f>
        <v/>
      </c>
      <c r="G107" s="16" t="str">
        <f ca="1">IFERROR(__xludf.DUMMYFUNCTION("""COMPUTED_VALUE"""),"")</f>
        <v/>
      </c>
      <c r="H107" s="17" t="str">
        <f ca="1">IFERROR(__xludf.DUMMYFUNCTION("""COMPUTED_VALUE"""),"")</f>
        <v/>
      </c>
      <c r="I107" s="17" t="str">
        <f ca="1">IFERROR(__xludf.DUMMYFUNCTION("""COMPUTED_VALUE"""),"")</f>
        <v/>
      </c>
      <c r="J107" s="17" t="str">
        <f ca="1">IFERROR(__xludf.DUMMYFUNCTION("""COMPUTED_VALUE"""),"")</f>
        <v/>
      </c>
      <c r="K107" s="18" t="str">
        <f ca="1">IFERROR(__xludf.DUMMYFUNCTION("""COMPUTED_VALUE"""),"")</f>
        <v/>
      </c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20"/>
      <c r="W107" s="20"/>
      <c r="X107" s="20"/>
      <c r="Y107" s="20"/>
      <c r="Z107" s="21"/>
      <c r="AA107" s="22"/>
      <c r="AB107" s="23"/>
    </row>
    <row r="108" spans="1:28" ht="13.5" customHeight="1" x14ac:dyDescent="0.35">
      <c r="A108" s="24" t="str">
        <f ca="1">IFERROR(__xludf.DUMMYFUNCTION("""COMPUTED_VALUE"""),"")</f>
        <v/>
      </c>
      <c r="B108" s="28" t="str">
        <f ca="1">IFERROR(__xludf.DUMMYFUNCTION("""COMPUTED_VALUE"""),"")</f>
        <v/>
      </c>
      <c r="C108" s="27" t="str">
        <f ca="1">IFERROR(__xludf.DUMMYFUNCTION("""COMPUTED_VALUE"""),"")</f>
        <v/>
      </c>
      <c r="D108" s="27" t="str">
        <f ca="1">IFERROR(__xludf.DUMMYFUNCTION("""COMPUTED_VALUE"""),"")</f>
        <v/>
      </c>
      <c r="E108" s="15" t="str">
        <f ca="1">IFERROR(__xludf.DUMMYFUNCTION("""COMPUTED_VALUE"""),"")</f>
        <v/>
      </c>
      <c r="F108" s="51" t="str">
        <f ca="1">IFERROR(__xludf.DUMMYFUNCTION("""COMPUTED_VALUE"""),"")</f>
        <v/>
      </c>
      <c r="G108" s="16" t="str">
        <f ca="1">IFERROR(__xludf.DUMMYFUNCTION("""COMPUTED_VALUE"""),"")</f>
        <v/>
      </c>
      <c r="H108" s="17" t="str">
        <f ca="1">IFERROR(__xludf.DUMMYFUNCTION("""COMPUTED_VALUE"""),"")</f>
        <v/>
      </c>
      <c r="I108" s="17" t="str">
        <f ca="1">IFERROR(__xludf.DUMMYFUNCTION("""COMPUTED_VALUE"""),"")</f>
        <v/>
      </c>
      <c r="J108" s="17" t="str">
        <f ca="1">IFERROR(__xludf.DUMMYFUNCTION("""COMPUTED_VALUE"""),"")</f>
        <v/>
      </c>
      <c r="K108" s="18" t="str">
        <f ca="1">IFERROR(__xludf.DUMMYFUNCTION("""COMPUTED_VALUE"""),"")</f>
        <v/>
      </c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20"/>
      <c r="W108" s="20"/>
      <c r="X108" s="20"/>
      <c r="Y108" s="20"/>
      <c r="Z108" s="21"/>
      <c r="AA108" s="22"/>
      <c r="AB108" s="23"/>
    </row>
    <row r="109" spans="1:28" ht="13.5" customHeight="1" x14ac:dyDescent="0.35">
      <c r="A109" s="24" t="str">
        <f ca="1">IFERROR(__xludf.DUMMYFUNCTION("""COMPUTED_VALUE"""),"")</f>
        <v/>
      </c>
      <c r="B109" s="28" t="str">
        <f ca="1">IFERROR(__xludf.DUMMYFUNCTION("""COMPUTED_VALUE"""),"")</f>
        <v/>
      </c>
      <c r="C109" s="27" t="str">
        <f ca="1">IFERROR(__xludf.DUMMYFUNCTION("""COMPUTED_VALUE"""),"")</f>
        <v/>
      </c>
      <c r="D109" s="27" t="str">
        <f ca="1">IFERROR(__xludf.DUMMYFUNCTION("""COMPUTED_VALUE"""),"")</f>
        <v/>
      </c>
      <c r="E109" s="15" t="str">
        <f ca="1">IFERROR(__xludf.DUMMYFUNCTION("""COMPUTED_VALUE"""),"")</f>
        <v/>
      </c>
      <c r="F109" s="51" t="str">
        <f ca="1">IFERROR(__xludf.DUMMYFUNCTION("""COMPUTED_VALUE"""),"")</f>
        <v/>
      </c>
      <c r="G109" s="16" t="str">
        <f ca="1">IFERROR(__xludf.DUMMYFUNCTION("""COMPUTED_VALUE"""),"")</f>
        <v/>
      </c>
      <c r="H109" s="17" t="str">
        <f ca="1">IFERROR(__xludf.DUMMYFUNCTION("""COMPUTED_VALUE"""),"")</f>
        <v/>
      </c>
      <c r="I109" s="17" t="str">
        <f ca="1">IFERROR(__xludf.DUMMYFUNCTION("""COMPUTED_VALUE"""),"")</f>
        <v/>
      </c>
      <c r="J109" s="17" t="str">
        <f ca="1">IFERROR(__xludf.DUMMYFUNCTION("""COMPUTED_VALUE"""),"")</f>
        <v/>
      </c>
      <c r="K109" s="18" t="str">
        <f ca="1">IFERROR(__xludf.DUMMYFUNCTION("""COMPUTED_VALUE"""),"")</f>
        <v/>
      </c>
      <c r="L109" s="19"/>
      <c r="M109" s="19"/>
      <c r="N109" s="19"/>
      <c r="O109" s="19"/>
      <c r="P109" s="19"/>
      <c r="Q109" s="19"/>
      <c r="R109" s="19"/>
      <c r="S109" s="19"/>
      <c r="T109" s="19"/>
      <c r="U109" s="19"/>
      <c r="V109" s="20"/>
      <c r="W109" s="20"/>
      <c r="X109" s="20"/>
      <c r="Y109" s="20"/>
      <c r="Z109" s="21"/>
      <c r="AA109" s="22"/>
      <c r="AB109" s="23"/>
    </row>
    <row r="110" spans="1:28" ht="13.5" customHeight="1" x14ac:dyDescent="0.35">
      <c r="A110" s="24" t="str">
        <f ca="1">IFERROR(__xludf.DUMMYFUNCTION("""COMPUTED_VALUE"""),"")</f>
        <v/>
      </c>
      <c r="B110" s="28" t="str">
        <f ca="1">IFERROR(__xludf.DUMMYFUNCTION("""COMPUTED_VALUE"""),"")</f>
        <v/>
      </c>
      <c r="C110" s="27" t="str">
        <f ca="1">IFERROR(__xludf.DUMMYFUNCTION("""COMPUTED_VALUE"""),"")</f>
        <v/>
      </c>
      <c r="D110" s="27" t="str">
        <f ca="1">IFERROR(__xludf.DUMMYFUNCTION("""COMPUTED_VALUE"""),"")</f>
        <v/>
      </c>
      <c r="E110" s="15" t="str">
        <f ca="1">IFERROR(__xludf.DUMMYFUNCTION("""COMPUTED_VALUE"""),"")</f>
        <v/>
      </c>
      <c r="F110" s="51" t="str">
        <f ca="1">IFERROR(__xludf.DUMMYFUNCTION("""COMPUTED_VALUE"""),"")</f>
        <v/>
      </c>
      <c r="G110" s="16" t="str">
        <f ca="1">IFERROR(__xludf.DUMMYFUNCTION("""COMPUTED_VALUE"""),"")</f>
        <v/>
      </c>
      <c r="H110" s="17" t="str">
        <f ca="1">IFERROR(__xludf.DUMMYFUNCTION("""COMPUTED_VALUE"""),"")</f>
        <v/>
      </c>
      <c r="I110" s="17" t="str">
        <f ca="1">IFERROR(__xludf.DUMMYFUNCTION("""COMPUTED_VALUE"""),"")</f>
        <v/>
      </c>
      <c r="J110" s="17" t="str">
        <f ca="1">IFERROR(__xludf.DUMMYFUNCTION("""COMPUTED_VALUE"""),"")</f>
        <v/>
      </c>
      <c r="K110" s="18" t="str">
        <f ca="1">IFERROR(__xludf.DUMMYFUNCTION("""COMPUTED_VALUE"""),"")</f>
        <v/>
      </c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20"/>
      <c r="W110" s="20"/>
      <c r="X110" s="20"/>
      <c r="Y110" s="20"/>
      <c r="Z110" s="21"/>
      <c r="AA110" s="22"/>
      <c r="AB110" s="23"/>
    </row>
    <row r="111" spans="1:28" ht="13.5" customHeight="1" x14ac:dyDescent="0.35">
      <c r="A111" s="24" t="str">
        <f ca="1">IFERROR(__xludf.DUMMYFUNCTION("""COMPUTED_VALUE"""),"")</f>
        <v/>
      </c>
      <c r="B111" s="28" t="str">
        <f ca="1">IFERROR(__xludf.DUMMYFUNCTION("""COMPUTED_VALUE"""),"")</f>
        <v/>
      </c>
      <c r="C111" s="27" t="str">
        <f ca="1">IFERROR(__xludf.DUMMYFUNCTION("""COMPUTED_VALUE"""),"")</f>
        <v/>
      </c>
      <c r="D111" s="27" t="str">
        <f ca="1">IFERROR(__xludf.DUMMYFUNCTION("""COMPUTED_VALUE"""),"")</f>
        <v/>
      </c>
      <c r="E111" s="15" t="str">
        <f ca="1">IFERROR(__xludf.DUMMYFUNCTION("""COMPUTED_VALUE"""),"")</f>
        <v/>
      </c>
      <c r="F111" s="51" t="str">
        <f ca="1">IFERROR(__xludf.DUMMYFUNCTION("""COMPUTED_VALUE"""),"")</f>
        <v/>
      </c>
      <c r="G111" s="16" t="str">
        <f ca="1">IFERROR(__xludf.DUMMYFUNCTION("""COMPUTED_VALUE"""),"")</f>
        <v/>
      </c>
      <c r="H111" s="17" t="str">
        <f ca="1">IFERROR(__xludf.DUMMYFUNCTION("""COMPUTED_VALUE"""),"")</f>
        <v/>
      </c>
      <c r="I111" s="17" t="str">
        <f ca="1">IFERROR(__xludf.DUMMYFUNCTION("""COMPUTED_VALUE"""),"")</f>
        <v/>
      </c>
      <c r="J111" s="17" t="str">
        <f ca="1">IFERROR(__xludf.DUMMYFUNCTION("""COMPUTED_VALUE"""),"")</f>
        <v/>
      </c>
      <c r="K111" s="18" t="str">
        <f ca="1">IFERROR(__xludf.DUMMYFUNCTION("""COMPUTED_VALUE"""),"")</f>
        <v/>
      </c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V111" s="20"/>
      <c r="W111" s="20"/>
      <c r="X111" s="20"/>
      <c r="Y111" s="20"/>
      <c r="Z111" s="21"/>
      <c r="AA111" s="22"/>
      <c r="AB111" s="23"/>
    </row>
    <row r="112" spans="1:28" ht="13.5" customHeight="1" x14ac:dyDescent="0.35">
      <c r="A112" s="24" t="str">
        <f ca="1">IFERROR(__xludf.DUMMYFUNCTION("""COMPUTED_VALUE"""),"")</f>
        <v/>
      </c>
      <c r="B112" s="28" t="str">
        <f ca="1">IFERROR(__xludf.DUMMYFUNCTION("""COMPUTED_VALUE"""),"")</f>
        <v/>
      </c>
      <c r="C112" s="27" t="str">
        <f ca="1">IFERROR(__xludf.DUMMYFUNCTION("""COMPUTED_VALUE"""),"")</f>
        <v/>
      </c>
      <c r="D112" s="27" t="str">
        <f ca="1">IFERROR(__xludf.DUMMYFUNCTION("""COMPUTED_VALUE"""),"")</f>
        <v/>
      </c>
      <c r="E112" s="15" t="str">
        <f ca="1">IFERROR(__xludf.DUMMYFUNCTION("""COMPUTED_VALUE"""),"")</f>
        <v/>
      </c>
      <c r="F112" s="51" t="str">
        <f ca="1">IFERROR(__xludf.DUMMYFUNCTION("""COMPUTED_VALUE"""),"")</f>
        <v/>
      </c>
      <c r="G112" s="16" t="str">
        <f ca="1">IFERROR(__xludf.DUMMYFUNCTION("""COMPUTED_VALUE"""),"")</f>
        <v/>
      </c>
      <c r="H112" s="17" t="str">
        <f ca="1">IFERROR(__xludf.DUMMYFUNCTION("""COMPUTED_VALUE"""),"")</f>
        <v/>
      </c>
      <c r="I112" s="17" t="str">
        <f ca="1">IFERROR(__xludf.DUMMYFUNCTION("""COMPUTED_VALUE"""),"")</f>
        <v/>
      </c>
      <c r="J112" s="17" t="str">
        <f ca="1">IFERROR(__xludf.DUMMYFUNCTION("""COMPUTED_VALUE"""),"")</f>
        <v/>
      </c>
      <c r="K112" s="18" t="str">
        <f ca="1">IFERROR(__xludf.DUMMYFUNCTION("""COMPUTED_VALUE"""),"")</f>
        <v/>
      </c>
      <c r="L112" s="19"/>
      <c r="M112" s="19"/>
      <c r="N112" s="19"/>
      <c r="O112" s="19"/>
      <c r="P112" s="19"/>
      <c r="Q112" s="19"/>
      <c r="R112" s="19"/>
      <c r="S112" s="19"/>
      <c r="T112" s="19"/>
      <c r="U112" s="19"/>
      <c r="V112" s="20"/>
      <c r="W112" s="20"/>
      <c r="X112" s="20"/>
      <c r="Y112" s="20"/>
      <c r="Z112" s="21"/>
      <c r="AA112" s="22"/>
      <c r="AB112" s="23"/>
    </row>
    <row r="113" spans="1:28" ht="13.5" customHeight="1" x14ac:dyDescent="0.35">
      <c r="A113" s="24" t="str">
        <f ca="1">IFERROR(__xludf.DUMMYFUNCTION("""COMPUTED_VALUE"""),"")</f>
        <v/>
      </c>
      <c r="B113" s="28" t="str">
        <f ca="1">IFERROR(__xludf.DUMMYFUNCTION("""COMPUTED_VALUE"""),"")</f>
        <v/>
      </c>
      <c r="C113" s="27" t="str">
        <f ca="1">IFERROR(__xludf.DUMMYFUNCTION("""COMPUTED_VALUE"""),"")</f>
        <v/>
      </c>
      <c r="D113" s="27" t="str">
        <f ca="1">IFERROR(__xludf.DUMMYFUNCTION("""COMPUTED_VALUE"""),"")</f>
        <v/>
      </c>
      <c r="E113" s="15" t="str">
        <f ca="1">IFERROR(__xludf.DUMMYFUNCTION("""COMPUTED_VALUE"""),"")</f>
        <v/>
      </c>
      <c r="F113" s="51" t="str">
        <f ca="1">IFERROR(__xludf.DUMMYFUNCTION("""COMPUTED_VALUE"""),"")</f>
        <v/>
      </c>
      <c r="G113" s="16" t="str">
        <f ca="1">IFERROR(__xludf.DUMMYFUNCTION("""COMPUTED_VALUE"""),"")</f>
        <v/>
      </c>
      <c r="H113" s="17" t="str">
        <f ca="1">IFERROR(__xludf.DUMMYFUNCTION("""COMPUTED_VALUE"""),"")</f>
        <v/>
      </c>
      <c r="I113" s="17" t="str">
        <f ca="1">IFERROR(__xludf.DUMMYFUNCTION("""COMPUTED_VALUE"""),"")</f>
        <v/>
      </c>
      <c r="J113" s="17" t="str">
        <f ca="1">IFERROR(__xludf.DUMMYFUNCTION("""COMPUTED_VALUE"""),"")</f>
        <v/>
      </c>
      <c r="K113" s="18" t="str">
        <f ca="1">IFERROR(__xludf.DUMMYFUNCTION("""COMPUTED_VALUE"""),"")</f>
        <v/>
      </c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20"/>
      <c r="W113" s="20"/>
      <c r="X113" s="20"/>
      <c r="Y113" s="20"/>
      <c r="Z113" s="21"/>
      <c r="AA113" s="22"/>
      <c r="AB113" s="23"/>
    </row>
    <row r="114" spans="1:28" ht="13.5" customHeight="1" x14ac:dyDescent="0.35">
      <c r="A114" s="24" t="str">
        <f ca="1">IFERROR(__xludf.DUMMYFUNCTION("""COMPUTED_VALUE"""),"")</f>
        <v/>
      </c>
      <c r="B114" s="28" t="str">
        <f ca="1">IFERROR(__xludf.DUMMYFUNCTION("""COMPUTED_VALUE"""),"")</f>
        <v/>
      </c>
      <c r="C114" s="27" t="str">
        <f ca="1">IFERROR(__xludf.DUMMYFUNCTION("""COMPUTED_VALUE"""),"")</f>
        <v/>
      </c>
      <c r="D114" s="27" t="str">
        <f ca="1">IFERROR(__xludf.DUMMYFUNCTION("""COMPUTED_VALUE"""),"")</f>
        <v/>
      </c>
      <c r="E114" s="15" t="str">
        <f ca="1">IFERROR(__xludf.DUMMYFUNCTION("""COMPUTED_VALUE"""),"")</f>
        <v/>
      </c>
      <c r="F114" s="51" t="str">
        <f ca="1">IFERROR(__xludf.DUMMYFUNCTION("""COMPUTED_VALUE"""),"")</f>
        <v/>
      </c>
      <c r="G114" s="16" t="str">
        <f ca="1">IFERROR(__xludf.DUMMYFUNCTION("""COMPUTED_VALUE"""),"")</f>
        <v/>
      </c>
      <c r="H114" s="17" t="str">
        <f ca="1">IFERROR(__xludf.DUMMYFUNCTION("""COMPUTED_VALUE"""),"")</f>
        <v/>
      </c>
      <c r="I114" s="17" t="str">
        <f ca="1">IFERROR(__xludf.DUMMYFUNCTION("""COMPUTED_VALUE"""),"")</f>
        <v/>
      </c>
      <c r="J114" s="17" t="str">
        <f ca="1">IFERROR(__xludf.DUMMYFUNCTION("""COMPUTED_VALUE"""),"")</f>
        <v/>
      </c>
      <c r="K114" s="18" t="str">
        <f ca="1">IFERROR(__xludf.DUMMYFUNCTION("""COMPUTED_VALUE"""),"")</f>
        <v/>
      </c>
      <c r="L114" s="19"/>
      <c r="M114" s="19"/>
      <c r="N114" s="19"/>
      <c r="O114" s="19"/>
      <c r="P114" s="19"/>
      <c r="Q114" s="19"/>
      <c r="R114" s="19"/>
      <c r="S114" s="19"/>
      <c r="T114" s="19"/>
      <c r="U114" s="19"/>
      <c r="V114" s="20"/>
      <c r="W114" s="20"/>
      <c r="X114" s="20"/>
      <c r="Y114" s="20"/>
      <c r="Z114" s="21"/>
      <c r="AA114" s="22"/>
      <c r="AB114" s="23"/>
    </row>
    <row r="115" spans="1:28" ht="13.5" customHeight="1" x14ac:dyDescent="0.35">
      <c r="A115" s="24" t="str">
        <f ca="1">IFERROR(__xludf.DUMMYFUNCTION("""COMPUTED_VALUE"""),"")</f>
        <v/>
      </c>
      <c r="B115" s="28" t="str">
        <f ca="1">IFERROR(__xludf.DUMMYFUNCTION("""COMPUTED_VALUE"""),"")</f>
        <v/>
      </c>
      <c r="C115" s="27" t="str">
        <f ca="1">IFERROR(__xludf.DUMMYFUNCTION("""COMPUTED_VALUE"""),"")</f>
        <v/>
      </c>
      <c r="D115" s="27" t="str">
        <f ca="1">IFERROR(__xludf.DUMMYFUNCTION("""COMPUTED_VALUE"""),"")</f>
        <v/>
      </c>
      <c r="E115" s="15" t="str">
        <f ca="1">IFERROR(__xludf.DUMMYFUNCTION("""COMPUTED_VALUE"""),"")</f>
        <v/>
      </c>
      <c r="F115" s="51" t="str">
        <f ca="1">IFERROR(__xludf.DUMMYFUNCTION("""COMPUTED_VALUE"""),"")</f>
        <v/>
      </c>
      <c r="G115" s="16" t="str">
        <f ca="1">IFERROR(__xludf.DUMMYFUNCTION("""COMPUTED_VALUE"""),"")</f>
        <v/>
      </c>
      <c r="H115" s="17" t="str">
        <f ca="1">IFERROR(__xludf.DUMMYFUNCTION("""COMPUTED_VALUE"""),"")</f>
        <v/>
      </c>
      <c r="I115" s="17" t="str">
        <f ca="1">IFERROR(__xludf.DUMMYFUNCTION("""COMPUTED_VALUE"""),"")</f>
        <v/>
      </c>
      <c r="J115" s="17" t="str">
        <f ca="1">IFERROR(__xludf.DUMMYFUNCTION("""COMPUTED_VALUE"""),"")</f>
        <v/>
      </c>
      <c r="K115" s="18" t="str">
        <f ca="1">IFERROR(__xludf.DUMMYFUNCTION("""COMPUTED_VALUE"""),"")</f>
        <v/>
      </c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20"/>
      <c r="W115" s="20"/>
      <c r="X115" s="20"/>
      <c r="Y115" s="20"/>
      <c r="Z115" s="21"/>
      <c r="AA115" s="22"/>
      <c r="AB115" s="23"/>
    </row>
    <row r="116" spans="1:28" ht="13.5" customHeight="1" x14ac:dyDescent="0.35">
      <c r="A116" s="24" t="str">
        <f ca="1">IFERROR(__xludf.DUMMYFUNCTION("""COMPUTED_VALUE"""),"")</f>
        <v/>
      </c>
      <c r="B116" s="28" t="str">
        <f ca="1">IFERROR(__xludf.DUMMYFUNCTION("""COMPUTED_VALUE"""),"")</f>
        <v/>
      </c>
      <c r="C116" s="27" t="str">
        <f ca="1">IFERROR(__xludf.DUMMYFUNCTION("""COMPUTED_VALUE"""),"")</f>
        <v/>
      </c>
      <c r="D116" s="27" t="str">
        <f ca="1">IFERROR(__xludf.DUMMYFUNCTION("""COMPUTED_VALUE"""),"")</f>
        <v/>
      </c>
      <c r="E116" s="15" t="str">
        <f ca="1">IFERROR(__xludf.DUMMYFUNCTION("""COMPUTED_VALUE"""),"")</f>
        <v/>
      </c>
      <c r="F116" s="51" t="str">
        <f ca="1">IFERROR(__xludf.DUMMYFUNCTION("""COMPUTED_VALUE"""),"")</f>
        <v/>
      </c>
      <c r="G116" s="16" t="str">
        <f ca="1">IFERROR(__xludf.DUMMYFUNCTION("""COMPUTED_VALUE"""),"")</f>
        <v/>
      </c>
      <c r="H116" s="17" t="str">
        <f ca="1">IFERROR(__xludf.DUMMYFUNCTION("""COMPUTED_VALUE"""),"")</f>
        <v/>
      </c>
      <c r="I116" s="17" t="str">
        <f ca="1">IFERROR(__xludf.DUMMYFUNCTION("""COMPUTED_VALUE"""),"")</f>
        <v/>
      </c>
      <c r="J116" s="17" t="str">
        <f ca="1">IFERROR(__xludf.DUMMYFUNCTION("""COMPUTED_VALUE"""),"")</f>
        <v/>
      </c>
      <c r="K116" s="18" t="str">
        <f ca="1">IFERROR(__xludf.DUMMYFUNCTION("""COMPUTED_VALUE"""),"")</f>
        <v/>
      </c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20"/>
      <c r="W116" s="20"/>
      <c r="X116" s="20"/>
      <c r="Y116" s="20"/>
      <c r="Z116" s="21"/>
      <c r="AA116" s="22"/>
      <c r="AB116" s="23"/>
    </row>
    <row r="117" spans="1:28" ht="13.5" customHeight="1" x14ac:dyDescent="0.35">
      <c r="A117" s="24" t="str">
        <f ca="1">IFERROR(__xludf.DUMMYFUNCTION("""COMPUTED_VALUE"""),"")</f>
        <v/>
      </c>
      <c r="B117" s="28" t="str">
        <f ca="1">IFERROR(__xludf.DUMMYFUNCTION("""COMPUTED_VALUE"""),"")</f>
        <v/>
      </c>
      <c r="C117" s="27" t="str">
        <f ca="1">IFERROR(__xludf.DUMMYFUNCTION("""COMPUTED_VALUE"""),"")</f>
        <v/>
      </c>
      <c r="D117" s="27" t="str">
        <f ca="1">IFERROR(__xludf.DUMMYFUNCTION("""COMPUTED_VALUE"""),"")</f>
        <v/>
      </c>
      <c r="E117" s="15" t="str">
        <f ca="1">IFERROR(__xludf.DUMMYFUNCTION("""COMPUTED_VALUE"""),"")</f>
        <v/>
      </c>
      <c r="F117" s="51" t="str">
        <f ca="1">IFERROR(__xludf.DUMMYFUNCTION("""COMPUTED_VALUE"""),"")</f>
        <v/>
      </c>
      <c r="G117" s="16" t="str">
        <f ca="1">IFERROR(__xludf.DUMMYFUNCTION("""COMPUTED_VALUE"""),"")</f>
        <v/>
      </c>
      <c r="H117" s="17" t="str">
        <f ca="1">IFERROR(__xludf.DUMMYFUNCTION("""COMPUTED_VALUE"""),"")</f>
        <v/>
      </c>
      <c r="I117" s="17" t="str">
        <f ca="1">IFERROR(__xludf.DUMMYFUNCTION("""COMPUTED_VALUE"""),"")</f>
        <v/>
      </c>
      <c r="J117" s="17" t="str">
        <f ca="1">IFERROR(__xludf.DUMMYFUNCTION("""COMPUTED_VALUE"""),"")</f>
        <v/>
      </c>
      <c r="K117" s="18" t="str">
        <f ca="1">IFERROR(__xludf.DUMMYFUNCTION("""COMPUTED_VALUE"""),"")</f>
        <v/>
      </c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20"/>
      <c r="W117" s="20"/>
      <c r="X117" s="20"/>
      <c r="Y117" s="20"/>
      <c r="Z117" s="21"/>
      <c r="AA117" s="22"/>
      <c r="AB117" s="23"/>
    </row>
    <row r="118" spans="1:28" ht="13.5" customHeight="1" x14ac:dyDescent="0.35">
      <c r="A118" s="24" t="str">
        <f ca="1">IFERROR(__xludf.DUMMYFUNCTION("""COMPUTED_VALUE"""),"")</f>
        <v/>
      </c>
      <c r="B118" s="28" t="str">
        <f ca="1">IFERROR(__xludf.DUMMYFUNCTION("""COMPUTED_VALUE"""),"")</f>
        <v/>
      </c>
      <c r="C118" s="27" t="str">
        <f ca="1">IFERROR(__xludf.DUMMYFUNCTION("""COMPUTED_VALUE"""),"")</f>
        <v/>
      </c>
      <c r="D118" s="27" t="str">
        <f ca="1">IFERROR(__xludf.DUMMYFUNCTION("""COMPUTED_VALUE"""),"")</f>
        <v/>
      </c>
      <c r="E118" s="15" t="str">
        <f ca="1">IFERROR(__xludf.DUMMYFUNCTION("""COMPUTED_VALUE"""),"")</f>
        <v/>
      </c>
      <c r="F118" s="51" t="str">
        <f ca="1">IFERROR(__xludf.DUMMYFUNCTION("""COMPUTED_VALUE"""),"")</f>
        <v/>
      </c>
      <c r="G118" s="16" t="str">
        <f ca="1">IFERROR(__xludf.DUMMYFUNCTION("""COMPUTED_VALUE"""),"")</f>
        <v/>
      </c>
      <c r="H118" s="17" t="str">
        <f ca="1">IFERROR(__xludf.DUMMYFUNCTION("""COMPUTED_VALUE"""),"")</f>
        <v/>
      </c>
      <c r="I118" s="17" t="str">
        <f ca="1">IFERROR(__xludf.DUMMYFUNCTION("""COMPUTED_VALUE"""),"")</f>
        <v/>
      </c>
      <c r="J118" s="17" t="str">
        <f ca="1">IFERROR(__xludf.DUMMYFUNCTION("""COMPUTED_VALUE"""),"")</f>
        <v/>
      </c>
      <c r="K118" s="18" t="str">
        <f ca="1">IFERROR(__xludf.DUMMYFUNCTION("""COMPUTED_VALUE"""),"")</f>
        <v/>
      </c>
      <c r="L118" s="19"/>
      <c r="M118" s="19"/>
      <c r="N118" s="19"/>
      <c r="O118" s="19"/>
      <c r="P118" s="19"/>
      <c r="Q118" s="19"/>
      <c r="R118" s="19"/>
      <c r="S118" s="19"/>
      <c r="T118" s="19"/>
      <c r="U118" s="19"/>
      <c r="V118" s="20"/>
      <c r="W118" s="20"/>
      <c r="X118" s="20"/>
      <c r="Y118" s="20"/>
      <c r="Z118" s="21"/>
      <c r="AA118" s="22"/>
      <c r="AB118" s="23"/>
    </row>
    <row r="119" spans="1:28" ht="13.5" customHeight="1" x14ac:dyDescent="0.35">
      <c r="A119" s="24" t="str">
        <f ca="1">IFERROR(__xludf.DUMMYFUNCTION("""COMPUTED_VALUE"""),"")</f>
        <v/>
      </c>
      <c r="B119" s="28" t="str">
        <f ca="1">IFERROR(__xludf.DUMMYFUNCTION("""COMPUTED_VALUE"""),"")</f>
        <v/>
      </c>
      <c r="C119" s="27" t="str">
        <f ca="1">IFERROR(__xludf.DUMMYFUNCTION("""COMPUTED_VALUE"""),"")</f>
        <v/>
      </c>
      <c r="D119" s="27" t="str">
        <f ca="1">IFERROR(__xludf.DUMMYFUNCTION("""COMPUTED_VALUE"""),"")</f>
        <v/>
      </c>
      <c r="E119" s="15" t="str">
        <f ca="1">IFERROR(__xludf.DUMMYFUNCTION("""COMPUTED_VALUE"""),"")</f>
        <v/>
      </c>
      <c r="F119" s="51" t="str">
        <f ca="1">IFERROR(__xludf.DUMMYFUNCTION("""COMPUTED_VALUE"""),"")</f>
        <v/>
      </c>
      <c r="G119" s="16" t="str">
        <f ca="1">IFERROR(__xludf.DUMMYFUNCTION("""COMPUTED_VALUE"""),"")</f>
        <v/>
      </c>
      <c r="H119" s="17" t="str">
        <f ca="1">IFERROR(__xludf.DUMMYFUNCTION("""COMPUTED_VALUE"""),"")</f>
        <v/>
      </c>
      <c r="I119" s="17" t="str">
        <f ca="1">IFERROR(__xludf.DUMMYFUNCTION("""COMPUTED_VALUE"""),"")</f>
        <v/>
      </c>
      <c r="J119" s="17" t="str">
        <f ca="1">IFERROR(__xludf.DUMMYFUNCTION("""COMPUTED_VALUE"""),"")</f>
        <v/>
      </c>
      <c r="K119" s="18" t="str">
        <f ca="1">IFERROR(__xludf.DUMMYFUNCTION("""COMPUTED_VALUE"""),"")</f>
        <v/>
      </c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20"/>
      <c r="W119" s="20"/>
      <c r="X119" s="20"/>
      <c r="Y119" s="20"/>
      <c r="Z119" s="21"/>
      <c r="AA119" s="22"/>
      <c r="AB119" s="23"/>
    </row>
    <row r="120" spans="1:28" ht="13.5" customHeight="1" x14ac:dyDescent="0.35">
      <c r="A120" s="24" t="str">
        <f ca="1">IFERROR(__xludf.DUMMYFUNCTION("""COMPUTED_VALUE"""),"")</f>
        <v/>
      </c>
      <c r="B120" s="28" t="str">
        <f ca="1">IFERROR(__xludf.DUMMYFUNCTION("""COMPUTED_VALUE"""),"")</f>
        <v/>
      </c>
      <c r="C120" s="27" t="str">
        <f ca="1">IFERROR(__xludf.DUMMYFUNCTION("""COMPUTED_VALUE"""),"")</f>
        <v/>
      </c>
      <c r="D120" s="27" t="str">
        <f ca="1">IFERROR(__xludf.DUMMYFUNCTION("""COMPUTED_VALUE"""),"")</f>
        <v/>
      </c>
      <c r="E120" s="15" t="str">
        <f ca="1">IFERROR(__xludf.DUMMYFUNCTION("""COMPUTED_VALUE"""),"")</f>
        <v/>
      </c>
      <c r="F120" s="51" t="str">
        <f ca="1">IFERROR(__xludf.DUMMYFUNCTION("""COMPUTED_VALUE"""),"")</f>
        <v/>
      </c>
      <c r="G120" s="16" t="str">
        <f ca="1">IFERROR(__xludf.DUMMYFUNCTION("""COMPUTED_VALUE"""),"")</f>
        <v/>
      </c>
      <c r="H120" s="17" t="str">
        <f ca="1">IFERROR(__xludf.DUMMYFUNCTION("""COMPUTED_VALUE"""),"")</f>
        <v/>
      </c>
      <c r="I120" s="17" t="str">
        <f ca="1">IFERROR(__xludf.DUMMYFUNCTION("""COMPUTED_VALUE"""),"")</f>
        <v/>
      </c>
      <c r="J120" s="17" t="str">
        <f ca="1">IFERROR(__xludf.DUMMYFUNCTION("""COMPUTED_VALUE"""),"")</f>
        <v/>
      </c>
      <c r="K120" s="18" t="str">
        <f ca="1">IFERROR(__xludf.DUMMYFUNCTION("""COMPUTED_VALUE"""),"")</f>
        <v/>
      </c>
      <c r="L120" s="19"/>
      <c r="M120" s="19"/>
      <c r="N120" s="19"/>
      <c r="O120" s="19"/>
      <c r="P120" s="19"/>
      <c r="Q120" s="19"/>
      <c r="R120" s="19"/>
      <c r="S120" s="19"/>
      <c r="T120" s="19"/>
      <c r="U120" s="19"/>
      <c r="V120" s="20"/>
      <c r="W120" s="20"/>
      <c r="X120" s="20"/>
      <c r="Y120" s="20"/>
      <c r="Z120" s="21"/>
      <c r="AA120" s="22"/>
      <c r="AB120" s="23"/>
    </row>
    <row r="121" spans="1:28" ht="13.5" customHeight="1" x14ac:dyDescent="0.35">
      <c r="A121" s="24" t="str">
        <f ca="1">IFERROR(__xludf.DUMMYFUNCTION("""COMPUTED_VALUE"""),"")</f>
        <v/>
      </c>
      <c r="B121" s="28" t="str">
        <f ca="1">IFERROR(__xludf.DUMMYFUNCTION("""COMPUTED_VALUE"""),"")</f>
        <v/>
      </c>
      <c r="C121" s="27" t="str">
        <f ca="1">IFERROR(__xludf.DUMMYFUNCTION("""COMPUTED_VALUE"""),"")</f>
        <v/>
      </c>
      <c r="D121" s="27" t="str">
        <f ca="1">IFERROR(__xludf.DUMMYFUNCTION("""COMPUTED_VALUE"""),"")</f>
        <v/>
      </c>
      <c r="E121" s="15" t="str">
        <f ca="1">IFERROR(__xludf.DUMMYFUNCTION("""COMPUTED_VALUE"""),"")</f>
        <v/>
      </c>
      <c r="F121" s="51" t="str">
        <f ca="1">IFERROR(__xludf.DUMMYFUNCTION("""COMPUTED_VALUE"""),"")</f>
        <v/>
      </c>
      <c r="G121" s="16" t="str">
        <f ca="1">IFERROR(__xludf.DUMMYFUNCTION("""COMPUTED_VALUE"""),"")</f>
        <v/>
      </c>
      <c r="H121" s="17" t="str">
        <f ca="1">IFERROR(__xludf.DUMMYFUNCTION("""COMPUTED_VALUE"""),"")</f>
        <v/>
      </c>
      <c r="I121" s="17" t="str">
        <f ca="1">IFERROR(__xludf.DUMMYFUNCTION("""COMPUTED_VALUE"""),"")</f>
        <v/>
      </c>
      <c r="J121" s="17" t="str">
        <f ca="1">IFERROR(__xludf.DUMMYFUNCTION("""COMPUTED_VALUE"""),"")</f>
        <v/>
      </c>
      <c r="K121" s="18" t="str">
        <f ca="1">IFERROR(__xludf.DUMMYFUNCTION("""COMPUTED_VALUE"""),"")</f>
        <v/>
      </c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20"/>
      <c r="W121" s="20"/>
      <c r="X121" s="20"/>
      <c r="Y121" s="20"/>
      <c r="Z121" s="21"/>
      <c r="AA121" s="22"/>
      <c r="AB121" s="23"/>
    </row>
    <row r="122" spans="1:28" ht="13.5" customHeight="1" x14ac:dyDescent="0.35">
      <c r="A122" s="24" t="str">
        <f ca="1">IFERROR(__xludf.DUMMYFUNCTION("""COMPUTED_VALUE"""),"")</f>
        <v/>
      </c>
      <c r="B122" s="28" t="str">
        <f ca="1">IFERROR(__xludf.DUMMYFUNCTION("""COMPUTED_VALUE"""),"")</f>
        <v/>
      </c>
      <c r="C122" s="27" t="str">
        <f ca="1">IFERROR(__xludf.DUMMYFUNCTION("""COMPUTED_VALUE"""),"")</f>
        <v/>
      </c>
      <c r="D122" s="27" t="str">
        <f ca="1">IFERROR(__xludf.DUMMYFUNCTION("""COMPUTED_VALUE"""),"")</f>
        <v/>
      </c>
      <c r="E122" s="15" t="str">
        <f ca="1">IFERROR(__xludf.DUMMYFUNCTION("""COMPUTED_VALUE"""),"")</f>
        <v/>
      </c>
      <c r="F122" s="51" t="str">
        <f ca="1">IFERROR(__xludf.DUMMYFUNCTION("""COMPUTED_VALUE"""),"")</f>
        <v/>
      </c>
      <c r="G122" s="16" t="str">
        <f ca="1">IFERROR(__xludf.DUMMYFUNCTION("""COMPUTED_VALUE"""),"")</f>
        <v/>
      </c>
      <c r="H122" s="17" t="str">
        <f ca="1">IFERROR(__xludf.DUMMYFUNCTION("""COMPUTED_VALUE"""),"")</f>
        <v/>
      </c>
      <c r="I122" s="17" t="str">
        <f ca="1">IFERROR(__xludf.DUMMYFUNCTION("""COMPUTED_VALUE"""),"")</f>
        <v/>
      </c>
      <c r="J122" s="17" t="str">
        <f ca="1">IFERROR(__xludf.DUMMYFUNCTION("""COMPUTED_VALUE"""),"")</f>
        <v/>
      </c>
      <c r="K122" s="18" t="str">
        <f ca="1">IFERROR(__xludf.DUMMYFUNCTION("""COMPUTED_VALUE"""),"")</f>
        <v/>
      </c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20"/>
      <c r="W122" s="20"/>
      <c r="X122" s="20"/>
      <c r="Y122" s="20"/>
      <c r="Z122" s="21"/>
      <c r="AA122" s="22"/>
      <c r="AB122" s="23"/>
    </row>
    <row r="123" spans="1:28" ht="13.5" customHeight="1" x14ac:dyDescent="0.35">
      <c r="A123" s="24" t="str">
        <f ca="1">IFERROR(__xludf.DUMMYFUNCTION("""COMPUTED_VALUE"""),"")</f>
        <v/>
      </c>
      <c r="B123" s="28" t="str">
        <f ca="1">IFERROR(__xludf.DUMMYFUNCTION("""COMPUTED_VALUE"""),"")</f>
        <v/>
      </c>
      <c r="C123" s="27" t="str">
        <f ca="1">IFERROR(__xludf.DUMMYFUNCTION("""COMPUTED_VALUE"""),"")</f>
        <v/>
      </c>
      <c r="D123" s="27" t="str">
        <f ca="1">IFERROR(__xludf.DUMMYFUNCTION("""COMPUTED_VALUE"""),"")</f>
        <v/>
      </c>
      <c r="E123" s="15" t="str">
        <f ca="1">IFERROR(__xludf.DUMMYFUNCTION("""COMPUTED_VALUE"""),"")</f>
        <v/>
      </c>
      <c r="F123" s="51" t="str">
        <f ca="1">IFERROR(__xludf.DUMMYFUNCTION("""COMPUTED_VALUE"""),"")</f>
        <v/>
      </c>
      <c r="G123" s="16" t="str">
        <f ca="1">IFERROR(__xludf.DUMMYFUNCTION("""COMPUTED_VALUE"""),"")</f>
        <v/>
      </c>
      <c r="H123" s="17" t="str">
        <f ca="1">IFERROR(__xludf.DUMMYFUNCTION("""COMPUTED_VALUE"""),"")</f>
        <v/>
      </c>
      <c r="I123" s="17" t="str">
        <f ca="1">IFERROR(__xludf.DUMMYFUNCTION("""COMPUTED_VALUE"""),"")</f>
        <v/>
      </c>
      <c r="J123" s="17" t="str">
        <f ca="1">IFERROR(__xludf.DUMMYFUNCTION("""COMPUTED_VALUE"""),"")</f>
        <v/>
      </c>
      <c r="K123" s="18" t="str">
        <f ca="1">IFERROR(__xludf.DUMMYFUNCTION("""COMPUTED_VALUE"""),"")</f>
        <v/>
      </c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V123" s="20"/>
      <c r="W123" s="20"/>
      <c r="X123" s="20"/>
      <c r="Y123" s="20"/>
      <c r="Z123" s="21"/>
      <c r="AA123" s="22"/>
      <c r="AB123" s="23"/>
    </row>
    <row r="124" spans="1:28" ht="13.5" customHeight="1" x14ac:dyDescent="0.35">
      <c r="A124" s="24" t="str">
        <f ca="1">IFERROR(__xludf.DUMMYFUNCTION("""COMPUTED_VALUE"""),"")</f>
        <v/>
      </c>
      <c r="B124" s="28" t="str">
        <f ca="1">IFERROR(__xludf.DUMMYFUNCTION("""COMPUTED_VALUE"""),"")</f>
        <v/>
      </c>
      <c r="C124" s="27" t="str">
        <f ca="1">IFERROR(__xludf.DUMMYFUNCTION("""COMPUTED_VALUE"""),"")</f>
        <v/>
      </c>
      <c r="D124" s="27" t="str">
        <f ca="1">IFERROR(__xludf.DUMMYFUNCTION("""COMPUTED_VALUE"""),"")</f>
        <v/>
      </c>
      <c r="E124" s="15" t="str">
        <f ca="1">IFERROR(__xludf.DUMMYFUNCTION("""COMPUTED_VALUE"""),"")</f>
        <v/>
      </c>
      <c r="F124" s="51" t="str">
        <f ca="1">IFERROR(__xludf.DUMMYFUNCTION("""COMPUTED_VALUE"""),"")</f>
        <v/>
      </c>
      <c r="G124" s="16" t="str">
        <f ca="1">IFERROR(__xludf.DUMMYFUNCTION("""COMPUTED_VALUE"""),"")</f>
        <v/>
      </c>
      <c r="H124" s="17" t="str">
        <f ca="1">IFERROR(__xludf.DUMMYFUNCTION("""COMPUTED_VALUE"""),"")</f>
        <v/>
      </c>
      <c r="I124" s="17" t="str">
        <f ca="1">IFERROR(__xludf.DUMMYFUNCTION("""COMPUTED_VALUE"""),"")</f>
        <v/>
      </c>
      <c r="J124" s="17" t="str">
        <f ca="1">IFERROR(__xludf.DUMMYFUNCTION("""COMPUTED_VALUE"""),"")</f>
        <v/>
      </c>
      <c r="K124" s="18" t="str">
        <f ca="1">IFERROR(__xludf.DUMMYFUNCTION("""COMPUTED_VALUE"""),"")</f>
        <v/>
      </c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20"/>
      <c r="W124" s="20"/>
      <c r="X124" s="20"/>
      <c r="Y124" s="20"/>
      <c r="Z124" s="21"/>
      <c r="AA124" s="22"/>
      <c r="AB124" s="23"/>
    </row>
    <row r="125" spans="1:28" ht="13.5" customHeight="1" x14ac:dyDescent="0.35">
      <c r="A125" s="24" t="str">
        <f ca="1">IFERROR(__xludf.DUMMYFUNCTION("""COMPUTED_VALUE"""),"")</f>
        <v/>
      </c>
      <c r="B125" s="28" t="str">
        <f ca="1">IFERROR(__xludf.DUMMYFUNCTION("""COMPUTED_VALUE"""),"")</f>
        <v/>
      </c>
      <c r="C125" s="27" t="str">
        <f ca="1">IFERROR(__xludf.DUMMYFUNCTION("""COMPUTED_VALUE"""),"")</f>
        <v/>
      </c>
      <c r="D125" s="27" t="str">
        <f ca="1">IFERROR(__xludf.DUMMYFUNCTION("""COMPUTED_VALUE"""),"")</f>
        <v/>
      </c>
      <c r="E125" s="15" t="str">
        <f ca="1">IFERROR(__xludf.DUMMYFUNCTION("""COMPUTED_VALUE"""),"")</f>
        <v/>
      </c>
      <c r="F125" s="51" t="str">
        <f ca="1">IFERROR(__xludf.DUMMYFUNCTION("""COMPUTED_VALUE"""),"")</f>
        <v/>
      </c>
      <c r="G125" s="16" t="str">
        <f ca="1">IFERROR(__xludf.DUMMYFUNCTION("""COMPUTED_VALUE"""),"")</f>
        <v/>
      </c>
      <c r="H125" s="17" t="str">
        <f ca="1">IFERROR(__xludf.DUMMYFUNCTION("""COMPUTED_VALUE"""),"")</f>
        <v/>
      </c>
      <c r="I125" s="17" t="str">
        <f ca="1">IFERROR(__xludf.DUMMYFUNCTION("""COMPUTED_VALUE"""),"")</f>
        <v/>
      </c>
      <c r="J125" s="17" t="str">
        <f ca="1">IFERROR(__xludf.DUMMYFUNCTION("""COMPUTED_VALUE"""),"")</f>
        <v/>
      </c>
      <c r="K125" s="18" t="str">
        <f ca="1">IFERROR(__xludf.DUMMYFUNCTION("""COMPUTED_VALUE"""),"")</f>
        <v/>
      </c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20"/>
      <c r="W125" s="20"/>
      <c r="X125" s="20"/>
      <c r="Y125" s="20"/>
      <c r="Z125" s="21"/>
      <c r="AA125" s="22"/>
      <c r="AB125" s="23"/>
    </row>
    <row r="126" spans="1:28" ht="13.5" customHeight="1" x14ac:dyDescent="0.35">
      <c r="A126" s="24" t="str">
        <f ca="1">IFERROR(__xludf.DUMMYFUNCTION("""COMPUTED_VALUE"""),"")</f>
        <v/>
      </c>
      <c r="B126" s="28" t="str">
        <f ca="1">IFERROR(__xludf.DUMMYFUNCTION("""COMPUTED_VALUE"""),"")</f>
        <v/>
      </c>
      <c r="C126" s="27" t="str">
        <f ca="1">IFERROR(__xludf.DUMMYFUNCTION("""COMPUTED_VALUE"""),"")</f>
        <v/>
      </c>
      <c r="D126" s="27" t="str">
        <f ca="1">IFERROR(__xludf.DUMMYFUNCTION("""COMPUTED_VALUE"""),"")</f>
        <v/>
      </c>
      <c r="E126" s="15" t="str">
        <f ca="1">IFERROR(__xludf.DUMMYFUNCTION("""COMPUTED_VALUE"""),"")</f>
        <v/>
      </c>
      <c r="F126" s="51" t="str">
        <f ca="1">IFERROR(__xludf.DUMMYFUNCTION("""COMPUTED_VALUE"""),"")</f>
        <v/>
      </c>
      <c r="G126" s="16" t="str">
        <f ca="1">IFERROR(__xludf.DUMMYFUNCTION("""COMPUTED_VALUE"""),"")</f>
        <v/>
      </c>
      <c r="H126" s="17" t="str">
        <f ca="1">IFERROR(__xludf.DUMMYFUNCTION("""COMPUTED_VALUE"""),"")</f>
        <v/>
      </c>
      <c r="I126" s="17" t="str">
        <f ca="1">IFERROR(__xludf.DUMMYFUNCTION("""COMPUTED_VALUE"""),"")</f>
        <v/>
      </c>
      <c r="J126" s="17" t="str">
        <f ca="1">IFERROR(__xludf.DUMMYFUNCTION("""COMPUTED_VALUE"""),"")</f>
        <v/>
      </c>
      <c r="K126" s="18" t="str">
        <f ca="1">IFERROR(__xludf.DUMMYFUNCTION("""COMPUTED_VALUE"""),"")</f>
        <v/>
      </c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20"/>
      <c r="W126" s="20"/>
      <c r="X126" s="20"/>
      <c r="Y126" s="20"/>
      <c r="Z126" s="21"/>
      <c r="AA126" s="22"/>
      <c r="AB126" s="23"/>
    </row>
    <row r="127" spans="1:28" ht="13.5" customHeight="1" x14ac:dyDescent="0.35">
      <c r="A127" s="24" t="str">
        <f ca="1">IFERROR(__xludf.DUMMYFUNCTION("""COMPUTED_VALUE"""),"")</f>
        <v/>
      </c>
      <c r="B127" s="28" t="str">
        <f ca="1">IFERROR(__xludf.DUMMYFUNCTION("""COMPUTED_VALUE"""),"")</f>
        <v/>
      </c>
      <c r="C127" s="27" t="str">
        <f ca="1">IFERROR(__xludf.DUMMYFUNCTION("""COMPUTED_VALUE"""),"")</f>
        <v/>
      </c>
      <c r="D127" s="27" t="str">
        <f ca="1">IFERROR(__xludf.DUMMYFUNCTION("""COMPUTED_VALUE"""),"")</f>
        <v/>
      </c>
      <c r="E127" s="15" t="str">
        <f ca="1">IFERROR(__xludf.DUMMYFUNCTION("""COMPUTED_VALUE"""),"")</f>
        <v/>
      </c>
      <c r="F127" s="51" t="str">
        <f ca="1">IFERROR(__xludf.DUMMYFUNCTION("""COMPUTED_VALUE"""),"")</f>
        <v/>
      </c>
      <c r="G127" s="16" t="str">
        <f ca="1">IFERROR(__xludf.DUMMYFUNCTION("""COMPUTED_VALUE"""),"")</f>
        <v/>
      </c>
      <c r="H127" s="17" t="str">
        <f ca="1">IFERROR(__xludf.DUMMYFUNCTION("""COMPUTED_VALUE"""),"")</f>
        <v/>
      </c>
      <c r="I127" s="17" t="str">
        <f ca="1">IFERROR(__xludf.DUMMYFUNCTION("""COMPUTED_VALUE"""),"")</f>
        <v/>
      </c>
      <c r="J127" s="17" t="str">
        <f ca="1">IFERROR(__xludf.DUMMYFUNCTION("""COMPUTED_VALUE"""),"")</f>
        <v/>
      </c>
      <c r="K127" s="18" t="str">
        <f ca="1">IFERROR(__xludf.DUMMYFUNCTION("""COMPUTED_VALUE"""),"")</f>
        <v/>
      </c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20"/>
      <c r="W127" s="20"/>
      <c r="X127" s="20"/>
      <c r="Y127" s="20"/>
      <c r="Z127" s="21"/>
      <c r="AA127" s="22"/>
      <c r="AB127" s="23"/>
    </row>
    <row r="128" spans="1:28" ht="13.5" customHeight="1" x14ac:dyDescent="0.35">
      <c r="A128" s="24" t="str">
        <f ca="1">IFERROR(__xludf.DUMMYFUNCTION("""COMPUTED_VALUE"""),"")</f>
        <v/>
      </c>
      <c r="B128" s="28" t="str">
        <f ca="1">IFERROR(__xludf.DUMMYFUNCTION("""COMPUTED_VALUE"""),"")</f>
        <v/>
      </c>
      <c r="C128" s="27" t="str">
        <f ca="1">IFERROR(__xludf.DUMMYFUNCTION("""COMPUTED_VALUE"""),"")</f>
        <v/>
      </c>
      <c r="D128" s="27" t="str">
        <f ca="1">IFERROR(__xludf.DUMMYFUNCTION("""COMPUTED_VALUE"""),"")</f>
        <v/>
      </c>
      <c r="E128" s="15" t="str">
        <f ca="1">IFERROR(__xludf.DUMMYFUNCTION("""COMPUTED_VALUE"""),"")</f>
        <v/>
      </c>
      <c r="F128" s="51" t="str">
        <f ca="1">IFERROR(__xludf.DUMMYFUNCTION("""COMPUTED_VALUE"""),"")</f>
        <v/>
      </c>
      <c r="G128" s="16" t="str">
        <f ca="1">IFERROR(__xludf.DUMMYFUNCTION("""COMPUTED_VALUE"""),"")</f>
        <v/>
      </c>
      <c r="H128" s="17" t="str">
        <f ca="1">IFERROR(__xludf.DUMMYFUNCTION("""COMPUTED_VALUE"""),"")</f>
        <v/>
      </c>
      <c r="I128" s="17" t="str">
        <f ca="1">IFERROR(__xludf.DUMMYFUNCTION("""COMPUTED_VALUE"""),"")</f>
        <v/>
      </c>
      <c r="J128" s="17" t="str">
        <f ca="1">IFERROR(__xludf.DUMMYFUNCTION("""COMPUTED_VALUE"""),"")</f>
        <v/>
      </c>
      <c r="K128" s="18" t="str">
        <f ca="1">IFERROR(__xludf.DUMMYFUNCTION("""COMPUTED_VALUE"""),"")</f>
        <v/>
      </c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20"/>
      <c r="W128" s="20"/>
      <c r="X128" s="20"/>
      <c r="Y128" s="20"/>
      <c r="Z128" s="21"/>
      <c r="AA128" s="22"/>
      <c r="AB128" s="23"/>
    </row>
    <row r="129" spans="1:28" ht="13.5" customHeight="1" x14ac:dyDescent="0.35">
      <c r="A129" s="24" t="str">
        <f ca="1">IFERROR(__xludf.DUMMYFUNCTION("""COMPUTED_VALUE"""),"")</f>
        <v/>
      </c>
      <c r="B129" s="28" t="str">
        <f ca="1">IFERROR(__xludf.DUMMYFUNCTION("""COMPUTED_VALUE"""),"")</f>
        <v/>
      </c>
      <c r="C129" s="27" t="str">
        <f ca="1">IFERROR(__xludf.DUMMYFUNCTION("""COMPUTED_VALUE"""),"")</f>
        <v/>
      </c>
      <c r="D129" s="27" t="str">
        <f ca="1">IFERROR(__xludf.DUMMYFUNCTION("""COMPUTED_VALUE"""),"")</f>
        <v/>
      </c>
      <c r="E129" s="15" t="str">
        <f ca="1">IFERROR(__xludf.DUMMYFUNCTION("""COMPUTED_VALUE"""),"")</f>
        <v/>
      </c>
      <c r="F129" s="51" t="str">
        <f ca="1">IFERROR(__xludf.DUMMYFUNCTION("""COMPUTED_VALUE"""),"")</f>
        <v/>
      </c>
      <c r="G129" s="16" t="str">
        <f ca="1">IFERROR(__xludf.DUMMYFUNCTION("""COMPUTED_VALUE"""),"")</f>
        <v/>
      </c>
      <c r="H129" s="17" t="str">
        <f ca="1">IFERROR(__xludf.DUMMYFUNCTION("""COMPUTED_VALUE"""),"")</f>
        <v/>
      </c>
      <c r="I129" s="17" t="str">
        <f ca="1">IFERROR(__xludf.DUMMYFUNCTION("""COMPUTED_VALUE"""),"")</f>
        <v/>
      </c>
      <c r="J129" s="17" t="str">
        <f ca="1">IFERROR(__xludf.DUMMYFUNCTION("""COMPUTED_VALUE"""),"")</f>
        <v/>
      </c>
      <c r="K129" s="18" t="str">
        <f ca="1">IFERROR(__xludf.DUMMYFUNCTION("""COMPUTED_VALUE"""),"")</f>
        <v/>
      </c>
      <c r="L129" s="19"/>
      <c r="M129" s="19"/>
      <c r="N129" s="19"/>
      <c r="O129" s="19"/>
      <c r="P129" s="19"/>
      <c r="Q129" s="19"/>
      <c r="R129" s="19"/>
      <c r="S129" s="19"/>
      <c r="T129" s="19"/>
      <c r="U129" s="19"/>
      <c r="V129" s="20"/>
      <c r="W129" s="20"/>
      <c r="X129" s="20"/>
      <c r="Y129" s="20"/>
      <c r="Z129" s="21"/>
      <c r="AA129" s="22"/>
      <c r="AB129" s="23"/>
    </row>
    <row r="130" spans="1:28" ht="13.5" customHeight="1" x14ac:dyDescent="0.35">
      <c r="A130" s="24" t="str">
        <f ca="1">IFERROR(__xludf.DUMMYFUNCTION("""COMPUTED_VALUE"""),"")</f>
        <v/>
      </c>
      <c r="B130" s="28" t="str">
        <f ca="1">IFERROR(__xludf.DUMMYFUNCTION("""COMPUTED_VALUE"""),"")</f>
        <v/>
      </c>
      <c r="C130" s="27" t="str">
        <f ca="1">IFERROR(__xludf.DUMMYFUNCTION("""COMPUTED_VALUE"""),"")</f>
        <v/>
      </c>
      <c r="D130" s="27" t="str">
        <f ca="1">IFERROR(__xludf.DUMMYFUNCTION("""COMPUTED_VALUE"""),"")</f>
        <v/>
      </c>
      <c r="E130" s="15" t="str">
        <f ca="1">IFERROR(__xludf.DUMMYFUNCTION("""COMPUTED_VALUE"""),"")</f>
        <v/>
      </c>
      <c r="F130" s="51" t="str">
        <f ca="1">IFERROR(__xludf.DUMMYFUNCTION("""COMPUTED_VALUE"""),"")</f>
        <v/>
      </c>
      <c r="G130" s="16" t="str">
        <f ca="1">IFERROR(__xludf.DUMMYFUNCTION("""COMPUTED_VALUE"""),"")</f>
        <v/>
      </c>
      <c r="H130" s="17" t="str">
        <f ca="1">IFERROR(__xludf.DUMMYFUNCTION("""COMPUTED_VALUE"""),"")</f>
        <v/>
      </c>
      <c r="I130" s="17" t="str">
        <f ca="1">IFERROR(__xludf.DUMMYFUNCTION("""COMPUTED_VALUE"""),"")</f>
        <v/>
      </c>
      <c r="J130" s="17" t="str">
        <f ca="1">IFERROR(__xludf.DUMMYFUNCTION("""COMPUTED_VALUE"""),"")</f>
        <v/>
      </c>
      <c r="K130" s="18" t="str">
        <f ca="1">IFERROR(__xludf.DUMMYFUNCTION("""COMPUTED_VALUE"""),"")</f>
        <v/>
      </c>
      <c r="L130" s="19"/>
      <c r="M130" s="19"/>
      <c r="N130" s="19"/>
      <c r="O130" s="19"/>
      <c r="P130" s="19"/>
      <c r="Q130" s="19"/>
      <c r="R130" s="19"/>
      <c r="S130" s="19"/>
      <c r="T130" s="19"/>
      <c r="U130" s="19"/>
      <c r="V130" s="20"/>
      <c r="W130" s="20"/>
      <c r="X130" s="20"/>
      <c r="Y130" s="20"/>
      <c r="Z130" s="21"/>
      <c r="AA130" s="22"/>
      <c r="AB130" s="23"/>
    </row>
    <row r="131" spans="1:28" ht="13.5" customHeight="1" x14ac:dyDescent="0.35">
      <c r="A131" s="24" t="str">
        <f ca="1">IFERROR(__xludf.DUMMYFUNCTION("""COMPUTED_VALUE"""),"")</f>
        <v/>
      </c>
      <c r="B131" s="28" t="str">
        <f ca="1">IFERROR(__xludf.DUMMYFUNCTION("""COMPUTED_VALUE"""),"")</f>
        <v/>
      </c>
      <c r="C131" s="27" t="str">
        <f ca="1">IFERROR(__xludf.DUMMYFUNCTION("""COMPUTED_VALUE"""),"")</f>
        <v/>
      </c>
      <c r="D131" s="27" t="str">
        <f ca="1">IFERROR(__xludf.DUMMYFUNCTION("""COMPUTED_VALUE"""),"")</f>
        <v/>
      </c>
      <c r="E131" s="15" t="str">
        <f ca="1">IFERROR(__xludf.DUMMYFUNCTION("""COMPUTED_VALUE"""),"")</f>
        <v/>
      </c>
      <c r="F131" s="51" t="str">
        <f ca="1">IFERROR(__xludf.DUMMYFUNCTION("""COMPUTED_VALUE"""),"")</f>
        <v/>
      </c>
      <c r="G131" s="16" t="str">
        <f ca="1">IFERROR(__xludf.DUMMYFUNCTION("""COMPUTED_VALUE"""),"")</f>
        <v/>
      </c>
      <c r="H131" s="17" t="str">
        <f ca="1">IFERROR(__xludf.DUMMYFUNCTION("""COMPUTED_VALUE"""),"")</f>
        <v/>
      </c>
      <c r="I131" s="17" t="str">
        <f ca="1">IFERROR(__xludf.DUMMYFUNCTION("""COMPUTED_VALUE"""),"")</f>
        <v/>
      </c>
      <c r="J131" s="17" t="str">
        <f ca="1">IFERROR(__xludf.DUMMYFUNCTION("""COMPUTED_VALUE"""),"")</f>
        <v/>
      </c>
      <c r="K131" s="18" t="str">
        <f ca="1">IFERROR(__xludf.DUMMYFUNCTION("""COMPUTED_VALUE"""),"")</f>
        <v/>
      </c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20"/>
      <c r="W131" s="20"/>
      <c r="X131" s="20"/>
      <c r="Y131" s="20"/>
      <c r="Z131" s="21"/>
      <c r="AA131" s="22"/>
      <c r="AB131" s="23"/>
    </row>
    <row r="132" spans="1:28" ht="13.5" customHeight="1" x14ac:dyDescent="0.35">
      <c r="A132" s="24" t="str">
        <f ca="1">IFERROR(__xludf.DUMMYFUNCTION("""COMPUTED_VALUE"""),"")</f>
        <v/>
      </c>
      <c r="B132" s="28" t="str">
        <f ca="1">IFERROR(__xludf.DUMMYFUNCTION("""COMPUTED_VALUE"""),"")</f>
        <v/>
      </c>
      <c r="C132" s="27" t="str">
        <f ca="1">IFERROR(__xludf.DUMMYFUNCTION("""COMPUTED_VALUE"""),"")</f>
        <v/>
      </c>
      <c r="D132" s="27" t="str">
        <f ca="1">IFERROR(__xludf.DUMMYFUNCTION("""COMPUTED_VALUE"""),"")</f>
        <v/>
      </c>
      <c r="E132" s="15" t="str">
        <f ca="1">IFERROR(__xludf.DUMMYFUNCTION("""COMPUTED_VALUE"""),"")</f>
        <v/>
      </c>
      <c r="F132" s="51" t="str">
        <f ca="1">IFERROR(__xludf.DUMMYFUNCTION("""COMPUTED_VALUE"""),"")</f>
        <v/>
      </c>
      <c r="G132" s="16" t="str">
        <f ca="1">IFERROR(__xludf.DUMMYFUNCTION("""COMPUTED_VALUE"""),"")</f>
        <v/>
      </c>
      <c r="H132" s="17" t="str">
        <f ca="1">IFERROR(__xludf.DUMMYFUNCTION("""COMPUTED_VALUE"""),"")</f>
        <v/>
      </c>
      <c r="I132" s="17" t="str">
        <f ca="1">IFERROR(__xludf.DUMMYFUNCTION("""COMPUTED_VALUE"""),"")</f>
        <v/>
      </c>
      <c r="J132" s="17" t="str">
        <f ca="1">IFERROR(__xludf.DUMMYFUNCTION("""COMPUTED_VALUE"""),"")</f>
        <v/>
      </c>
      <c r="K132" s="18" t="str">
        <f ca="1">IFERROR(__xludf.DUMMYFUNCTION("""COMPUTED_VALUE"""),"")</f>
        <v/>
      </c>
      <c r="L132" s="19"/>
      <c r="M132" s="19"/>
      <c r="N132" s="19"/>
      <c r="O132" s="19"/>
      <c r="P132" s="19"/>
      <c r="Q132" s="19"/>
      <c r="R132" s="19"/>
      <c r="S132" s="19"/>
      <c r="T132" s="19"/>
      <c r="U132" s="19"/>
      <c r="V132" s="20"/>
      <c r="W132" s="20"/>
      <c r="X132" s="20"/>
      <c r="Y132" s="20"/>
      <c r="Z132" s="21"/>
      <c r="AA132" s="22"/>
      <c r="AB132" s="23"/>
    </row>
    <row r="133" spans="1:28" ht="13.5" customHeight="1" x14ac:dyDescent="0.35">
      <c r="A133" s="24" t="str">
        <f ca="1">IFERROR(__xludf.DUMMYFUNCTION("""COMPUTED_VALUE"""),"")</f>
        <v/>
      </c>
      <c r="B133" s="28" t="str">
        <f ca="1">IFERROR(__xludf.DUMMYFUNCTION("""COMPUTED_VALUE"""),"")</f>
        <v/>
      </c>
      <c r="C133" s="27" t="str">
        <f ca="1">IFERROR(__xludf.DUMMYFUNCTION("""COMPUTED_VALUE"""),"")</f>
        <v/>
      </c>
      <c r="D133" s="27" t="str">
        <f ca="1">IFERROR(__xludf.DUMMYFUNCTION("""COMPUTED_VALUE"""),"")</f>
        <v/>
      </c>
      <c r="E133" s="15" t="str">
        <f ca="1">IFERROR(__xludf.DUMMYFUNCTION("""COMPUTED_VALUE"""),"")</f>
        <v/>
      </c>
      <c r="F133" s="51" t="str">
        <f ca="1">IFERROR(__xludf.DUMMYFUNCTION("""COMPUTED_VALUE"""),"")</f>
        <v/>
      </c>
      <c r="G133" s="16" t="str">
        <f ca="1">IFERROR(__xludf.DUMMYFUNCTION("""COMPUTED_VALUE"""),"")</f>
        <v/>
      </c>
      <c r="H133" s="17" t="str">
        <f ca="1">IFERROR(__xludf.DUMMYFUNCTION("""COMPUTED_VALUE"""),"")</f>
        <v/>
      </c>
      <c r="I133" s="17" t="str">
        <f ca="1">IFERROR(__xludf.DUMMYFUNCTION("""COMPUTED_VALUE"""),"")</f>
        <v/>
      </c>
      <c r="J133" s="17" t="str">
        <f ca="1">IFERROR(__xludf.DUMMYFUNCTION("""COMPUTED_VALUE"""),"")</f>
        <v/>
      </c>
      <c r="K133" s="18" t="str">
        <f ca="1">IFERROR(__xludf.DUMMYFUNCTION("""COMPUTED_VALUE"""),"")</f>
        <v/>
      </c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20"/>
      <c r="W133" s="20"/>
      <c r="X133" s="20"/>
      <c r="Y133" s="20"/>
      <c r="Z133" s="21"/>
      <c r="AA133" s="22"/>
      <c r="AB133" s="23"/>
    </row>
    <row r="134" spans="1:28" ht="13.5" customHeight="1" x14ac:dyDescent="0.35">
      <c r="A134" s="24" t="str">
        <f ca="1">IFERROR(__xludf.DUMMYFUNCTION("""COMPUTED_VALUE"""),"")</f>
        <v/>
      </c>
      <c r="B134" s="28" t="str">
        <f ca="1">IFERROR(__xludf.DUMMYFUNCTION("""COMPUTED_VALUE"""),"")</f>
        <v/>
      </c>
      <c r="C134" s="27" t="str">
        <f ca="1">IFERROR(__xludf.DUMMYFUNCTION("""COMPUTED_VALUE"""),"")</f>
        <v/>
      </c>
      <c r="D134" s="27" t="str">
        <f ca="1">IFERROR(__xludf.DUMMYFUNCTION("""COMPUTED_VALUE"""),"")</f>
        <v/>
      </c>
      <c r="E134" s="15" t="str">
        <f ca="1">IFERROR(__xludf.DUMMYFUNCTION("""COMPUTED_VALUE"""),"")</f>
        <v/>
      </c>
      <c r="F134" s="51" t="str">
        <f ca="1">IFERROR(__xludf.DUMMYFUNCTION("""COMPUTED_VALUE"""),"")</f>
        <v/>
      </c>
      <c r="G134" s="16" t="str">
        <f ca="1">IFERROR(__xludf.DUMMYFUNCTION("""COMPUTED_VALUE"""),"")</f>
        <v/>
      </c>
      <c r="H134" s="17" t="str">
        <f ca="1">IFERROR(__xludf.DUMMYFUNCTION("""COMPUTED_VALUE"""),"")</f>
        <v/>
      </c>
      <c r="I134" s="17" t="str">
        <f ca="1">IFERROR(__xludf.DUMMYFUNCTION("""COMPUTED_VALUE"""),"")</f>
        <v/>
      </c>
      <c r="J134" s="17" t="str">
        <f ca="1">IFERROR(__xludf.DUMMYFUNCTION("""COMPUTED_VALUE"""),"")</f>
        <v/>
      </c>
      <c r="K134" s="18" t="str">
        <f ca="1">IFERROR(__xludf.DUMMYFUNCTION("""COMPUTED_VALUE"""),"")</f>
        <v/>
      </c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20"/>
      <c r="W134" s="20"/>
      <c r="X134" s="20"/>
      <c r="Y134" s="20"/>
      <c r="Z134" s="21"/>
      <c r="AA134" s="22"/>
      <c r="AB134" s="23"/>
    </row>
    <row r="135" spans="1:28" ht="13.5" customHeight="1" x14ac:dyDescent="0.35">
      <c r="A135" s="24" t="str">
        <f ca="1">IFERROR(__xludf.DUMMYFUNCTION("""COMPUTED_VALUE"""),"")</f>
        <v/>
      </c>
      <c r="B135" s="28" t="str">
        <f ca="1">IFERROR(__xludf.DUMMYFUNCTION("""COMPUTED_VALUE"""),"")</f>
        <v/>
      </c>
      <c r="C135" s="27" t="str">
        <f ca="1">IFERROR(__xludf.DUMMYFUNCTION("""COMPUTED_VALUE"""),"")</f>
        <v/>
      </c>
      <c r="D135" s="27" t="str">
        <f ca="1">IFERROR(__xludf.DUMMYFUNCTION("""COMPUTED_VALUE"""),"")</f>
        <v/>
      </c>
      <c r="E135" s="15" t="str">
        <f ca="1">IFERROR(__xludf.DUMMYFUNCTION("""COMPUTED_VALUE"""),"")</f>
        <v/>
      </c>
      <c r="F135" s="51" t="str">
        <f ca="1">IFERROR(__xludf.DUMMYFUNCTION("""COMPUTED_VALUE"""),"")</f>
        <v/>
      </c>
      <c r="G135" s="16" t="str">
        <f ca="1">IFERROR(__xludf.DUMMYFUNCTION("""COMPUTED_VALUE"""),"")</f>
        <v/>
      </c>
      <c r="H135" s="17" t="str">
        <f ca="1">IFERROR(__xludf.DUMMYFUNCTION("""COMPUTED_VALUE"""),"")</f>
        <v/>
      </c>
      <c r="I135" s="17" t="str">
        <f ca="1">IFERROR(__xludf.DUMMYFUNCTION("""COMPUTED_VALUE"""),"")</f>
        <v/>
      </c>
      <c r="J135" s="17" t="str">
        <f ca="1">IFERROR(__xludf.DUMMYFUNCTION("""COMPUTED_VALUE"""),"")</f>
        <v/>
      </c>
      <c r="K135" s="18" t="str">
        <f ca="1">IFERROR(__xludf.DUMMYFUNCTION("""COMPUTED_VALUE"""),"")</f>
        <v/>
      </c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20"/>
      <c r="W135" s="20"/>
      <c r="X135" s="20"/>
      <c r="Y135" s="20"/>
      <c r="Z135" s="21"/>
      <c r="AA135" s="22"/>
      <c r="AB135" s="23"/>
    </row>
    <row r="136" spans="1:28" ht="13.5" customHeight="1" x14ac:dyDescent="0.35">
      <c r="A136" s="24" t="str">
        <f ca="1">IFERROR(__xludf.DUMMYFUNCTION("""COMPUTED_VALUE"""),"")</f>
        <v/>
      </c>
      <c r="B136" s="28" t="str">
        <f ca="1">IFERROR(__xludf.DUMMYFUNCTION("""COMPUTED_VALUE"""),"")</f>
        <v/>
      </c>
      <c r="C136" s="27" t="str">
        <f ca="1">IFERROR(__xludf.DUMMYFUNCTION("""COMPUTED_VALUE"""),"")</f>
        <v/>
      </c>
      <c r="D136" s="27" t="str">
        <f ca="1">IFERROR(__xludf.DUMMYFUNCTION("""COMPUTED_VALUE"""),"")</f>
        <v/>
      </c>
      <c r="E136" s="15" t="str">
        <f ca="1">IFERROR(__xludf.DUMMYFUNCTION("""COMPUTED_VALUE"""),"")</f>
        <v/>
      </c>
      <c r="F136" s="51" t="str">
        <f ca="1">IFERROR(__xludf.DUMMYFUNCTION("""COMPUTED_VALUE"""),"")</f>
        <v/>
      </c>
      <c r="G136" s="16" t="str">
        <f ca="1">IFERROR(__xludf.DUMMYFUNCTION("""COMPUTED_VALUE"""),"")</f>
        <v/>
      </c>
      <c r="H136" s="17" t="str">
        <f ca="1">IFERROR(__xludf.DUMMYFUNCTION("""COMPUTED_VALUE"""),"")</f>
        <v/>
      </c>
      <c r="I136" s="17" t="str">
        <f ca="1">IFERROR(__xludf.DUMMYFUNCTION("""COMPUTED_VALUE"""),"")</f>
        <v/>
      </c>
      <c r="J136" s="17" t="str">
        <f ca="1">IFERROR(__xludf.DUMMYFUNCTION("""COMPUTED_VALUE"""),"")</f>
        <v/>
      </c>
      <c r="K136" s="18" t="str">
        <f ca="1">IFERROR(__xludf.DUMMYFUNCTION("""COMPUTED_VALUE"""),"")</f>
        <v/>
      </c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20"/>
      <c r="W136" s="20"/>
      <c r="X136" s="20"/>
      <c r="Y136" s="20"/>
      <c r="Z136" s="21"/>
      <c r="AA136" s="22"/>
      <c r="AB136" s="23"/>
    </row>
    <row r="137" spans="1:28" ht="13.5" customHeight="1" x14ac:dyDescent="0.35">
      <c r="A137" s="24" t="str">
        <f ca="1">IFERROR(__xludf.DUMMYFUNCTION("""COMPUTED_VALUE"""),"")</f>
        <v/>
      </c>
      <c r="B137" s="28" t="str">
        <f ca="1">IFERROR(__xludf.DUMMYFUNCTION("""COMPUTED_VALUE"""),"")</f>
        <v/>
      </c>
      <c r="C137" s="27" t="str">
        <f ca="1">IFERROR(__xludf.DUMMYFUNCTION("""COMPUTED_VALUE"""),"")</f>
        <v/>
      </c>
      <c r="D137" s="27" t="str">
        <f ca="1">IFERROR(__xludf.DUMMYFUNCTION("""COMPUTED_VALUE"""),"")</f>
        <v/>
      </c>
      <c r="E137" s="15" t="str">
        <f ca="1">IFERROR(__xludf.DUMMYFUNCTION("""COMPUTED_VALUE"""),"")</f>
        <v/>
      </c>
      <c r="F137" s="51" t="str">
        <f ca="1">IFERROR(__xludf.DUMMYFUNCTION("""COMPUTED_VALUE"""),"")</f>
        <v/>
      </c>
      <c r="G137" s="16" t="str">
        <f ca="1">IFERROR(__xludf.DUMMYFUNCTION("""COMPUTED_VALUE"""),"")</f>
        <v/>
      </c>
      <c r="H137" s="17" t="str">
        <f ca="1">IFERROR(__xludf.DUMMYFUNCTION("""COMPUTED_VALUE"""),"")</f>
        <v/>
      </c>
      <c r="I137" s="17" t="str">
        <f ca="1">IFERROR(__xludf.DUMMYFUNCTION("""COMPUTED_VALUE"""),"")</f>
        <v/>
      </c>
      <c r="J137" s="17" t="str">
        <f ca="1">IFERROR(__xludf.DUMMYFUNCTION("""COMPUTED_VALUE"""),"")</f>
        <v/>
      </c>
      <c r="K137" s="18" t="str">
        <f ca="1">IFERROR(__xludf.DUMMYFUNCTION("""COMPUTED_VALUE"""),"")</f>
        <v/>
      </c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20"/>
      <c r="W137" s="20"/>
      <c r="X137" s="20"/>
      <c r="Y137" s="20"/>
      <c r="Z137" s="21"/>
      <c r="AA137" s="22"/>
      <c r="AB137" s="23"/>
    </row>
    <row r="138" spans="1:28" ht="13.5" customHeight="1" x14ac:dyDescent="0.35">
      <c r="A138" s="24" t="str">
        <f ca="1">IFERROR(__xludf.DUMMYFUNCTION("""COMPUTED_VALUE"""),"")</f>
        <v/>
      </c>
      <c r="B138" s="28" t="str">
        <f ca="1">IFERROR(__xludf.DUMMYFUNCTION("""COMPUTED_VALUE"""),"")</f>
        <v/>
      </c>
      <c r="C138" s="27" t="str">
        <f ca="1">IFERROR(__xludf.DUMMYFUNCTION("""COMPUTED_VALUE"""),"")</f>
        <v/>
      </c>
      <c r="D138" s="27" t="str">
        <f ca="1">IFERROR(__xludf.DUMMYFUNCTION("""COMPUTED_VALUE"""),"")</f>
        <v/>
      </c>
      <c r="E138" s="15" t="str">
        <f ca="1">IFERROR(__xludf.DUMMYFUNCTION("""COMPUTED_VALUE"""),"")</f>
        <v/>
      </c>
      <c r="F138" s="51" t="str">
        <f ca="1">IFERROR(__xludf.DUMMYFUNCTION("""COMPUTED_VALUE"""),"")</f>
        <v/>
      </c>
      <c r="G138" s="16" t="str">
        <f ca="1">IFERROR(__xludf.DUMMYFUNCTION("""COMPUTED_VALUE"""),"")</f>
        <v/>
      </c>
      <c r="H138" s="17" t="str">
        <f ca="1">IFERROR(__xludf.DUMMYFUNCTION("""COMPUTED_VALUE"""),"")</f>
        <v/>
      </c>
      <c r="I138" s="17" t="str">
        <f ca="1">IFERROR(__xludf.DUMMYFUNCTION("""COMPUTED_VALUE"""),"")</f>
        <v/>
      </c>
      <c r="J138" s="17" t="str">
        <f ca="1">IFERROR(__xludf.DUMMYFUNCTION("""COMPUTED_VALUE"""),"")</f>
        <v/>
      </c>
      <c r="K138" s="18" t="str">
        <f ca="1">IFERROR(__xludf.DUMMYFUNCTION("""COMPUTED_VALUE"""),"")</f>
        <v/>
      </c>
      <c r="L138" s="19"/>
      <c r="M138" s="19"/>
      <c r="N138" s="19"/>
      <c r="O138" s="19"/>
      <c r="P138" s="19"/>
      <c r="Q138" s="19"/>
      <c r="R138" s="19"/>
      <c r="S138" s="19"/>
      <c r="T138" s="19"/>
      <c r="U138" s="19"/>
      <c r="V138" s="20"/>
      <c r="W138" s="20"/>
      <c r="X138" s="20"/>
      <c r="Y138" s="20"/>
      <c r="Z138" s="21"/>
      <c r="AA138" s="22"/>
      <c r="AB138" s="23"/>
    </row>
    <row r="139" spans="1:28" ht="13.5" customHeight="1" x14ac:dyDescent="0.35">
      <c r="A139" s="24" t="str">
        <f ca="1">IFERROR(__xludf.DUMMYFUNCTION("""COMPUTED_VALUE"""),"")</f>
        <v/>
      </c>
      <c r="B139" s="28" t="str">
        <f ca="1">IFERROR(__xludf.DUMMYFUNCTION("""COMPUTED_VALUE"""),"")</f>
        <v/>
      </c>
      <c r="C139" s="27" t="str">
        <f ca="1">IFERROR(__xludf.DUMMYFUNCTION("""COMPUTED_VALUE"""),"")</f>
        <v/>
      </c>
      <c r="D139" s="27" t="str">
        <f ca="1">IFERROR(__xludf.DUMMYFUNCTION("""COMPUTED_VALUE"""),"")</f>
        <v/>
      </c>
      <c r="E139" s="15" t="str">
        <f ca="1">IFERROR(__xludf.DUMMYFUNCTION("""COMPUTED_VALUE"""),"")</f>
        <v/>
      </c>
      <c r="F139" s="51" t="str">
        <f ca="1">IFERROR(__xludf.DUMMYFUNCTION("""COMPUTED_VALUE"""),"")</f>
        <v/>
      </c>
      <c r="G139" s="16" t="str">
        <f ca="1">IFERROR(__xludf.DUMMYFUNCTION("""COMPUTED_VALUE"""),"")</f>
        <v/>
      </c>
      <c r="H139" s="17" t="str">
        <f ca="1">IFERROR(__xludf.DUMMYFUNCTION("""COMPUTED_VALUE"""),"")</f>
        <v/>
      </c>
      <c r="I139" s="17" t="str">
        <f ca="1">IFERROR(__xludf.DUMMYFUNCTION("""COMPUTED_VALUE"""),"")</f>
        <v/>
      </c>
      <c r="J139" s="17" t="str">
        <f ca="1">IFERROR(__xludf.DUMMYFUNCTION("""COMPUTED_VALUE"""),"")</f>
        <v/>
      </c>
      <c r="K139" s="18" t="str">
        <f ca="1">IFERROR(__xludf.DUMMYFUNCTION("""COMPUTED_VALUE"""),"")</f>
        <v/>
      </c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20"/>
      <c r="W139" s="20"/>
      <c r="X139" s="20"/>
      <c r="Y139" s="20"/>
      <c r="Z139" s="21"/>
      <c r="AA139" s="22"/>
      <c r="AB139" s="23"/>
    </row>
    <row r="140" spans="1:28" ht="13.5" customHeight="1" x14ac:dyDescent="0.35">
      <c r="A140" s="24" t="str">
        <f ca="1">IFERROR(__xludf.DUMMYFUNCTION("""COMPUTED_VALUE"""),"")</f>
        <v/>
      </c>
      <c r="B140" s="28" t="str">
        <f ca="1">IFERROR(__xludf.DUMMYFUNCTION("""COMPUTED_VALUE"""),"")</f>
        <v/>
      </c>
      <c r="C140" s="27" t="str">
        <f ca="1">IFERROR(__xludf.DUMMYFUNCTION("""COMPUTED_VALUE"""),"")</f>
        <v/>
      </c>
      <c r="D140" s="27" t="str">
        <f ca="1">IFERROR(__xludf.DUMMYFUNCTION("""COMPUTED_VALUE"""),"")</f>
        <v/>
      </c>
      <c r="E140" s="15" t="str">
        <f ca="1">IFERROR(__xludf.DUMMYFUNCTION("""COMPUTED_VALUE"""),"")</f>
        <v/>
      </c>
      <c r="F140" s="51" t="str">
        <f ca="1">IFERROR(__xludf.DUMMYFUNCTION("""COMPUTED_VALUE"""),"")</f>
        <v/>
      </c>
      <c r="G140" s="16" t="str">
        <f ca="1">IFERROR(__xludf.DUMMYFUNCTION("""COMPUTED_VALUE"""),"")</f>
        <v/>
      </c>
      <c r="H140" s="17" t="str">
        <f ca="1">IFERROR(__xludf.DUMMYFUNCTION("""COMPUTED_VALUE"""),"")</f>
        <v/>
      </c>
      <c r="I140" s="17" t="str">
        <f ca="1">IFERROR(__xludf.DUMMYFUNCTION("""COMPUTED_VALUE"""),"")</f>
        <v/>
      </c>
      <c r="J140" s="17" t="str">
        <f ca="1">IFERROR(__xludf.DUMMYFUNCTION("""COMPUTED_VALUE"""),"")</f>
        <v/>
      </c>
      <c r="K140" s="18" t="str">
        <f ca="1">IFERROR(__xludf.DUMMYFUNCTION("""COMPUTED_VALUE"""),"")</f>
        <v/>
      </c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20"/>
      <c r="W140" s="20"/>
      <c r="X140" s="20"/>
      <c r="Y140" s="20"/>
      <c r="Z140" s="21"/>
      <c r="AA140" s="22"/>
      <c r="AB140" s="23"/>
    </row>
    <row r="141" spans="1:28" ht="13.5" customHeight="1" x14ac:dyDescent="0.35">
      <c r="A141" s="24" t="str">
        <f ca="1">IFERROR(__xludf.DUMMYFUNCTION("""COMPUTED_VALUE"""),"")</f>
        <v/>
      </c>
      <c r="B141" s="28" t="str">
        <f ca="1">IFERROR(__xludf.DUMMYFUNCTION("""COMPUTED_VALUE"""),"")</f>
        <v/>
      </c>
      <c r="C141" s="27" t="str">
        <f ca="1">IFERROR(__xludf.DUMMYFUNCTION("""COMPUTED_VALUE"""),"")</f>
        <v/>
      </c>
      <c r="D141" s="27" t="str">
        <f ca="1">IFERROR(__xludf.DUMMYFUNCTION("""COMPUTED_VALUE"""),"")</f>
        <v/>
      </c>
      <c r="E141" s="15" t="str">
        <f ca="1">IFERROR(__xludf.DUMMYFUNCTION("""COMPUTED_VALUE"""),"")</f>
        <v/>
      </c>
      <c r="F141" s="51" t="str">
        <f ca="1">IFERROR(__xludf.DUMMYFUNCTION("""COMPUTED_VALUE"""),"")</f>
        <v/>
      </c>
      <c r="G141" s="16" t="str">
        <f ca="1">IFERROR(__xludf.DUMMYFUNCTION("""COMPUTED_VALUE"""),"")</f>
        <v/>
      </c>
      <c r="H141" s="17" t="str">
        <f ca="1">IFERROR(__xludf.DUMMYFUNCTION("""COMPUTED_VALUE"""),"")</f>
        <v/>
      </c>
      <c r="I141" s="17" t="str">
        <f ca="1">IFERROR(__xludf.DUMMYFUNCTION("""COMPUTED_VALUE"""),"")</f>
        <v/>
      </c>
      <c r="J141" s="17" t="str">
        <f ca="1">IFERROR(__xludf.DUMMYFUNCTION("""COMPUTED_VALUE"""),"")</f>
        <v/>
      </c>
      <c r="K141" s="18" t="str">
        <f ca="1">IFERROR(__xludf.DUMMYFUNCTION("""COMPUTED_VALUE"""),"")</f>
        <v/>
      </c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20"/>
      <c r="W141" s="20"/>
      <c r="X141" s="20"/>
      <c r="Y141" s="20"/>
      <c r="Z141" s="21"/>
      <c r="AA141" s="22"/>
      <c r="AB141" s="23"/>
    </row>
    <row r="142" spans="1:28" ht="13.5" customHeight="1" x14ac:dyDescent="0.35">
      <c r="A142" s="24" t="str">
        <f ca="1">IFERROR(__xludf.DUMMYFUNCTION("""COMPUTED_VALUE"""),"")</f>
        <v/>
      </c>
      <c r="B142" s="28" t="str">
        <f ca="1">IFERROR(__xludf.DUMMYFUNCTION("""COMPUTED_VALUE"""),"")</f>
        <v/>
      </c>
      <c r="C142" s="27" t="str">
        <f ca="1">IFERROR(__xludf.DUMMYFUNCTION("""COMPUTED_VALUE"""),"")</f>
        <v/>
      </c>
      <c r="D142" s="27" t="str">
        <f ca="1">IFERROR(__xludf.DUMMYFUNCTION("""COMPUTED_VALUE"""),"")</f>
        <v/>
      </c>
      <c r="E142" s="15" t="str">
        <f ca="1">IFERROR(__xludf.DUMMYFUNCTION("""COMPUTED_VALUE"""),"")</f>
        <v/>
      </c>
      <c r="F142" s="51" t="str">
        <f ca="1">IFERROR(__xludf.DUMMYFUNCTION("""COMPUTED_VALUE"""),"")</f>
        <v/>
      </c>
      <c r="G142" s="16" t="str">
        <f ca="1">IFERROR(__xludf.DUMMYFUNCTION("""COMPUTED_VALUE"""),"")</f>
        <v/>
      </c>
      <c r="H142" s="17" t="str">
        <f ca="1">IFERROR(__xludf.DUMMYFUNCTION("""COMPUTED_VALUE"""),"")</f>
        <v/>
      </c>
      <c r="I142" s="17" t="str">
        <f ca="1">IFERROR(__xludf.DUMMYFUNCTION("""COMPUTED_VALUE"""),"")</f>
        <v/>
      </c>
      <c r="J142" s="17" t="str">
        <f ca="1">IFERROR(__xludf.DUMMYFUNCTION("""COMPUTED_VALUE"""),"")</f>
        <v/>
      </c>
      <c r="K142" s="18" t="str">
        <f ca="1">IFERROR(__xludf.DUMMYFUNCTION("""COMPUTED_VALUE"""),"")</f>
        <v/>
      </c>
      <c r="L142" s="19"/>
      <c r="M142" s="19"/>
      <c r="N142" s="19"/>
      <c r="O142" s="19"/>
      <c r="P142" s="19"/>
      <c r="Q142" s="19"/>
      <c r="R142" s="19"/>
      <c r="S142" s="19"/>
      <c r="T142" s="19"/>
      <c r="U142" s="19"/>
      <c r="V142" s="20"/>
      <c r="W142" s="20"/>
      <c r="X142" s="20"/>
      <c r="Y142" s="20"/>
      <c r="Z142" s="21"/>
      <c r="AA142" s="22"/>
      <c r="AB142" s="23"/>
    </row>
    <row r="143" spans="1:28" ht="13.5" customHeight="1" x14ac:dyDescent="0.35">
      <c r="A143" s="24" t="str">
        <f ca="1">IFERROR(__xludf.DUMMYFUNCTION("""COMPUTED_VALUE"""),"")</f>
        <v/>
      </c>
      <c r="B143" s="28" t="str">
        <f ca="1">IFERROR(__xludf.DUMMYFUNCTION("""COMPUTED_VALUE"""),"")</f>
        <v/>
      </c>
      <c r="C143" s="27" t="str">
        <f ca="1">IFERROR(__xludf.DUMMYFUNCTION("""COMPUTED_VALUE"""),"")</f>
        <v/>
      </c>
      <c r="D143" s="27" t="str">
        <f ca="1">IFERROR(__xludf.DUMMYFUNCTION("""COMPUTED_VALUE"""),"")</f>
        <v/>
      </c>
      <c r="E143" s="15" t="str">
        <f ca="1">IFERROR(__xludf.DUMMYFUNCTION("""COMPUTED_VALUE"""),"")</f>
        <v/>
      </c>
      <c r="F143" s="51" t="str">
        <f ca="1">IFERROR(__xludf.DUMMYFUNCTION("""COMPUTED_VALUE"""),"")</f>
        <v/>
      </c>
      <c r="G143" s="16" t="str">
        <f ca="1">IFERROR(__xludf.DUMMYFUNCTION("""COMPUTED_VALUE"""),"")</f>
        <v/>
      </c>
      <c r="H143" s="17" t="str">
        <f ca="1">IFERROR(__xludf.DUMMYFUNCTION("""COMPUTED_VALUE"""),"")</f>
        <v/>
      </c>
      <c r="I143" s="17" t="str">
        <f ca="1">IFERROR(__xludf.DUMMYFUNCTION("""COMPUTED_VALUE"""),"")</f>
        <v/>
      </c>
      <c r="J143" s="17" t="str">
        <f ca="1">IFERROR(__xludf.DUMMYFUNCTION("""COMPUTED_VALUE"""),"")</f>
        <v/>
      </c>
      <c r="K143" s="18" t="str">
        <f ca="1">IFERROR(__xludf.DUMMYFUNCTION("""COMPUTED_VALUE"""),"")</f>
        <v/>
      </c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20"/>
      <c r="W143" s="20"/>
      <c r="X143" s="20"/>
      <c r="Y143" s="20"/>
      <c r="Z143" s="21"/>
      <c r="AA143" s="22"/>
      <c r="AB143" s="23"/>
    </row>
    <row r="144" spans="1:28" ht="13.5" customHeight="1" x14ac:dyDescent="0.35">
      <c r="A144" s="24" t="str">
        <f ca="1">IFERROR(__xludf.DUMMYFUNCTION("""COMPUTED_VALUE"""),"")</f>
        <v/>
      </c>
      <c r="B144" s="28" t="str">
        <f ca="1">IFERROR(__xludf.DUMMYFUNCTION("""COMPUTED_VALUE"""),"")</f>
        <v/>
      </c>
      <c r="C144" s="27" t="str">
        <f ca="1">IFERROR(__xludf.DUMMYFUNCTION("""COMPUTED_VALUE"""),"")</f>
        <v/>
      </c>
      <c r="D144" s="27" t="str">
        <f ca="1">IFERROR(__xludf.DUMMYFUNCTION("""COMPUTED_VALUE"""),"")</f>
        <v/>
      </c>
      <c r="E144" s="15" t="str">
        <f ca="1">IFERROR(__xludf.DUMMYFUNCTION("""COMPUTED_VALUE"""),"")</f>
        <v/>
      </c>
      <c r="F144" s="51" t="str">
        <f ca="1">IFERROR(__xludf.DUMMYFUNCTION("""COMPUTED_VALUE"""),"")</f>
        <v/>
      </c>
      <c r="G144" s="16" t="str">
        <f ca="1">IFERROR(__xludf.DUMMYFUNCTION("""COMPUTED_VALUE"""),"")</f>
        <v/>
      </c>
      <c r="H144" s="17" t="str">
        <f ca="1">IFERROR(__xludf.DUMMYFUNCTION("""COMPUTED_VALUE"""),"")</f>
        <v/>
      </c>
      <c r="I144" s="17" t="str">
        <f ca="1">IFERROR(__xludf.DUMMYFUNCTION("""COMPUTED_VALUE"""),"")</f>
        <v/>
      </c>
      <c r="J144" s="17" t="str">
        <f ca="1">IFERROR(__xludf.DUMMYFUNCTION("""COMPUTED_VALUE"""),"")</f>
        <v/>
      </c>
      <c r="K144" s="18" t="str">
        <f ca="1">IFERROR(__xludf.DUMMYFUNCTION("""COMPUTED_VALUE"""),"")</f>
        <v/>
      </c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20"/>
      <c r="W144" s="20"/>
      <c r="X144" s="20"/>
      <c r="Y144" s="20"/>
      <c r="Z144" s="21"/>
      <c r="AA144" s="22"/>
      <c r="AB144" s="23"/>
    </row>
    <row r="145" spans="1:28" ht="13.5" customHeight="1" x14ac:dyDescent="0.35">
      <c r="A145" s="24" t="str">
        <f ca="1">IFERROR(__xludf.DUMMYFUNCTION("""COMPUTED_VALUE"""),"")</f>
        <v/>
      </c>
      <c r="B145" s="28" t="str">
        <f ca="1">IFERROR(__xludf.DUMMYFUNCTION("""COMPUTED_VALUE"""),"")</f>
        <v/>
      </c>
      <c r="C145" s="27" t="str">
        <f ca="1">IFERROR(__xludf.DUMMYFUNCTION("""COMPUTED_VALUE"""),"")</f>
        <v/>
      </c>
      <c r="D145" s="27" t="str">
        <f ca="1">IFERROR(__xludf.DUMMYFUNCTION("""COMPUTED_VALUE"""),"")</f>
        <v/>
      </c>
      <c r="E145" s="15" t="str">
        <f ca="1">IFERROR(__xludf.DUMMYFUNCTION("""COMPUTED_VALUE"""),"")</f>
        <v/>
      </c>
      <c r="F145" s="51" t="str">
        <f ca="1">IFERROR(__xludf.DUMMYFUNCTION("""COMPUTED_VALUE"""),"")</f>
        <v/>
      </c>
      <c r="G145" s="16" t="str">
        <f ca="1">IFERROR(__xludf.DUMMYFUNCTION("""COMPUTED_VALUE"""),"")</f>
        <v/>
      </c>
      <c r="H145" s="17" t="str">
        <f ca="1">IFERROR(__xludf.DUMMYFUNCTION("""COMPUTED_VALUE"""),"")</f>
        <v/>
      </c>
      <c r="I145" s="17" t="str">
        <f ca="1">IFERROR(__xludf.DUMMYFUNCTION("""COMPUTED_VALUE"""),"")</f>
        <v/>
      </c>
      <c r="J145" s="17" t="str">
        <f ca="1">IFERROR(__xludf.DUMMYFUNCTION("""COMPUTED_VALUE"""),"")</f>
        <v/>
      </c>
      <c r="K145" s="18" t="str">
        <f ca="1">IFERROR(__xludf.DUMMYFUNCTION("""COMPUTED_VALUE"""),"")</f>
        <v/>
      </c>
      <c r="L145" s="19"/>
      <c r="M145" s="19"/>
      <c r="N145" s="19"/>
      <c r="O145" s="19"/>
      <c r="P145" s="19"/>
      <c r="Q145" s="19"/>
      <c r="R145" s="19"/>
      <c r="S145" s="19"/>
      <c r="T145" s="19"/>
      <c r="U145" s="19"/>
      <c r="V145" s="20"/>
      <c r="W145" s="20"/>
      <c r="X145" s="20"/>
      <c r="Y145" s="20"/>
      <c r="Z145" s="21"/>
      <c r="AA145" s="22"/>
      <c r="AB145" s="23"/>
    </row>
    <row r="146" spans="1:28" ht="13.5" customHeight="1" x14ac:dyDescent="0.35">
      <c r="A146" s="24" t="str">
        <f ca="1">IFERROR(__xludf.DUMMYFUNCTION("""COMPUTED_VALUE"""),"")</f>
        <v/>
      </c>
      <c r="B146" s="28" t="str">
        <f ca="1">IFERROR(__xludf.DUMMYFUNCTION("""COMPUTED_VALUE"""),"")</f>
        <v/>
      </c>
      <c r="C146" s="27" t="str">
        <f ca="1">IFERROR(__xludf.DUMMYFUNCTION("""COMPUTED_VALUE"""),"")</f>
        <v/>
      </c>
      <c r="D146" s="27" t="str">
        <f ca="1">IFERROR(__xludf.DUMMYFUNCTION("""COMPUTED_VALUE"""),"")</f>
        <v/>
      </c>
      <c r="E146" s="15" t="str">
        <f ca="1">IFERROR(__xludf.DUMMYFUNCTION("""COMPUTED_VALUE"""),"")</f>
        <v/>
      </c>
      <c r="F146" s="51" t="str">
        <f ca="1">IFERROR(__xludf.DUMMYFUNCTION("""COMPUTED_VALUE"""),"")</f>
        <v/>
      </c>
      <c r="G146" s="16" t="str">
        <f ca="1">IFERROR(__xludf.DUMMYFUNCTION("""COMPUTED_VALUE"""),"")</f>
        <v/>
      </c>
      <c r="H146" s="17" t="str">
        <f ca="1">IFERROR(__xludf.DUMMYFUNCTION("""COMPUTED_VALUE"""),"")</f>
        <v/>
      </c>
      <c r="I146" s="17" t="str">
        <f ca="1">IFERROR(__xludf.DUMMYFUNCTION("""COMPUTED_VALUE"""),"")</f>
        <v/>
      </c>
      <c r="J146" s="17" t="str">
        <f ca="1">IFERROR(__xludf.DUMMYFUNCTION("""COMPUTED_VALUE"""),"")</f>
        <v/>
      </c>
      <c r="K146" s="18" t="str">
        <f ca="1">IFERROR(__xludf.DUMMYFUNCTION("""COMPUTED_VALUE"""),"")</f>
        <v/>
      </c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20"/>
      <c r="W146" s="20"/>
      <c r="X146" s="20"/>
      <c r="Y146" s="20"/>
      <c r="Z146" s="21"/>
      <c r="AA146" s="22"/>
      <c r="AB146" s="23"/>
    </row>
    <row r="147" spans="1:28" ht="13.5" customHeight="1" x14ac:dyDescent="0.35">
      <c r="A147" s="24" t="str">
        <f ca="1">IFERROR(__xludf.DUMMYFUNCTION("""COMPUTED_VALUE"""),"")</f>
        <v/>
      </c>
      <c r="B147" s="28" t="str">
        <f ca="1">IFERROR(__xludf.DUMMYFUNCTION("""COMPUTED_VALUE"""),"")</f>
        <v/>
      </c>
      <c r="C147" s="27" t="str">
        <f ca="1">IFERROR(__xludf.DUMMYFUNCTION("""COMPUTED_VALUE"""),"")</f>
        <v/>
      </c>
      <c r="D147" s="27" t="str">
        <f ca="1">IFERROR(__xludf.DUMMYFUNCTION("""COMPUTED_VALUE"""),"")</f>
        <v/>
      </c>
      <c r="E147" s="15" t="str">
        <f ca="1">IFERROR(__xludf.DUMMYFUNCTION("""COMPUTED_VALUE"""),"")</f>
        <v/>
      </c>
      <c r="F147" s="51" t="str">
        <f ca="1">IFERROR(__xludf.DUMMYFUNCTION("""COMPUTED_VALUE"""),"")</f>
        <v/>
      </c>
      <c r="G147" s="16" t="str">
        <f ca="1">IFERROR(__xludf.DUMMYFUNCTION("""COMPUTED_VALUE"""),"")</f>
        <v/>
      </c>
      <c r="H147" s="17" t="str">
        <f ca="1">IFERROR(__xludf.DUMMYFUNCTION("""COMPUTED_VALUE"""),"")</f>
        <v/>
      </c>
      <c r="I147" s="17" t="str">
        <f ca="1">IFERROR(__xludf.DUMMYFUNCTION("""COMPUTED_VALUE"""),"")</f>
        <v/>
      </c>
      <c r="J147" s="17" t="str">
        <f ca="1">IFERROR(__xludf.DUMMYFUNCTION("""COMPUTED_VALUE"""),"")</f>
        <v/>
      </c>
      <c r="K147" s="18" t="str">
        <f ca="1">IFERROR(__xludf.DUMMYFUNCTION("""COMPUTED_VALUE"""),"")</f>
        <v/>
      </c>
      <c r="L147" s="19"/>
      <c r="M147" s="19"/>
      <c r="N147" s="19"/>
      <c r="O147" s="19"/>
      <c r="P147" s="19"/>
      <c r="Q147" s="19"/>
      <c r="R147" s="19"/>
      <c r="S147" s="19"/>
      <c r="T147" s="19"/>
      <c r="U147" s="19"/>
      <c r="V147" s="20"/>
      <c r="W147" s="20"/>
      <c r="X147" s="20"/>
      <c r="Y147" s="20"/>
      <c r="Z147" s="21"/>
      <c r="AA147" s="22"/>
      <c r="AB147" s="23"/>
    </row>
    <row r="148" spans="1:28" ht="13.5" customHeight="1" x14ac:dyDescent="0.35">
      <c r="A148" s="24" t="str">
        <f ca="1">IFERROR(__xludf.DUMMYFUNCTION("""COMPUTED_VALUE"""),"")</f>
        <v/>
      </c>
      <c r="B148" s="28" t="str">
        <f ca="1">IFERROR(__xludf.DUMMYFUNCTION("""COMPUTED_VALUE"""),"")</f>
        <v/>
      </c>
      <c r="C148" s="27" t="str">
        <f ca="1">IFERROR(__xludf.DUMMYFUNCTION("""COMPUTED_VALUE"""),"")</f>
        <v/>
      </c>
      <c r="D148" s="27" t="str">
        <f ca="1">IFERROR(__xludf.DUMMYFUNCTION("""COMPUTED_VALUE"""),"")</f>
        <v/>
      </c>
      <c r="E148" s="15" t="str">
        <f ca="1">IFERROR(__xludf.DUMMYFUNCTION("""COMPUTED_VALUE"""),"")</f>
        <v/>
      </c>
      <c r="F148" s="51" t="str">
        <f ca="1">IFERROR(__xludf.DUMMYFUNCTION("""COMPUTED_VALUE"""),"")</f>
        <v/>
      </c>
      <c r="G148" s="16" t="str">
        <f ca="1">IFERROR(__xludf.DUMMYFUNCTION("""COMPUTED_VALUE"""),"")</f>
        <v/>
      </c>
      <c r="H148" s="17" t="str">
        <f ca="1">IFERROR(__xludf.DUMMYFUNCTION("""COMPUTED_VALUE"""),"")</f>
        <v/>
      </c>
      <c r="I148" s="17" t="str">
        <f ca="1">IFERROR(__xludf.DUMMYFUNCTION("""COMPUTED_VALUE"""),"")</f>
        <v/>
      </c>
      <c r="J148" s="17" t="str">
        <f ca="1">IFERROR(__xludf.DUMMYFUNCTION("""COMPUTED_VALUE"""),"")</f>
        <v/>
      </c>
      <c r="K148" s="18" t="str">
        <f ca="1">IFERROR(__xludf.DUMMYFUNCTION("""COMPUTED_VALUE"""),"")</f>
        <v/>
      </c>
      <c r="L148" s="19"/>
      <c r="M148" s="19"/>
      <c r="N148" s="19"/>
      <c r="O148" s="19"/>
      <c r="P148" s="19"/>
      <c r="Q148" s="19"/>
      <c r="R148" s="19"/>
      <c r="S148" s="19"/>
      <c r="T148" s="19"/>
      <c r="U148" s="19"/>
      <c r="V148" s="20"/>
      <c r="W148" s="20"/>
      <c r="X148" s="20"/>
      <c r="Y148" s="20"/>
      <c r="Z148" s="21"/>
      <c r="AA148" s="22"/>
      <c r="AB148" s="23"/>
    </row>
    <row r="149" spans="1:28" ht="13.5" customHeight="1" x14ac:dyDescent="0.35">
      <c r="A149" s="24" t="str">
        <f ca="1">IFERROR(__xludf.DUMMYFUNCTION("""COMPUTED_VALUE"""),"")</f>
        <v/>
      </c>
      <c r="B149" s="28" t="str">
        <f ca="1">IFERROR(__xludf.DUMMYFUNCTION("""COMPUTED_VALUE"""),"")</f>
        <v/>
      </c>
      <c r="C149" s="27" t="str">
        <f ca="1">IFERROR(__xludf.DUMMYFUNCTION("""COMPUTED_VALUE"""),"")</f>
        <v/>
      </c>
      <c r="D149" s="27" t="str">
        <f ca="1">IFERROR(__xludf.DUMMYFUNCTION("""COMPUTED_VALUE"""),"")</f>
        <v/>
      </c>
      <c r="E149" s="15" t="str">
        <f ca="1">IFERROR(__xludf.DUMMYFUNCTION("""COMPUTED_VALUE"""),"")</f>
        <v/>
      </c>
      <c r="F149" s="51" t="str">
        <f ca="1">IFERROR(__xludf.DUMMYFUNCTION("""COMPUTED_VALUE"""),"")</f>
        <v/>
      </c>
      <c r="G149" s="16" t="str">
        <f ca="1">IFERROR(__xludf.DUMMYFUNCTION("""COMPUTED_VALUE"""),"")</f>
        <v/>
      </c>
      <c r="H149" s="17" t="str">
        <f ca="1">IFERROR(__xludf.DUMMYFUNCTION("""COMPUTED_VALUE"""),"")</f>
        <v/>
      </c>
      <c r="I149" s="17" t="str">
        <f ca="1">IFERROR(__xludf.DUMMYFUNCTION("""COMPUTED_VALUE"""),"")</f>
        <v/>
      </c>
      <c r="J149" s="17" t="str">
        <f ca="1">IFERROR(__xludf.DUMMYFUNCTION("""COMPUTED_VALUE"""),"")</f>
        <v/>
      </c>
      <c r="K149" s="18" t="str">
        <f ca="1">IFERROR(__xludf.DUMMYFUNCTION("""COMPUTED_VALUE"""),"")</f>
        <v/>
      </c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20"/>
      <c r="W149" s="20"/>
      <c r="X149" s="20"/>
      <c r="Y149" s="20"/>
      <c r="Z149" s="21"/>
      <c r="AA149" s="22"/>
      <c r="AB149" s="23"/>
    </row>
    <row r="150" spans="1:28" ht="13.5" customHeight="1" x14ac:dyDescent="0.35">
      <c r="A150" s="24" t="str">
        <f ca="1">IFERROR(__xludf.DUMMYFUNCTION("""COMPUTED_VALUE"""),"")</f>
        <v/>
      </c>
      <c r="B150" s="28" t="str">
        <f ca="1">IFERROR(__xludf.DUMMYFUNCTION("""COMPUTED_VALUE"""),"")</f>
        <v/>
      </c>
      <c r="C150" s="27" t="str">
        <f ca="1">IFERROR(__xludf.DUMMYFUNCTION("""COMPUTED_VALUE"""),"")</f>
        <v/>
      </c>
      <c r="D150" s="27" t="str">
        <f ca="1">IFERROR(__xludf.DUMMYFUNCTION("""COMPUTED_VALUE"""),"")</f>
        <v/>
      </c>
      <c r="E150" s="15" t="str">
        <f ca="1">IFERROR(__xludf.DUMMYFUNCTION("""COMPUTED_VALUE"""),"")</f>
        <v/>
      </c>
      <c r="F150" s="51" t="str">
        <f ca="1">IFERROR(__xludf.DUMMYFUNCTION("""COMPUTED_VALUE"""),"")</f>
        <v/>
      </c>
      <c r="G150" s="16" t="str">
        <f ca="1">IFERROR(__xludf.DUMMYFUNCTION("""COMPUTED_VALUE"""),"")</f>
        <v/>
      </c>
      <c r="H150" s="17" t="str">
        <f ca="1">IFERROR(__xludf.DUMMYFUNCTION("""COMPUTED_VALUE"""),"")</f>
        <v/>
      </c>
      <c r="I150" s="17" t="str">
        <f ca="1">IFERROR(__xludf.DUMMYFUNCTION("""COMPUTED_VALUE"""),"")</f>
        <v/>
      </c>
      <c r="J150" s="17" t="str">
        <f ca="1">IFERROR(__xludf.DUMMYFUNCTION("""COMPUTED_VALUE"""),"")</f>
        <v/>
      </c>
      <c r="K150" s="18" t="str">
        <f ca="1">IFERROR(__xludf.DUMMYFUNCTION("""COMPUTED_VALUE"""),"")</f>
        <v/>
      </c>
      <c r="L150" s="19"/>
      <c r="M150" s="19"/>
      <c r="N150" s="19"/>
      <c r="O150" s="19"/>
      <c r="P150" s="19"/>
      <c r="Q150" s="19"/>
      <c r="R150" s="19"/>
      <c r="S150" s="19"/>
      <c r="T150" s="19"/>
      <c r="U150" s="19"/>
      <c r="V150" s="20"/>
      <c r="W150" s="20"/>
      <c r="X150" s="20"/>
      <c r="Y150" s="20"/>
      <c r="Z150" s="21"/>
      <c r="AA150" s="22"/>
      <c r="AB150" s="23"/>
    </row>
    <row r="151" spans="1:28" ht="13.5" customHeight="1" x14ac:dyDescent="0.35">
      <c r="A151" s="24" t="str">
        <f ca="1">IFERROR(__xludf.DUMMYFUNCTION("""COMPUTED_VALUE"""),"")</f>
        <v/>
      </c>
      <c r="B151" s="28" t="str">
        <f ca="1">IFERROR(__xludf.DUMMYFUNCTION("""COMPUTED_VALUE"""),"")</f>
        <v/>
      </c>
      <c r="C151" s="27" t="str">
        <f ca="1">IFERROR(__xludf.DUMMYFUNCTION("""COMPUTED_VALUE"""),"")</f>
        <v/>
      </c>
      <c r="D151" s="27" t="str">
        <f ca="1">IFERROR(__xludf.DUMMYFUNCTION("""COMPUTED_VALUE"""),"")</f>
        <v/>
      </c>
      <c r="E151" s="15" t="str">
        <f ca="1">IFERROR(__xludf.DUMMYFUNCTION("""COMPUTED_VALUE"""),"")</f>
        <v/>
      </c>
      <c r="F151" s="51" t="str">
        <f ca="1">IFERROR(__xludf.DUMMYFUNCTION("""COMPUTED_VALUE"""),"")</f>
        <v/>
      </c>
      <c r="G151" s="16" t="str">
        <f ca="1">IFERROR(__xludf.DUMMYFUNCTION("""COMPUTED_VALUE"""),"")</f>
        <v/>
      </c>
      <c r="H151" s="17" t="str">
        <f ca="1">IFERROR(__xludf.DUMMYFUNCTION("""COMPUTED_VALUE"""),"")</f>
        <v/>
      </c>
      <c r="I151" s="17" t="str">
        <f ca="1">IFERROR(__xludf.DUMMYFUNCTION("""COMPUTED_VALUE"""),"")</f>
        <v/>
      </c>
      <c r="J151" s="17" t="str">
        <f ca="1">IFERROR(__xludf.DUMMYFUNCTION("""COMPUTED_VALUE"""),"")</f>
        <v/>
      </c>
      <c r="K151" s="18" t="str">
        <f ca="1">IFERROR(__xludf.DUMMYFUNCTION("""COMPUTED_VALUE"""),"")</f>
        <v/>
      </c>
      <c r="L151" s="19"/>
      <c r="M151" s="19"/>
      <c r="N151" s="19"/>
      <c r="O151" s="19"/>
      <c r="P151" s="19"/>
      <c r="Q151" s="19"/>
      <c r="R151" s="19"/>
      <c r="S151" s="19"/>
      <c r="T151" s="19"/>
      <c r="U151" s="19"/>
      <c r="V151" s="20"/>
      <c r="W151" s="20"/>
      <c r="X151" s="20"/>
      <c r="Y151" s="20"/>
      <c r="Z151" s="21"/>
      <c r="AA151" s="22"/>
      <c r="AB151" s="23"/>
    </row>
    <row r="152" spans="1:28" ht="13.5" customHeight="1" x14ac:dyDescent="0.35">
      <c r="A152" s="24" t="str">
        <f ca="1">IFERROR(__xludf.DUMMYFUNCTION("""COMPUTED_VALUE"""),"")</f>
        <v/>
      </c>
      <c r="B152" s="28" t="str">
        <f ca="1">IFERROR(__xludf.DUMMYFUNCTION("""COMPUTED_VALUE"""),"")</f>
        <v/>
      </c>
      <c r="C152" s="27" t="str">
        <f ca="1">IFERROR(__xludf.DUMMYFUNCTION("""COMPUTED_VALUE"""),"")</f>
        <v/>
      </c>
      <c r="D152" s="27" t="str">
        <f ca="1">IFERROR(__xludf.DUMMYFUNCTION("""COMPUTED_VALUE"""),"")</f>
        <v/>
      </c>
      <c r="E152" s="15" t="str">
        <f ca="1">IFERROR(__xludf.DUMMYFUNCTION("""COMPUTED_VALUE"""),"")</f>
        <v/>
      </c>
      <c r="F152" s="51" t="str">
        <f ca="1">IFERROR(__xludf.DUMMYFUNCTION("""COMPUTED_VALUE"""),"")</f>
        <v/>
      </c>
      <c r="G152" s="16" t="str">
        <f ca="1">IFERROR(__xludf.DUMMYFUNCTION("""COMPUTED_VALUE"""),"")</f>
        <v/>
      </c>
      <c r="H152" s="17" t="str">
        <f ca="1">IFERROR(__xludf.DUMMYFUNCTION("""COMPUTED_VALUE"""),"")</f>
        <v/>
      </c>
      <c r="I152" s="17" t="str">
        <f ca="1">IFERROR(__xludf.DUMMYFUNCTION("""COMPUTED_VALUE"""),"")</f>
        <v/>
      </c>
      <c r="J152" s="17" t="str">
        <f ca="1">IFERROR(__xludf.DUMMYFUNCTION("""COMPUTED_VALUE"""),"")</f>
        <v/>
      </c>
      <c r="K152" s="18" t="str">
        <f ca="1">IFERROR(__xludf.DUMMYFUNCTION("""COMPUTED_VALUE"""),"")</f>
        <v/>
      </c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20"/>
      <c r="W152" s="20"/>
      <c r="X152" s="20"/>
      <c r="Y152" s="20"/>
      <c r="Z152" s="21"/>
      <c r="AA152" s="22"/>
      <c r="AB152" s="23"/>
    </row>
    <row r="153" spans="1:28" ht="13.5" customHeight="1" x14ac:dyDescent="0.35">
      <c r="A153" s="24" t="str">
        <f ca="1">IFERROR(__xludf.DUMMYFUNCTION("""COMPUTED_VALUE"""),"")</f>
        <v/>
      </c>
      <c r="B153" s="28" t="str">
        <f ca="1">IFERROR(__xludf.DUMMYFUNCTION("""COMPUTED_VALUE"""),"")</f>
        <v/>
      </c>
      <c r="C153" s="27" t="str">
        <f ca="1">IFERROR(__xludf.DUMMYFUNCTION("""COMPUTED_VALUE"""),"")</f>
        <v/>
      </c>
      <c r="D153" s="27" t="str">
        <f ca="1">IFERROR(__xludf.DUMMYFUNCTION("""COMPUTED_VALUE"""),"")</f>
        <v/>
      </c>
      <c r="E153" s="15" t="str">
        <f ca="1">IFERROR(__xludf.DUMMYFUNCTION("""COMPUTED_VALUE"""),"")</f>
        <v/>
      </c>
      <c r="F153" s="51" t="str">
        <f ca="1">IFERROR(__xludf.DUMMYFUNCTION("""COMPUTED_VALUE"""),"")</f>
        <v/>
      </c>
      <c r="G153" s="16" t="str">
        <f ca="1">IFERROR(__xludf.DUMMYFUNCTION("""COMPUTED_VALUE"""),"")</f>
        <v/>
      </c>
      <c r="H153" s="17" t="str">
        <f ca="1">IFERROR(__xludf.DUMMYFUNCTION("""COMPUTED_VALUE"""),"")</f>
        <v/>
      </c>
      <c r="I153" s="17" t="str">
        <f ca="1">IFERROR(__xludf.DUMMYFUNCTION("""COMPUTED_VALUE"""),"")</f>
        <v/>
      </c>
      <c r="J153" s="17" t="str">
        <f ca="1">IFERROR(__xludf.DUMMYFUNCTION("""COMPUTED_VALUE"""),"")</f>
        <v/>
      </c>
      <c r="K153" s="18" t="str">
        <f ca="1">IFERROR(__xludf.DUMMYFUNCTION("""COMPUTED_VALUE"""),"")</f>
        <v/>
      </c>
      <c r="L153" s="19"/>
      <c r="M153" s="19"/>
      <c r="N153" s="19"/>
      <c r="O153" s="19"/>
      <c r="P153" s="19"/>
      <c r="Q153" s="19"/>
      <c r="R153" s="19"/>
      <c r="S153" s="19"/>
      <c r="T153" s="19"/>
      <c r="U153" s="19"/>
      <c r="V153" s="20"/>
      <c r="W153" s="20"/>
      <c r="X153" s="20"/>
      <c r="Y153" s="20"/>
      <c r="Z153" s="21"/>
      <c r="AA153" s="22"/>
      <c r="AB153" s="23"/>
    </row>
    <row r="154" spans="1:28" ht="13.5" customHeight="1" x14ac:dyDescent="0.35">
      <c r="A154" s="24" t="str">
        <f ca="1">IFERROR(__xludf.DUMMYFUNCTION("""COMPUTED_VALUE"""),"")</f>
        <v/>
      </c>
      <c r="B154" s="28" t="str">
        <f ca="1">IFERROR(__xludf.DUMMYFUNCTION("""COMPUTED_VALUE"""),"")</f>
        <v/>
      </c>
      <c r="C154" s="27" t="str">
        <f ca="1">IFERROR(__xludf.DUMMYFUNCTION("""COMPUTED_VALUE"""),"")</f>
        <v/>
      </c>
      <c r="D154" s="27" t="str">
        <f ca="1">IFERROR(__xludf.DUMMYFUNCTION("""COMPUTED_VALUE"""),"")</f>
        <v/>
      </c>
      <c r="E154" s="15" t="str">
        <f ca="1">IFERROR(__xludf.DUMMYFUNCTION("""COMPUTED_VALUE"""),"")</f>
        <v/>
      </c>
      <c r="F154" s="51" t="str">
        <f ca="1">IFERROR(__xludf.DUMMYFUNCTION("""COMPUTED_VALUE"""),"")</f>
        <v/>
      </c>
      <c r="G154" s="16" t="str">
        <f ca="1">IFERROR(__xludf.DUMMYFUNCTION("""COMPUTED_VALUE"""),"")</f>
        <v/>
      </c>
      <c r="H154" s="17" t="str">
        <f ca="1">IFERROR(__xludf.DUMMYFUNCTION("""COMPUTED_VALUE"""),"")</f>
        <v/>
      </c>
      <c r="I154" s="17" t="str">
        <f ca="1">IFERROR(__xludf.DUMMYFUNCTION("""COMPUTED_VALUE"""),"")</f>
        <v/>
      </c>
      <c r="J154" s="17" t="str">
        <f ca="1">IFERROR(__xludf.DUMMYFUNCTION("""COMPUTED_VALUE"""),"")</f>
        <v/>
      </c>
      <c r="K154" s="18" t="str">
        <f ca="1">IFERROR(__xludf.DUMMYFUNCTION("""COMPUTED_VALUE"""),"")</f>
        <v/>
      </c>
      <c r="L154" s="19"/>
      <c r="M154" s="19"/>
      <c r="N154" s="19"/>
      <c r="O154" s="19"/>
      <c r="P154" s="19"/>
      <c r="Q154" s="19"/>
      <c r="R154" s="19"/>
      <c r="S154" s="19"/>
      <c r="T154" s="19"/>
      <c r="U154" s="19"/>
      <c r="V154" s="20"/>
      <c r="W154" s="20"/>
      <c r="X154" s="20"/>
      <c r="Y154" s="20"/>
      <c r="Z154" s="21"/>
      <c r="AA154" s="22"/>
      <c r="AB154" s="23"/>
    </row>
    <row r="155" spans="1:28" ht="13.5" customHeight="1" x14ac:dyDescent="0.35">
      <c r="A155" s="24" t="str">
        <f ca="1">IFERROR(__xludf.DUMMYFUNCTION("""COMPUTED_VALUE"""),"")</f>
        <v/>
      </c>
      <c r="B155" s="28" t="str">
        <f ca="1">IFERROR(__xludf.DUMMYFUNCTION("""COMPUTED_VALUE"""),"")</f>
        <v/>
      </c>
      <c r="C155" s="27" t="str">
        <f ca="1">IFERROR(__xludf.DUMMYFUNCTION("""COMPUTED_VALUE"""),"")</f>
        <v/>
      </c>
      <c r="D155" s="27" t="str">
        <f ca="1">IFERROR(__xludf.DUMMYFUNCTION("""COMPUTED_VALUE"""),"")</f>
        <v/>
      </c>
      <c r="E155" s="15" t="str">
        <f ca="1">IFERROR(__xludf.DUMMYFUNCTION("""COMPUTED_VALUE"""),"")</f>
        <v/>
      </c>
      <c r="F155" s="51" t="str">
        <f ca="1">IFERROR(__xludf.DUMMYFUNCTION("""COMPUTED_VALUE"""),"")</f>
        <v/>
      </c>
      <c r="G155" s="16" t="str">
        <f ca="1">IFERROR(__xludf.DUMMYFUNCTION("""COMPUTED_VALUE"""),"")</f>
        <v/>
      </c>
      <c r="H155" s="17" t="str">
        <f ca="1">IFERROR(__xludf.DUMMYFUNCTION("""COMPUTED_VALUE"""),"")</f>
        <v/>
      </c>
      <c r="I155" s="17" t="str">
        <f ca="1">IFERROR(__xludf.DUMMYFUNCTION("""COMPUTED_VALUE"""),"")</f>
        <v/>
      </c>
      <c r="J155" s="17" t="str">
        <f ca="1">IFERROR(__xludf.DUMMYFUNCTION("""COMPUTED_VALUE"""),"")</f>
        <v/>
      </c>
      <c r="K155" s="18" t="str">
        <f ca="1">IFERROR(__xludf.DUMMYFUNCTION("""COMPUTED_VALUE"""),"")</f>
        <v/>
      </c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20"/>
      <c r="W155" s="20"/>
      <c r="X155" s="20"/>
      <c r="Y155" s="20"/>
      <c r="Z155" s="21"/>
      <c r="AA155" s="22"/>
      <c r="AB155" s="23"/>
    </row>
    <row r="156" spans="1:28" ht="13.5" customHeight="1" x14ac:dyDescent="0.35">
      <c r="A156" s="24" t="str">
        <f ca="1">IFERROR(__xludf.DUMMYFUNCTION("""COMPUTED_VALUE"""),"")</f>
        <v/>
      </c>
      <c r="B156" s="28" t="str">
        <f ca="1">IFERROR(__xludf.DUMMYFUNCTION("""COMPUTED_VALUE"""),"")</f>
        <v/>
      </c>
      <c r="C156" s="27" t="str">
        <f ca="1">IFERROR(__xludf.DUMMYFUNCTION("""COMPUTED_VALUE"""),"")</f>
        <v/>
      </c>
      <c r="D156" s="27" t="str">
        <f ca="1">IFERROR(__xludf.DUMMYFUNCTION("""COMPUTED_VALUE"""),"")</f>
        <v/>
      </c>
      <c r="E156" s="15" t="str">
        <f ca="1">IFERROR(__xludf.DUMMYFUNCTION("""COMPUTED_VALUE"""),"")</f>
        <v/>
      </c>
      <c r="F156" s="51" t="str">
        <f ca="1">IFERROR(__xludf.DUMMYFUNCTION("""COMPUTED_VALUE"""),"")</f>
        <v/>
      </c>
      <c r="G156" s="16" t="str">
        <f ca="1">IFERROR(__xludf.DUMMYFUNCTION("""COMPUTED_VALUE"""),"")</f>
        <v/>
      </c>
      <c r="H156" s="17" t="str">
        <f ca="1">IFERROR(__xludf.DUMMYFUNCTION("""COMPUTED_VALUE"""),"")</f>
        <v/>
      </c>
      <c r="I156" s="17" t="str">
        <f ca="1">IFERROR(__xludf.DUMMYFUNCTION("""COMPUTED_VALUE"""),"")</f>
        <v/>
      </c>
      <c r="J156" s="17" t="str">
        <f ca="1">IFERROR(__xludf.DUMMYFUNCTION("""COMPUTED_VALUE"""),"")</f>
        <v/>
      </c>
      <c r="K156" s="18" t="str">
        <f ca="1">IFERROR(__xludf.DUMMYFUNCTION("""COMPUTED_VALUE"""),"")</f>
        <v/>
      </c>
      <c r="L156" s="19"/>
      <c r="M156" s="19"/>
      <c r="N156" s="19"/>
      <c r="O156" s="19"/>
      <c r="P156" s="19"/>
      <c r="Q156" s="19"/>
      <c r="R156" s="19"/>
      <c r="S156" s="19"/>
      <c r="T156" s="19"/>
      <c r="U156" s="19"/>
      <c r="V156" s="20"/>
      <c r="W156" s="20"/>
      <c r="X156" s="20"/>
      <c r="Y156" s="20"/>
      <c r="Z156" s="21"/>
      <c r="AA156" s="22"/>
      <c r="AB156" s="23"/>
    </row>
    <row r="157" spans="1:28" ht="13.5" customHeight="1" x14ac:dyDescent="0.35">
      <c r="A157" s="24" t="str">
        <f ca="1">IFERROR(__xludf.DUMMYFUNCTION("""COMPUTED_VALUE"""),"")</f>
        <v/>
      </c>
      <c r="B157" s="28" t="str">
        <f ca="1">IFERROR(__xludf.DUMMYFUNCTION("""COMPUTED_VALUE"""),"")</f>
        <v/>
      </c>
      <c r="C157" s="27" t="str">
        <f ca="1">IFERROR(__xludf.DUMMYFUNCTION("""COMPUTED_VALUE"""),"")</f>
        <v/>
      </c>
      <c r="D157" s="27" t="str">
        <f ca="1">IFERROR(__xludf.DUMMYFUNCTION("""COMPUTED_VALUE"""),"")</f>
        <v/>
      </c>
      <c r="E157" s="15" t="str">
        <f ca="1">IFERROR(__xludf.DUMMYFUNCTION("""COMPUTED_VALUE"""),"")</f>
        <v/>
      </c>
      <c r="F157" s="51" t="str">
        <f ca="1">IFERROR(__xludf.DUMMYFUNCTION("""COMPUTED_VALUE"""),"")</f>
        <v/>
      </c>
      <c r="G157" s="16" t="str">
        <f ca="1">IFERROR(__xludf.DUMMYFUNCTION("""COMPUTED_VALUE"""),"")</f>
        <v/>
      </c>
      <c r="H157" s="17" t="str">
        <f ca="1">IFERROR(__xludf.DUMMYFUNCTION("""COMPUTED_VALUE"""),"")</f>
        <v/>
      </c>
      <c r="I157" s="17" t="str">
        <f ca="1">IFERROR(__xludf.DUMMYFUNCTION("""COMPUTED_VALUE"""),"")</f>
        <v/>
      </c>
      <c r="J157" s="17" t="str">
        <f ca="1">IFERROR(__xludf.DUMMYFUNCTION("""COMPUTED_VALUE"""),"")</f>
        <v/>
      </c>
      <c r="K157" s="18" t="str">
        <f ca="1">IFERROR(__xludf.DUMMYFUNCTION("""COMPUTED_VALUE"""),"")</f>
        <v/>
      </c>
      <c r="L157" s="19"/>
      <c r="M157" s="19"/>
      <c r="N157" s="19"/>
      <c r="O157" s="19"/>
      <c r="P157" s="19"/>
      <c r="Q157" s="19"/>
      <c r="R157" s="19"/>
      <c r="S157" s="19"/>
      <c r="T157" s="19"/>
      <c r="U157" s="19"/>
      <c r="V157" s="20"/>
      <c r="W157" s="20"/>
      <c r="X157" s="20"/>
      <c r="Y157" s="20"/>
      <c r="Z157" s="21"/>
      <c r="AA157" s="22"/>
      <c r="AB157" s="23"/>
    </row>
    <row r="158" spans="1:28" ht="13.5" customHeight="1" x14ac:dyDescent="0.35">
      <c r="A158" s="24" t="str">
        <f ca="1">IFERROR(__xludf.DUMMYFUNCTION("""COMPUTED_VALUE"""),"")</f>
        <v/>
      </c>
      <c r="B158" s="28" t="str">
        <f ca="1">IFERROR(__xludf.DUMMYFUNCTION("""COMPUTED_VALUE"""),"")</f>
        <v/>
      </c>
      <c r="C158" s="27" t="str">
        <f ca="1">IFERROR(__xludf.DUMMYFUNCTION("""COMPUTED_VALUE"""),"")</f>
        <v/>
      </c>
      <c r="D158" s="27" t="str">
        <f ca="1">IFERROR(__xludf.DUMMYFUNCTION("""COMPUTED_VALUE"""),"")</f>
        <v/>
      </c>
      <c r="E158" s="15" t="str">
        <f ca="1">IFERROR(__xludf.DUMMYFUNCTION("""COMPUTED_VALUE"""),"")</f>
        <v/>
      </c>
      <c r="F158" s="51" t="str">
        <f ca="1">IFERROR(__xludf.DUMMYFUNCTION("""COMPUTED_VALUE"""),"")</f>
        <v/>
      </c>
      <c r="G158" s="16" t="str">
        <f ca="1">IFERROR(__xludf.DUMMYFUNCTION("""COMPUTED_VALUE"""),"")</f>
        <v/>
      </c>
      <c r="H158" s="17" t="str">
        <f ca="1">IFERROR(__xludf.DUMMYFUNCTION("""COMPUTED_VALUE"""),"")</f>
        <v/>
      </c>
      <c r="I158" s="17" t="str">
        <f ca="1">IFERROR(__xludf.DUMMYFUNCTION("""COMPUTED_VALUE"""),"")</f>
        <v/>
      </c>
      <c r="J158" s="17" t="str">
        <f ca="1">IFERROR(__xludf.DUMMYFUNCTION("""COMPUTED_VALUE"""),"")</f>
        <v/>
      </c>
      <c r="K158" s="18" t="str">
        <f ca="1">IFERROR(__xludf.DUMMYFUNCTION("""COMPUTED_VALUE"""),"")</f>
        <v/>
      </c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20"/>
      <c r="W158" s="20"/>
      <c r="X158" s="20"/>
      <c r="Y158" s="20"/>
      <c r="Z158" s="21"/>
      <c r="AA158" s="22"/>
      <c r="AB158" s="23"/>
    </row>
    <row r="159" spans="1:28" ht="13.5" customHeight="1" x14ac:dyDescent="0.35">
      <c r="A159" s="24" t="str">
        <f ca="1">IFERROR(__xludf.DUMMYFUNCTION("""COMPUTED_VALUE"""),"")</f>
        <v/>
      </c>
      <c r="B159" s="28" t="str">
        <f ca="1">IFERROR(__xludf.DUMMYFUNCTION("""COMPUTED_VALUE"""),"")</f>
        <v/>
      </c>
      <c r="C159" s="27" t="str">
        <f ca="1">IFERROR(__xludf.DUMMYFUNCTION("""COMPUTED_VALUE"""),"")</f>
        <v/>
      </c>
      <c r="D159" s="27" t="str">
        <f ca="1">IFERROR(__xludf.DUMMYFUNCTION("""COMPUTED_VALUE"""),"")</f>
        <v/>
      </c>
      <c r="E159" s="15" t="str">
        <f ca="1">IFERROR(__xludf.DUMMYFUNCTION("""COMPUTED_VALUE"""),"")</f>
        <v/>
      </c>
      <c r="F159" s="51" t="str">
        <f ca="1">IFERROR(__xludf.DUMMYFUNCTION("""COMPUTED_VALUE"""),"")</f>
        <v/>
      </c>
      <c r="G159" s="16" t="str">
        <f ca="1">IFERROR(__xludf.DUMMYFUNCTION("""COMPUTED_VALUE"""),"")</f>
        <v/>
      </c>
      <c r="H159" s="17" t="str">
        <f ca="1">IFERROR(__xludf.DUMMYFUNCTION("""COMPUTED_VALUE"""),"")</f>
        <v/>
      </c>
      <c r="I159" s="17" t="str">
        <f ca="1">IFERROR(__xludf.DUMMYFUNCTION("""COMPUTED_VALUE"""),"")</f>
        <v/>
      </c>
      <c r="J159" s="17" t="str">
        <f ca="1">IFERROR(__xludf.DUMMYFUNCTION("""COMPUTED_VALUE"""),"")</f>
        <v/>
      </c>
      <c r="K159" s="18" t="str">
        <f ca="1">IFERROR(__xludf.DUMMYFUNCTION("""COMPUTED_VALUE"""),"")</f>
        <v/>
      </c>
      <c r="L159" s="19"/>
      <c r="M159" s="19"/>
      <c r="N159" s="19"/>
      <c r="O159" s="19"/>
      <c r="P159" s="19"/>
      <c r="Q159" s="19"/>
      <c r="R159" s="19"/>
      <c r="S159" s="19"/>
      <c r="T159" s="19"/>
      <c r="U159" s="19"/>
      <c r="V159" s="20"/>
      <c r="W159" s="20"/>
      <c r="X159" s="20"/>
      <c r="Y159" s="20"/>
      <c r="Z159" s="21"/>
      <c r="AA159" s="22"/>
      <c r="AB159" s="23"/>
    </row>
    <row r="160" spans="1:28" ht="13.5" customHeight="1" x14ac:dyDescent="0.35">
      <c r="A160" s="24" t="str">
        <f ca="1">IFERROR(__xludf.DUMMYFUNCTION("""COMPUTED_VALUE"""),"")</f>
        <v/>
      </c>
      <c r="B160" s="28" t="str">
        <f ca="1">IFERROR(__xludf.DUMMYFUNCTION("""COMPUTED_VALUE"""),"")</f>
        <v/>
      </c>
      <c r="C160" s="27" t="str">
        <f ca="1">IFERROR(__xludf.DUMMYFUNCTION("""COMPUTED_VALUE"""),"")</f>
        <v/>
      </c>
      <c r="D160" s="27" t="str">
        <f ca="1">IFERROR(__xludf.DUMMYFUNCTION("""COMPUTED_VALUE"""),"")</f>
        <v/>
      </c>
      <c r="E160" s="15" t="str">
        <f ca="1">IFERROR(__xludf.DUMMYFUNCTION("""COMPUTED_VALUE"""),"")</f>
        <v/>
      </c>
      <c r="F160" s="51" t="str">
        <f ca="1">IFERROR(__xludf.DUMMYFUNCTION("""COMPUTED_VALUE"""),"")</f>
        <v/>
      </c>
      <c r="G160" s="16" t="str">
        <f ca="1">IFERROR(__xludf.DUMMYFUNCTION("""COMPUTED_VALUE"""),"")</f>
        <v/>
      </c>
      <c r="H160" s="17" t="str">
        <f ca="1">IFERROR(__xludf.DUMMYFUNCTION("""COMPUTED_VALUE"""),"")</f>
        <v/>
      </c>
      <c r="I160" s="17" t="str">
        <f ca="1">IFERROR(__xludf.DUMMYFUNCTION("""COMPUTED_VALUE"""),"")</f>
        <v/>
      </c>
      <c r="J160" s="17" t="str">
        <f ca="1">IFERROR(__xludf.DUMMYFUNCTION("""COMPUTED_VALUE"""),"")</f>
        <v/>
      </c>
      <c r="K160" s="18" t="str">
        <f ca="1">IFERROR(__xludf.DUMMYFUNCTION("""COMPUTED_VALUE"""),"")</f>
        <v/>
      </c>
      <c r="L160" s="19"/>
      <c r="M160" s="19"/>
      <c r="N160" s="19"/>
      <c r="O160" s="19"/>
      <c r="P160" s="19"/>
      <c r="Q160" s="19"/>
      <c r="R160" s="19"/>
      <c r="S160" s="19"/>
      <c r="T160" s="19"/>
      <c r="U160" s="19"/>
      <c r="V160" s="20"/>
      <c r="W160" s="20"/>
      <c r="X160" s="20"/>
      <c r="Y160" s="20"/>
      <c r="Z160" s="21"/>
      <c r="AA160" s="22"/>
      <c r="AB160" s="23"/>
    </row>
    <row r="161" spans="1:28" ht="13.5" customHeight="1" x14ac:dyDescent="0.35">
      <c r="A161" s="24" t="str">
        <f ca="1">IFERROR(__xludf.DUMMYFUNCTION("""COMPUTED_VALUE"""),"")</f>
        <v/>
      </c>
      <c r="B161" s="28" t="str">
        <f ca="1">IFERROR(__xludf.DUMMYFUNCTION("""COMPUTED_VALUE"""),"")</f>
        <v/>
      </c>
      <c r="C161" s="27" t="str">
        <f ca="1">IFERROR(__xludf.DUMMYFUNCTION("""COMPUTED_VALUE"""),"")</f>
        <v/>
      </c>
      <c r="D161" s="27" t="str">
        <f ca="1">IFERROR(__xludf.DUMMYFUNCTION("""COMPUTED_VALUE"""),"")</f>
        <v/>
      </c>
      <c r="E161" s="15" t="str">
        <f ca="1">IFERROR(__xludf.DUMMYFUNCTION("""COMPUTED_VALUE"""),"")</f>
        <v/>
      </c>
      <c r="F161" s="51" t="str">
        <f ca="1">IFERROR(__xludf.DUMMYFUNCTION("""COMPUTED_VALUE"""),"")</f>
        <v/>
      </c>
      <c r="G161" s="16" t="str">
        <f ca="1">IFERROR(__xludf.DUMMYFUNCTION("""COMPUTED_VALUE"""),"")</f>
        <v/>
      </c>
      <c r="H161" s="17" t="str">
        <f ca="1">IFERROR(__xludf.DUMMYFUNCTION("""COMPUTED_VALUE"""),"")</f>
        <v/>
      </c>
      <c r="I161" s="17" t="str">
        <f ca="1">IFERROR(__xludf.DUMMYFUNCTION("""COMPUTED_VALUE"""),"")</f>
        <v/>
      </c>
      <c r="J161" s="17" t="str">
        <f ca="1">IFERROR(__xludf.DUMMYFUNCTION("""COMPUTED_VALUE"""),"")</f>
        <v/>
      </c>
      <c r="K161" s="18" t="str">
        <f ca="1">IFERROR(__xludf.DUMMYFUNCTION("""COMPUTED_VALUE"""),"")</f>
        <v/>
      </c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V161" s="20"/>
      <c r="W161" s="20"/>
      <c r="X161" s="20"/>
      <c r="Y161" s="20"/>
      <c r="Z161" s="21"/>
      <c r="AA161" s="22"/>
      <c r="AB161" s="23"/>
    </row>
    <row r="162" spans="1:28" ht="13.5" customHeight="1" x14ac:dyDescent="0.35">
      <c r="A162" s="24" t="str">
        <f ca="1">IFERROR(__xludf.DUMMYFUNCTION("""COMPUTED_VALUE"""),"")</f>
        <v/>
      </c>
      <c r="B162" s="28" t="str">
        <f ca="1">IFERROR(__xludf.DUMMYFUNCTION("""COMPUTED_VALUE"""),"")</f>
        <v/>
      </c>
      <c r="C162" s="27" t="str">
        <f ca="1">IFERROR(__xludf.DUMMYFUNCTION("""COMPUTED_VALUE"""),"")</f>
        <v/>
      </c>
      <c r="D162" s="27" t="str">
        <f ca="1">IFERROR(__xludf.DUMMYFUNCTION("""COMPUTED_VALUE"""),"")</f>
        <v/>
      </c>
      <c r="E162" s="15" t="str">
        <f ca="1">IFERROR(__xludf.DUMMYFUNCTION("""COMPUTED_VALUE"""),"")</f>
        <v/>
      </c>
      <c r="F162" s="51" t="str">
        <f ca="1">IFERROR(__xludf.DUMMYFUNCTION("""COMPUTED_VALUE"""),"")</f>
        <v/>
      </c>
      <c r="G162" s="16" t="str">
        <f ca="1">IFERROR(__xludf.DUMMYFUNCTION("""COMPUTED_VALUE"""),"")</f>
        <v/>
      </c>
      <c r="H162" s="17" t="str">
        <f ca="1">IFERROR(__xludf.DUMMYFUNCTION("""COMPUTED_VALUE"""),"")</f>
        <v/>
      </c>
      <c r="I162" s="17" t="str">
        <f ca="1">IFERROR(__xludf.DUMMYFUNCTION("""COMPUTED_VALUE"""),"")</f>
        <v/>
      </c>
      <c r="J162" s="17" t="str">
        <f ca="1">IFERROR(__xludf.DUMMYFUNCTION("""COMPUTED_VALUE"""),"")</f>
        <v/>
      </c>
      <c r="K162" s="18" t="str">
        <f ca="1">IFERROR(__xludf.DUMMYFUNCTION("""COMPUTED_VALUE"""),"")</f>
        <v/>
      </c>
      <c r="L162" s="19"/>
      <c r="M162" s="19"/>
      <c r="N162" s="19"/>
      <c r="O162" s="19"/>
      <c r="P162" s="19"/>
      <c r="Q162" s="19"/>
      <c r="R162" s="19"/>
      <c r="S162" s="19"/>
      <c r="T162" s="19"/>
      <c r="U162" s="19"/>
      <c r="V162" s="20"/>
      <c r="W162" s="20"/>
      <c r="X162" s="20"/>
      <c r="Y162" s="20"/>
      <c r="Z162" s="21"/>
      <c r="AA162" s="22"/>
      <c r="AB162" s="23"/>
    </row>
    <row r="163" spans="1:28" ht="13.5" customHeight="1" x14ac:dyDescent="0.35">
      <c r="A163" s="24" t="str">
        <f ca="1">IFERROR(__xludf.DUMMYFUNCTION("""COMPUTED_VALUE"""),"")</f>
        <v/>
      </c>
      <c r="B163" s="28" t="str">
        <f ca="1">IFERROR(__xludf.DUMMYFUNCTION("""COMPUTED_VALUE"""),"")</f>
        <v/>
      </c>
      <c r="C163" s="27" t="str">
        <f ca="1">IFERROR(__xludf.DUMMYFUNCTION("""COMPUTED_VALUE"""),"")</f>
        <v/>
      </c>
      <c r="D163" s="27" t="str">
        <f ca="1">IFERROR(__xludf.DUMMYFUNCTION("""COMPUTED_VALUE"""),"")</f>
        <v/>
      </c>
      <c r="E163" s="15" t="str">
        <f ca="1">IFERROR(__xludf.DUMMYFUNCTION("""COMPUTED_VALUE"""),"")</f>
        <v/>
      </c>
      <c r="F163" s="51" t="str">
        <f ca="1">IFERROR(__xludf.DUMMYFUNCTION("""COMPUTED_VALUE"""),"")</f>
        <v/>
      </c>
      <c r="G163" s="16" t="str">
        <f ca="1">IFERROR(__xludf.DUMMYFUNCTION("""COMPUTED_VALUE"""),"")</f>
        <v/>
      </c>
      <c r="H163" s="17" t="str">
        <f ca="1">IFERROR(__xludf.DUMMYFUNCTION("""COMPUTED_VALUE"""),"")</f>
        <v/>
      </c>
      <c r="I163" s="17" t="str">
        <f ca="1">IFERROR(__xludf.DUMMYFUNCTION("""COMPUTED_VALUE"""),"")</f>
        <v/>
      </c>
      <c r="J163" s="17" t="str">
        <f ca="1">IFERROR(__xludf.DUMMYFUNCTION("""COMPUTED_VALUE"""),"")</f>
        <v/>
      </c>
      <c r="K163" s="18" t="str">
        <f ca="1">IFERROR(__xludf.DUMMYFUNCTION("""COMPUTED_VALUE"""),"")</f>
        <v/>
      </c>
      <c r="L163" s="19"/>
      <c r="M163" s="19"/>
      <c r="N163" s="19"/>
      <c r="O163" s="19"/>
      <c r="P163" s="19"/>
      <c r="Q163" s="19"/>
      <c r="R163" s="19"/>
      <c r="S163" s="19"/>
      <c r="T163" s="19"/>
      <c r="U163" s="19"/>
      <c r="V163" s="20"/>
      <c r="W163" s="20"/>
      <c r="X163" s="20"/>
      <c r="Y163" s="20"/>
      <c r="Z163" s="21"/>
      <c r="AA163" s="22"/>
      <c r="AB163" s="23"/>
    </row>
    <row r="164" spans="1:28" ht="13.5" customHeight="1" x14ac:dyDescent="0.35">
      <c r="A164" s="24" t="str">
        <f ca="1">IFERROR(__xludf.DUMMYFUNCTION("""COMPUTED_VALUE"""),"")</f>
        <v/>
      </c>
      <c r="B164" s="28" t="str">
        <f ca="1">IFERROR(__xludf.DUMMYFUNCTION("""COMPUTED_VALUE"""),"")</f>
        <v/>
      </c>
      <c r="C164" s="27" t="str">
        <f ca="1">IFERROR(__xludf.DUMMYFUNCTION("""COMPUTED_VALUE"""),"")</f>
        <v/>
      </c>
      <c r="D164" s="27" t="str">
        <f ca="1">IFERROR(__xludf.DUMMYFUNCTION("""COMPUTED_VALUE"""),"")</f>
        <v/>
      </c>
      <c r="E164" s="15" t="str">
        <f ca="1">IFERROR(__xludf.DUMMYFUNCTION("""COMPUTED_VALUE"""),"")</f>
        <v/>
      </c>
      <c r="F164" s="51" t="str">
        <f ca="1">IFERROR(__xludf.DUMMYFUNCTION("""COMPUTED_VALUE"""),"")</f>
        <v/>
      </c>
      <c r="G164" s="16" t="str">
        <f ca="1">IFERROR(__xludf.DUMMYFUNCTION("""COMPUTED_VALUE"""),"")</f>
        <v/>
      </c>
      <c r="H164" s="17" t="str">
        <f ca="1">IFERROR(__xludf.DUMMYFUNCTION("""COMPUTED_VALUE"""),"")</f>
        <v/>
      </c>
      <c r="I164" s="17" t="str">
        <f ca="1">IFERROR(__xludf.DUMMYFUNCTION("""COMPUTED_VALUE"""),"")</f>
        <v/>
      </c>
      <c r="J164" s="17" t="str">
        <f ca="1">IFERROR(__xludf.DUMMYFUNCTION("""COMPUTED_VALUE"""),"")</f>
        <v/>
      </c>
      <c r="K164" s="18" t="str">
        <f ca="1">IFERROR(__xludf.DUMMYFUNCTION("""COMPUTED_VALUE"""),"")</f>
        <v/>
      </c>
      <c r="L164" s="19"/>
      <c r="M164" s="19"/>
      <c r="N164" s="19"/>
      <c r="O164" s="19"/>
      <c r="P164" s="19"/>
      <c r="Q164" s="19"/>
      <c r="R164" s="19"/>
      <c r="S164" s="19"/>
      <c r="T164" s="19"/>
      <c r="U164" s="19"/>
      <c r="V164" s="20"/>
      <c r="W164" s="20"/>
      <c r="X164" s="20"/>
      <c r="Y164" s="20"/>
      <c r="Z164" s="21"/>
      <c r="AA164" s="22"/>
      <c r="AB164" s="23"/>
    </row>
    <row r="165" spans="1:28" ht="13.5" customHeight="1" x14ac:dyDescent="0.35">
      <c r="A165" s="24" t="str">
        <f ca="1">IFERROR(__xludf.DUMMYFUNCTION("""COMPUTED_VALUE"""),"")</f>
        <v/>
      </c>
      <c r="B165" s="28" t="str">
        <f ca="1">IFERROR(__xludf.DUMMYFUNCTION("""COMPUTED_VALUE"""),"")</f>
        <v/>
      </c>
      <c r="C165" s="27" t="str">
        <f ca="1">IFERROR(__xludf.DUMMYFUNCTION("""COMPUTED_VALUE"""),"")</f>
        <v/>
      </c>
      <c r="D165" s="27" t="str">
        <f ca="1">IFERROR(__xludf.DUMMYFUNCTION("""COMPUTED_VALUE"""),"")</f>
        <v/>
      </c>
      <c r="E165" s="15" t="str">
        <f ca="1">IFERROR(__xludf.DUMMYFUNCTION("""COMPUTED_VALUE"""),"")</f>
        <v/>
      </c>
      <c r="F165" s="51" t="str">
        <f ca="1">IFERROR(__xludf.DUMMYFUNCTION("""COMPUTED_VALUE"""),"")</f>
        <v/>
      </c>
      <c r="G165" s="16" t="str">
        <f ca="1">IFERROR(__xludf.DUMMYFUNCTION("""COMPUTED_VALUE"""),"")</f>
        <v/>
      </c>
      <c r="H165" s="17" t="str">
        <f ca="1">IFERROR(__xludf.DUMMYFUNCTION("""COMPUTED_VALUE"""),"")</f>
        <v/>
      </c>
      <c r="I165" s="17" t="str">
        <f ca="1">IFERROR(__xludf.DUMMYFUNCTION("""COMPUTED_VALUE"""),"")</f>
        <v/>
      </c>
      <c r="J165" s="17" t="str">
        <f ca="1">IFERROR(__xludf.DUMMYFUNCTION("""COMPUTED_VALUE"""),"")</f>
        <v/>
      </c>
      <c r="K165" s="18" t="str">
        <f ca="1">IFERROR(__xludf.DUMMYFUNCTION("""COMPUTED_VALUE"""),"")</f>
        <v/>
      </c>
      <c r="L165" s="19"/>
      <c r="M165" s="19"/>
      <c r="N165" s="19"/>
      <c r="O165" s="19"/>
      <c r="P165" s="19"/>
      <c r="Q165" s="19"/>
      <c r="R165" s="19"/>
      <c r="S165" s="19"/>
      <c r="T165" s="19"/>
      <c r="U165" s="19"/>
      <c r="V165" s="20"/>
      <c r="W165" s="20"/>
      <c r="X165" s="20"/>
      <c r="Y165" s="20"/>
      <c r="Z165" s="21"/>
      <c r="AA165" s="22"/>
      <c r="AB165" s="23"/>
    </row>
    <row r="166" spans="1:28" ht="13.5" customHeight="1" x14ac:dyDescent="0.35">
      <c r="A166" s="24" t="str">
        <f ca="1">IFERROR(__xludf.DUMMYFUNCTION("""COMPUTED_VALUE"""),"")</f>
        <v/>
      </c>
      <c r="B166" s="28" t="str">
        <f ca="1">IFERROR(__xludf.DUMMYFUNCTION("""COMPUTED_VALUE"""),"")</f>
        <v/>
      </c>
      <c r="C166" s="27" t="str">
        <f ca="1">IFERROR(__xludf.DUMMYFUNCTION("""COMPUTED_VALUE"""),"")</f>
        <v/>
      </c>
      <c r="D166" s="27" t="str">
        <f ca="1">IFERROR(__xludf.DUMMYFUNCTION("""COMPUTED_VALUE"""),"")</f>
        <v/>
      </c>
      <c r="E166" s="15" t="str">
        <f ca="1">IFERROR(__xludf.DUMMYFUNCTION("""COMPUTED_VALUE"""),"")</f>
        <v/>
      </c>
      <c r="F166" s="51" t="str">
        <f ca="1">IFERROR(__xludf.DUMMYFUNCTION("""COMPUTED_VALUE"""),"")</f>
        <v/>
      </c>
      <c r="G166" s="16" t="str">
        <f ca="1">IFERROR(__xludf.DUMMYFUNCTION("""COMPUTED_VALUE"""),"")</f>
        <v/>
      </c>
      <c r="H166" s="17" t="str">
        <f ca="1">IFERROR(__xludf.DUMMYFUNCTION("""COMPUTED_VALUE"""),"")</f>
        <v/>
      </c>
      <c r="I166" s="17" t="str">
        <f ca="1">IFERROR(__xludf.DUMMYFUNCTION("""COMPUTED_VALUE"""),"")</f>
        <v/>
      </c>
      <c r="J166" s="17" t="str">
        <f ca="1">IFERROR(__xludf.DUMMYFUNCTION("""COMPUTED_VALUE"""),"")</f>
        <v/>
      </c>
      <c r="K166" s="18" t="str">
        <f ca="1">IFERROR(__xludf.DUMMYFUNCTION("""COMPUTED_VALUE"""),"")</f>
        <v/>
      </c>
      <c r="L166" s="19"/>
      <c r="M166" s="19"/>
      <c r="N166" s="19"/>
      <c r="O166" s="19"/>
      <c r="P166" s="19"/>
      <c r="Q166" s="19"/>
      <c r="R166" s="19"/>
      <c r="S166" s="19"/>
      <c r="T166" s="19"/>
      <c r="U166" s="19"/>
      <c r="V166" s="20"/>
      <c r="W166" s="20"/>
      <c r="X166" s="20"/>
      <c r="Y166" s="20"/>
      <c r="Z166" s="21"/>
      <c r="AA166" s="22"/>
      <c r="AB166" s="23"/>
    </row>
    <row r="167" spans="1:28" ht="13.5" customHeight="1" x14ac:dyDescent="0.35">
      <c r="A167" s="24" t="str">
        <f ca="1">IFERROR(__xludf.DUMMYFUNCTION("""COMPUTED_VALUE"""),"")</f>
        <v/>
      </c>
      <c r="B167" s="28" t="str">
        <f ca="1">IFERROR(__xludf.DUMMYFUNCTION("""COMPUTED_VALUE"""),"")</f>
        <v/>
      </c>
      <c r="C167" s="27" t="str">
        <f ca="1">IFERROR(__xludf.DUMMYFUNCTION("""COMPUTED_VALUE"""),"")</f>
        <v/>
      </c>
      <c r="D167" s="27" t="str">
        <f ca="1">IFERROR(__xludf.DUMMYFUNCTION("""COMPUTED_VALUE"""),"")</f>
        <v/>
      </c>
      <c r="E167" s="15" t="str">
        <f ca="1">IFERROR(__xludf.DUMMYFUNCTION("""COMPUTED_VALUE"""),"")</f>
        <v/>
      </c>
      <c r="F167" s="51" t="str">
        <f ca="1">IFERROR(__xludf.DUMMYFUNCTION("""COMPUTED_VALUE"""),"")</f>
        <v/>
      </c>
      <c r="G167" s="16" t="str">
        <f ca="1">IFERROR(__xludf.DUMMYFUNCTION("""COMPUTED_VALUE"""),"")</f>
        <v/>
      </c>
      <c r="H167" s="17" t="str">
        <f ca="1">IFERROR(__xludf.DUMMYFUNCTION("""COMPUTED_VALUE"""),"")</f>
        <v/>
      </c>
      <c r="I167" s="17" t="str">
        <f ca="1">IFERROR(__xludf.DUMMYFUNCTION("""COMPUTED_VALUE"""),"")</f>
        <v/>
      </c>
      <c r="J167" s="17" t="str">
        <f ca="1">IFERROR(__xludf.DUMMYFUNCTION("""COMPUTED_VALUE"""),"")</f>
        <v/>
      </c>
      <c r="K167" s="18" t="str">
        <f ca="1">IFERROR(__xludf.DUMMYFUNCTION("""COMPUTED_VALUE"""),"")</f>
        <v/>
      </c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20"/>
      <c r="W167" s="20"/>
      <c r="X167" s="20"/>
      <c r="Y167" s="20"/>
      <c r="Z167" s="21"/>
      <c r="AA167" s="22"/>
      <c r="AB167" s="23"/>
    </row>
    <row r="168" spans="1:28" ht="13.5" customHeight="1" x14ac:dyDescent="0.35">
      <c r="A168" s="24" t="str">
        <f ca="1">IFERROR(__xludf.DUMMYFUNCTION("""COMPUTED_VALUE"""),"")</f>
        <v/>
      </c>
      <c r="B168" s="28" t="str">
        <f ca="1">IFERROR(__xludf.DUMMYFUNCTION("""COMPUTED_VALUE"""),"")</f>
        <v/>
      </c>
      <c r="C168" s="27" t="str">
        <f ca="1">IFERROR(__xludf.DUMMYFUNCTION("""COMPUTED_VALUE"""),"")</f>
        <v/>
      </c>
      <c r="D168" s="27" t="str">
        <f ca="1">IFERROR(__xludf.DUMMYFUNCTION("""COMPUTED_VALUE"""),"")</f>
        <v/>
      </c>
      <c r="E168" s="15" t="str">
        <f ca="1">IFERROR(__xludf.DUMMYFUNCTION("""COMPUTED_VALUE"""),"")</f>
        <v/>
      </c>
      <c r="F168" s="51" t="str">
        <f ca="1">IFERROR(__xludf.DUMMYFUNCTION("""COMPUTED_VALUE"""),"")</f>
        <v/>
      </c>
      <c r="G168" s="16" t="str">
        <f ca="1">IFERROR(__xludf.DUMMYFUNCTION("""COMPUTED_VALUE"""),"")</f>
        <v/>
      </c>
      <c r="H168" s="17" t="str">
        <f ca="1">IFERROR(__xludf.DUMMYFUNCTION("""COMPUTED_VALUE"""),"")</f>
        <v/>
      </c>
      <c r="I168" s="17" t="str">
        <f ca="1">IFERROR(__xludf.DUMMYFUNCTION("""COMPUTED_VALUE"""),"")</f>
        <v/>
      </c>
      <c r="J168" s="17" t="str">
        <f ca="1">IFERROR(__xludf.DUMMYFUNCTION("""COMPUTED_VALUE"""),"")</f>
        <v/>
      </c>
      <c r="K168" s="18" t="str">
        <f ca="1">IFERROR(__xludf.DUMMYFUNCTION("""COMPUTED_VALUE"""),"")</f>
        <v/>
      </c>
      <c r="L168" s="19"/>
      <c r="M168" s="19"/>
      <c r="N168" s="19"/>
      <c r="O168" s="19"/>
      <c r="P168" s="19"/>
      <c r="Q168" s="19"/>
      <c r="R168" s="19"/>
      <c r="S168" s="19"/>
      <c r="T168" s="19"/>
      <c r="U168" s="19"/>
      <c r="V168" s="20"/>
      <c r="W168" s="20"/>
      <c r="X168" s="20"/>
      <c r="Y168" s="20"/>
      <c r="Z168" s="21"/>
      <c r="AA168" s="22"/>
      <c r="AB168" s="23"/>
    </row>
    <row r="169" spans="1:28" ht="13.5" customHeight="1" x14ac:dyDescent="0.35">
      <c r="A169" s="24" t="str">
        <f ca="1">IFERROR(__xludf.DUMMYFUNCTION("""COMPUTED_VALUE"""),"")</f>
        <v/>
      </c>
      <c r="B169" s="28" t="str">
        <f ca="1">IFERROR(__xludf.DUMMYFUNCTION("""COMPUTED_VALUE"""),"")</f>
        <v/>
      </c>
      <c r="C169" s="27" t="str">
        <f ca="1">IFERROR(__xludf.DUMMYFUNCTION("""COMPUTED_VALUE"""),"")</f>
        <v/>
      </c>
      <c r="D169" s="27" t="str">
        <f ca="1">IFERROR(__xludf.DUMMYFUNCTION("""COMPUTED_VALUE"""),"")</f>
        <v/>
      </c>
      <c r="E169" s="15" t="str">
        <f ca="1">IFERROR(__xludf.DUMMYFUNCTION("""COMPUTED_VALUE"""),"")</f>
        <v/>
      </c>
      <c r="F169" s="51" t="str">
        <f ca="1">IFERROR(__xludf.DUMMYFUNCTION("""COMPUTED_VALUE"""),"")</f>
        <v/>
      </c>
      <c r="G169" s="16" t="str">
        <f ca="1">IFERROR(__xludf.DUMMYFUNCTION("""COMPUTED_VALUE"""),"")</f>
        <v/>
      </c>
      <c r="H169" s="17" t="str">
        <f ca="1">IFERROR(__xludf.DUMMYFUNCTION("""COMPUTED_VALUE"""),"")</f>
        <v/>
      </c>
      <c r="I169" s="17" t="str">
        <f ca="1">IFERROR(__xludf.DUMMYFUNCTION("""COMPUTED_VALUE"""),"")</f>
        <v/>
      </c>
      <c r="J169" s="17" t="str">
        <f ca="1">IFERROR(__xludf.DUMMYFUNCTION("""COMPUTED_VALUE"""),"")</f>
        <v/>
      </c>
      <c r="K169" s="18" t="str">
        <f ca="1">IFERROR(__xludf.DUMMYFUNCTION("""COMPUTED_VALUE"""),"")</f>
        <v/>
      </c>
      <c r="L169" s="19"/>
      <c r="M169" s="19"/>
      <c r="N169" s="19"/>
      <c r="O169" s="19"/>
      <c r="P169" s="19"/>
      <c r="Q169" s="19"/>
      <c r="R169" s="19"/>
      <c r="S169" s="19"/>
      <c r="T169" s="19"/>
      <c r="U169" s="19"/>
      <c r="V169" s="20"/>
      <c r="W169" s="20"/>
      <c r="X169" s="20"/>
      <c r="Y169" s="20"/>
      <c r="Z169" s="21"/>
      <c r="AA169" s="22"/>
      <c r="AB169" s="23"/>
    </row>
    <row r="170" spans="1:28" ht="13.5" customHeight="1" x14ac:dyDescent="0.35">
      <c r="A170" s="24" t="str">
        <f ca="1">IFERROR(__xludf.DUMMYFUNCTION("""COMPUTED_VALUE"""),"")</f>
        <v/>
      </c>
      <c r="B170" s="28" t="str">
        <f ca="1">IFERROR(__xludf.DUMMYFUNCTION("""COMPUTED_VALUE"""),"")</f>
        <v/>
      </c>
      <c r="C170" s="27" t="str">
        <f ca="1">IFERROR(__xludf.DUMMYFUNCTION("""COMPUTED_VALUE"""),"")</f>
        <v/>
      </c>
      <c r="D170" s="27" t="str">
        <f ca="1">IFERROR(__xludf.DUMMYFUNCTION("""COMPUTED_VALUE"""),"")</f>
        <v/>
      </c>
      <c r="E170" s="15" t="str">
        <f ca="1">IFERROR(__xludf.DUMMYFUNCTION("""COMPUTED_VALUE"""),"")</f>
        <v/>
      </c>
      <c r="F170" s="51" t="str">
        <f ca="1">IFERROR(__xludf.DUMMYFUNCTION("""COMPUTED_VALUE"""),"")</f>
        <v/>
      </c>
      <c r="G170" s="16" t="str">
        <f ca="1">IFERROR(__xludf.DUMMYFUNCTION("""COMPUTED_VALUE"""),"")</f>
        <v/>
      </c>
      <c r="H170" s="17" t="str">
        <f ca="1">IFERROR(__xludf.DUMMYFUNCTION("""COMPUTED_VALUE"""),"")</f>
        <v/>
      </c>
      <c r="I170" s="17" t="str">
        <f ca="1">IFERROR(__xludf.DUMMYFUNCTION("""COMPUTED_VALUE"""),"")</f>
        <v/>
      </c>
      <c r="J170" s="17" t="str">
        <f ca="1">IFERROR(__xludf.DUMMYFUNCTION("""COMPUTED_VALUE"""),"")</f>
        <v/>
      </c>
      <c r="K170" s="18" t="str">
        <f ca="1">IFERROR(__xludf.DUMMYFUNCTION("""COMPUTED_VALUE"""),"")</f>
        <v/>
      </c>
      <c r="L170" s="19"/>
      <c r="M170" s="19"/>
      <c r="N170" s="19"/>
      <c r="O170" s="19"/>
      <c r="P170" s="19"/>
      <c r="Q170" s="19"/>
      <c r="R170" s="19"/>
      <c r="S170" s="19"/>
      <c r="T170" s="19"/>
      <c r="U170" s="19"/>
      <c r="V170" s="20"/>
      <c r="W170" s="20"/>
      <c r="X170" s="20"/>
      <c r="Y170" s="20"/>
      <c r="Z170" s="21"/>
      <c r="AA170" s="22"/>
      <c r="AB170" s="22"/>
    </row>
    <row r="171" spans="1:28" ht="13.5" customHeight="1" x14ac:dyDescent="0.35">
      <c r="A171" s="24" t="str">
        <f ca="1">IFERROR(__xludf.DUMMYFUNCTION("""COMPUTED_VALUE"""),"")</f>
        <v/>
      </c>
      <c r="B171" s="28" t="str">
        <f ca="1">IFERROR(__xludf.DUMMYFUNCTION("""COMPUTED_VALUE"""),"")</f>
        <v/>
      </c>
      <c r="C171" s="27" t="str">
        <f ca="1">IFERROR(__xludf.DUMMYFUNCTION("""COMPUTED_VALUE"""),"")</f>
        <v/>
      </c>
      <c r="D171" s="27" t="str">
        <f ca="1">IFERROR(__xludf.DUMMYFUNCTION("""COMPUTED_VALUE"""),"")</f>
        <v/>
      </c>
      <c r="E171" s="15" t="str">
        <f ca="1">IFERROR(__xludf.DUMMYFUNCTION("""COMPUTED_VALUE"""),"")</f>
        <v/>
      </c>
      <c r="F171" s="51" t="str">
        <f ca="1">IFERROR(__xludf.DUMMYFUNCTION("""COMPUTED_VALUE"""),"")</f>
        <v/>
      </c>
      <c r="G171" s="16" t="str">
        <f ca="1">IFERROR(__xludf.DUMMYFUNCTION("""COMPUTED_VALUE"""),"")</f>
        <v/>
      </c>
      <c r="H171" s="17" t="str">
        <f ca="1">IFERROR(__xludf.DUMMYFUNCTION("""COMPUTED_VALUE"""),"")</f>
        <v/>
      </c>
      <c r="I171" s="17" t="str">
        <f ca="1">IFERROR(__xludf.DUMMYFUNCTION("""COMPUTED_VALUE"""),"")</f>
        <v/>
      </c>
      <c r="J171" s="17" t="str">
        <f ca="1">IFERROR(__xludf.DUMMYFUNCTION("""COMPUTED_VALUE"""),"")</f>
        <v/>
      </c>
      <c r="K171" s="18" t="str">
        <f ca="1">IFERROR(__xludf.DUMMYFUNCTION("""COMPUTED_VALUE"""),"")</f>
        <v/>
      </c>
      <c r="L171" s="19"/>
      <c r="M171" s="19"/>
      <c r="N171" s="19"/>
      <c r="O171" s="19"/>
      <c r="P171" s="19"/>
      <c r="Q171" s="19"/>
      <c r="R171" s="19"/>
      <c r="S171" s="19"/>
      <c r="T171" s="19"/>
      <c r="U171" s="19"/>
      <c r="V171" s="20"/>
      <c r="W171" s="20"/>
      <c r="X171" s="20"/>
      <c r="Y171" s="20"/>
      <c r="Z171" s="21"/>
      <c r="AA171" s="22"/>
      <c r="AB171" s="22"/>
    </row>
    <row r="172" spans="1:28" ht="13.5" customHeight="1" x14ac:dyDescent="0.35">
      <c r="A172" s="24" t="str">
        <f ca="1">IFERROR(__xludf.DUMMYFUNCTION("""COMPUTED_VALUE"""),"")</f>
        <v/>
      </c>
      <c r="B172" s="28" t="str">
        <f ca="1">IFERROR(__xludf.DUMMYFUNCTION("""COMPUTED_VALUE"""),"")</f>
        <v/>
      </c>
      <c r="C172" s="27" t="str">
        <f ca="1">IFERROR(__xludf.DUMMYFUNCTION("""COMPUTED_VALUE"""),"")</f>
        <v/>
      </c>
      <c r="D172" s="27" t="str">
        <f ca="1">IFERROR(__xludf.DUMMYFUNCTION("""COMPUTED_VALUE"""),"")</f>
        <v/>
      </c>
      <c r="E172" s="15" t="str">
        <f ca="1">IFERROR(__xludf.DUMMYFUNCTION("""COMPUTED_VALUE"""),"")</f>
        <v/>
      </c>
      <c r="F172" s="51" t="str">
        <f ca="1">IFERROR(__xludf.DUMMYFUNCTION("""COMPUTED_VALUE"""),"")</f>
        <v/>
      </c>
      <c r="G172" s="16" t="str">
        <f ca="1">IFERROR(__xludf.DUMMYFUNCTION("""COMPUTED_VALUE"""),"")</f>
        <v/>
      </c>
      <c r="H172" s="17" t="str">
        <f ca="1">IFERROR(__xludf.DUMMYFUNCTION("""COMPUTED_VALUE"""),"")</f>
        <v/>
      </c>
      <c r="I172" s="17" t="str">
        <f ca="1">IFERROR(__xludf.DUMMYFUNCTION("""COMPUTED_VALUE"""),"")</f>
        <v/>
      </c>
      <c r="J172" s="17" t="str">
        <f ca="1">IFERROR(__xludf.DUMMYFUNCTION("""COMPUTED_VALUE"""),"")</f>
        <v/>
      </c>
      <c r="K172" s="18" t="str">
        <f ca="1">IFERROR(__xludf.DUMMYFUNCTION("""COMPUTED_VALUE"""),"")</f>
        <v/>
      </c>
      <c r="L172" s="19"/>
      <c r="M172" s="19"/>
      <c r="N172" s="19"/>
      <c r="O172" s="19"/>
      <c r="P172" s="19"/>
      <c r="Q172" s="19"/>
      <c r="R172" s="19"/>
      <c r="S172" s="19"/>
      <c r="T172" s="19"/>
      <c r="U172" s="19"/>
      <c r="V172" s="20"/>
      <c r="W172" s="20"/>
      <c r="X172" s="20"/>
      <c r="Y172" s="20"/>
      <c r="Z172" s="21"/>
      <c r="AA172" s="22"/>
      <c r="AB172" s="22"/>
    </row>
    <row r="173" spans="1:28" ht="13.5" customHeight="1" x14ac:dyDescent="0.35">
      <c r="A173" s="24" t="str">
        <f ca="1">IFERROR(__xludf.DUMMYFUNCTION("""COMPUTED_VALUE"""),"")</f>
        <v/>
      </c>
      <c r="B173" s="28" t="str">
        <f ca="1">IFERROR(__xludf.DUMMYFUNCTION("""COMPUTED_VALUE"""),"")</f>
        <v/>
      </c>
      <c r="C173" s="27" t="str">
        <f ca="1">IFERROR(__xludf.DUMMYFUNCTION("""COMPUTED_VALUE"""),"")</f>
        <v/>
      </c>
      <c r="D173" s="27" t="str">
        <f ca="1">IFERROR(__xludf.DUMMYFUNCTION("""COMPUTED_VALUE"""),"")</f>
        <v/>
      </c>
      <c r="E173" s="15" t="str">
        <f ca="1">IFERROR(__xludf.DUMMYFUNCTION("""COMPUTED_VALUE"""),"")</f>
        <v/>
      </c>
      <c r="F173" s="51" t="str">
        <f ca="1">IFERROR(__xludf.DUMMYFUNCTION("""COMPUTED_VALUE"""),"")</f>
        <v/>
      </c>
      <c r="G173" s="16" t="str">
        <f ca="1">IFERROR(__xludf.DUMMYFUNCTION("""COMPUTED_VALUE"""),"")</f>
        <v/>
      </c>
      <c r="H173" s="17" t="str">
        <f ca="1">IFERROR(__xludf.DUMMYFUNCTION("""COMPUTED_VALUE"""),"")</f>
        <v/>
      </c>
      <c r="I173" s="17" t="str">
        <f ca="1">IFERROR(__xludf.DUMMYFUNCTION("""COMPUTED_VALUE"""),"")</f>
        <v/>
      </c>
      <c r="J173" s="17" t="str">
        <f ca="1">IFERROR(__xludf.DUMMYFUNCTION("""COMPUTED_VALUE"""),"")</f>
        <v/>
      </c>
      <c r="K173" s="18" t="str">
        <f ca="1">IFERROR(__xludf.DUMMYFUNCTION("""COMPUTED_VALUE"""),"")</f>
        <v/>
      </c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20"/>
      <c r="W173" s="20"/>
      <c r="X173" s="20"/>
      <c r="Y173" s="20"/>
      <c r="Z173" s="21"/>
      <c r="AA173" s="22"/>
      <c r="AB173" s="22"/>
    </row>
    <row r="174" spans="1:28" ht="13.5" customHeight="1" x14ac:dyDescent="0.35">
      <c r="A174" s="24" t="str">
        <f ca="1">IFERROR(__xludf.DUMMYFUNCTION("""COMPUTED_VALUE"""),"")</f>
        <v/>
      </c>
      <c r="B174" s="28" t="str">
        <f ca="1">IFERROR(__xludf.DUMMYFUNCTION("""COMPUTED_VALUE"""),"")</f>
        <v/>
      </c>
      <c r="C174" s="27" t="str">
        <f ca="1">IFERROR(__xludf.DUMMYFUNCTION("""COMPUTED_VALUE"""),"")</f>
        <v/>
      </c>
      <c r="D174" s="27" t="str">
        <f ca="1">IFERROR(__xludf.DUMMYFUNCTION("""COMPUTED_VALUE"""),"")</f>
        <v/>
      </c>
      <c r="E174" s="15" t="str">
        <f ca="1">IFERROR(__xludf.DUMMYFUNCTION("""COMPUTED_VALUE"""),"")</f>
        <v/>
      </c>
      <c r="F174" s="51" t="str">
        <f ca="1">IFERROR(__xludf.DUMMYFUNCTION("""COMPUTED_VALUE"""),"")</f>
        <v/>
      </c>
      <c r="G174" s="16" t="str">
        <f ca="1">IFERROR(__xludf.DUMMYFUNCTION("""COMPUTED_VALUE"""),"")</f>
        <v/>
      </c>
      <c r="H174" s="17" t="str">
        <f ca="1">IFERROR(__xludf.DUMMYFUNCTION("""COMPUTED_VALUE"""),"")</f>
        <v/>
      </c>
      <c r="I174" s="17" t="str">
        <f ca="1">IFERROR(__xludf.DUMMYFUNCTION("""COMPUTED_VALUE"""),"")</f>
        <v/>
      </c>
      <c r="J174" s="17" t="str">
        <f ca="1">IFERROR(__xludf.DUMMYFUNCTION("""COMPUTED_VALUE"""),"")</f>
        <v/>
      </c>
      <c r="K174" s="18" t="str">
        <f ca="1">IFERROR(__xludf.DUMMYFUNCTION("""COMPUTED_VALUE"""),"")</f>
        <v/>
      </c>
      <c r="L174" s="19"/>
      <c r="M174" s="19"/>
      <c r="N174" s="19"/>
      <c r="O174" s="19"/>
      <c r="P174" s="19"/>
      <c r="Q174" s="19"/>
      <c r="R174" s="19"/>
      <c r="S174" s="19"/>
      <c r="T174" s="19"/>
      <c r="U174" s="19"/>
      <c r="V174" s="20"/>
      <c r="W174" s="20"/>
      <c r="X174" s="20"/>
      <c r="Y174" s="20"/>
      <c r="Z174" s="21"/>
      <c r="AA174" s="22"/>
      <c r="AB174" s="22"/>
    </row>
    <row r="175" spans="1:28" ht="13.5" customHeight="1" x14ac:dyDescent="0.35">
      <c r="A175" s="24" t="str">
        <f ca="1">IFERROR(__xludf.DUMMYFUNCTION("""COMPUTED_VALUE"""),"")</f>
        <v/>
      </c>
      <c r="B175" s="28" t="str">
        <f ca="1">IFERROR(__xludf.DUMMYFUNCTION("""COMPUTED_VALUE"""),"")</f>
        <v/>
      </c>
      <c r="C175" s="27" t="str">
        <f ca="1">IFERROR(__xludf.DUMMYFUNCTION("""COMPUTED_VALUE"""),"")</f>
        <v/>
      </c>
      <c r="D175" s="27" t="str">
        <f ca="1">IFERROR(__xludf.DUMMYFUNCTION("""COMPUTED_VALUE"""),"")</f>
        <v/>
      </c>
      <c r="E175" s="15" t="str">
        <f ca="1">IFERROR(__xludf.DUMMYFUNCTION("""COMPUTED_VALUE"""),"")</f>
        <v/>
      </c>
      <c r="F175" s="51" t="str">
        <f ca="1">IFERROR(__xludf.DUMMYFUNCTION("""COMPUTED_VALUE"""),"")</f>
        <v/>
      </c>
      <c r="G175" s="16" t="str">
        <f ca="1">IFERROR(__xludf.DUMMYFUNCTION("""COMPUTED_VALUE"""),"")</f>
        <v/>
      </c>
      <c r="H175" s="17" t="str">
        <f ca="1">IFERROR(__xludf.DUMMYFUNCTION("""COMPUTED_VALUE"""),"")</f>
        <v/>
      </c>
      <c r="I175" s="17" t="str">
        <f ca="1">IFERROR(__xludf.DUMMYFUNCTION("""COMPUTED_VALUE"""),"")</f>
        <v/>
      </c>
      <c r="J175" s="17" t="str">
        <f ca="1">IFERROR(__xludf.DUMMYFUNCTION("""COMPUTED_VALUE"""),"")</f>
        <v/>
      </c>
      <c r="K175" s="18" t="str">
        <f ca="1">IFERROR(__xludf.DUMMYFUNCTION("""COMPUTED_VALUE"""),"")</f>
        <v/>
      </c>
      <c r="L175" s="19"/>
      <c r="M175" s="19"/>
      <c r="N175" s="19"/>
      <c r="O175" s="19"/>
      <c r="P175" s="19"/>
      <c r="Q175" s="19"/>
      <c r="R175" s="19"/>
      <c r="S175" s="19"/>
      <c r="T175" s="19"/>
      <c r="U175" s="19"/>
      <c r="V175" s="20"/>
      <c r="W175" s="20"/>
      <c r="X175" s="20"/>
      <c r="Y175" s="20"/>
      <c r="Z175" s="21"/>
      <c r="AA175" s="22"/>
      <c r="AB175" s="22"/>
    </row>
    <row r="176" spans="1:28" ht="13.5" customHeight="1" x14ac:dyDescent="0.35">
      <c r="A176" s="24" t="str">
        <f ca="1">IFERROR(__xludf.DUMMYFUNCTION("""COMPUTED_VALUE"""),"")</f>
        <v/>
      </c>
      <c r="B176" s="28" t="str">
        <f ca="1">IFERROR(__xludf.DUMMYFUNCTION("""COMPUTED_VALUE"""),"")</f>
        <v/>
      </c>
      <c r="C176" s="27" t="str">
        <f ca="1">IFERROR(__xludf.DUMMYFUNCTION("""COMPUTED_VALUE"""),"")</f>
        <v/>
      </c>
      <c r="D176" s="27" t="str">
        <f ca="1">IFERROR(__xludf.DUMMYFUNCTION("""COMPUTED_VALUE"""),"")</f>
        <v/>
      </c>
      <c r="E176" s="15" t="str">
        <f ca="1">IFERROR(__xludf.DUMMYFUNCTION("""COMPUTED_VALUE"""),"")</f>
        <v/>
      </c>
      <c r="F176" s="51" t="str">
        <f ca="1">IFERROR(__xludf.DUMMYFUNCTION("""COMPUTED_VALUE"""),"")</f>
        <v/>
      </c>
      <c r="G176" s="16" t="str">
        <f ca="1">IFERROR(__xludf.DUMMYFUNCTION("""COMPUTED_VALUE"""),"")</f>
        <v/>
      </c>
      <c r="H176" s="17" t="str">
        <f ca="1">IFERROR(__xludf.DUMMYFUNCTION("""COMPUTED_VALUE"""),"")</f>
        <v/>
      </c>
      <c r="I176" s="17" t="str">
        <f ca="1">IFERROR(__xludf.DUMMYFUNCTION("""COMPUTED_VALUE"""),"")</f>
        <v/>
      </c>
      <c r="J176" s="17" t="str">
        <f ca="1">IFERROR(__xludf.DUMMYFUNCTION("""COMPUTED_VALUE"""),"")</f>
        <v/>
      </c>
      <c r="K176" s="18" t="str">
        <f ca="1">IFERROR(__xludf.DUMMYFUNCTION("""COMPUTED_VALUE"""),"")</f>
        <v/>
      </c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V176" s="20"/>
      <c r="W176" s="20"/>
      <c r="X176" s="20"/>
      <c r="Y176" s="20"/>
      <c r="Z176" s="21"/>
      <c r="AA176" s="22"/>
      <c r="AB176" s="22"/>
    </row>
    <row r="177" spans="1:28" ht="13.5" customHeight="1" x14ac:dyDescent="0.35">
      <c r="A177" s="24" t="str">
        <f ca="1">IFERROR(__xludf.DUMMYFUNCTION("""COMPUTED_VALUE"""),"")</f>
        <v/>
      </c>
      <c r="B177" s="28" t="str">
        <f ca="1">IFERROR(__xludf.DUMMYFUNCTION("""COMPUTED_VALUE"""),"")</f>
        <v/>
      </c>
      <c r="C177" s="27" t="str">
        <f ca="1">IFERROR(__xludf.DUMMYFUNCTION("""COMPUTED_VALUE"""),"")</f>
        <v/>
      </c>
      <c r="D177" s="27" t="str">
        <f ca="1">IFERROR(__xludf.DUMMYFUNCTION("""COMPUTED_VALUE"""),"")</f>
        <v/>
      </c>
      <c r="E177" s="15" t="str">
        <f ca="1">IFERROR(__xludf.DUMMYFUNCTION("""COMPUTED_VALUE"""),"")</f>
        <v/>
      </c>
      <c r="F177" s="51" t="str">
        <f ca="1">IFERROR(__xludf.DUMMYFUNCTION("""COMPUTED_VALUE"""),"")</f>
        <v/>
      </c>
      <c r="G177" s="16" t="str">
        <f ca="1">IFERROR(__xludf.DUMMYFUNCTION("""COMPUTED_VALUE"""),"")</f>
        <v/>
      </c>
      <c r="H177" s="17" t="str">
        <f ca="1">IFERROR(__xludf.DUMMYFUNCTION("""COMPUTED_VALUE"""),"")</f>
        <v/>
      </c>
      <c r="I177" s="17" t="str">
        <f ca="1">IFERROR(__xludf.DUMMYFUNCTION("""COMPUTED_VALUE"""),"")</f>
        <v/>
      </c>
      <c r="J177" s="17" t="str">
        <f ca="1">IFERROR(__xludf.DUMMYFUNCTION("""COMPUTED_VALUE"""),"")</f>
        <v/>
      </c>
      <c r="K177" s="18" t="str">
        <f ca="1">IFERROR(__xludf.DUMMYFUNCTION("""COMPUTED_VALUE"""),"")</f>
        <v/>
      </c>
      <c r="L177" s="19"/>
      <c r="M177" s="19"/>
      <c r="N177" s="19"/>
      <c r="O177" s="19"/>
      <c r="P177" s="19"/>
      <c r="Q177" s="19"/>
      <c r="R177" s="19"/>
      <c r="S177" s="19"/>
      <c r="T177" s="19"/>
      <c r="U177" s="19"/>
      <c r="V177" s="20"/>
      <c r="W177" s="20"/>
      <c r="X177" s="20"/>
      <c r="Y177" s="20"/>
      <c r="Z177" s="21"/>
      <c r="AA177" s="22"/>
      <c r="AB177" s="22"/>
    </row>
    <row r="178" spans="1:28" ht="13.5" customHeight="1" x14ac:dyDescent="0.35">
      <c r="A178" s="24" t="str">
        <f ca="1">IFERROR(__xludf.DUMMYFUNCTION("""COMPUTED_VALUE"""),"")</f>
        <v/>
      </c>
      <c r="B178" s="28" t="str">
        <f ca="1">IFERROR(__xludf.DUMMYFUNCTION("""COMPUTED_VALUE"""),"")</f>
        <v/>
      </c>
      <c r="C178" s="27" t="str">
        <f ca="1">IFERROR(__xludf.DUMMYFUNCTION("""COMPUTED_VALUE"""),"")</f>
        <v/>
      </c>
      <c r="D178" s="27" t="str">
        <f ca="1">IFERROR(__xludf.DUMMYFUNCTION("""COMPUTED_VALUE"""),"")</f>
        <v/>
      </c>
      <c r="E178" s="15" t="str">
        <f ca="1">IFERROR(__xludf.DUMMYFUNCTION("""COMPUTED_VALUE"""),"")</f>
        <v/>
      </c>
      <c r="F178" s="51" t="str">
        <f ca="1">IFERROR(__xludf.DUMMYFUNCTION("""COMPUTED_VALUE"""),"")</f>
        <v/>
      </c>
      <c r="G178" s="16" t="str">
        <f ca="1">IFERROR(__xludf.DUMMYFUNCTION("""COMPUTED_VALUE"""),"")</f>
        <v/>
      </c>
      <c r="H178" s="17" t="str">
        <f ca="1">IFERROR(__xludf.DUMMYFUNCTION("""COMPUTED_VALUE"""),"")</f>
        <v/>
      </c>
      <c r="I178" s="17" t="str">
        <f ca="1">IFERROR(__xludf.DUMMYFUNCTION("""COMPUTED_VALUE"""),"")</f>
        <v/>
      </c>
      <c r="J178" s="17" t="str">
        <f ca="1">IFERROR(__xludf.DUMMYFUNCTION("""COMPUTED_VALUE"""),"")</f>
        <v/>
      </c>
      <c r="K178" s="18" t="str">
        <f ca="1">IFERROR(__xludf.DUMMYFUNCTION("""COMPUTED_VALUE"""),"")</f>
        <v/>
      </c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V178" s="20"/>
      <c r="W178" s="20"/>
      <c r="X178" s="20"/>
      <c r="Y178" s="20"/>
      <c r="Z178" s="21"/>
      <c r="AA178" s="22"/>
      <c r="AB178" s="22"/>
    </row>
    <row r="179" spans="1:28" ht="13.5" customHeight="1" x14ac:dyDescent="0.35">
      <c r="A179" s="24" t="str">
        <f ca="1">IFERROR(__xludf.DUMMYFUNCTION("""COMPUTED_VALUE"""),"")</f>
        <v/>
      </c>
      <c r="B179" s="28" t="str">
        <f ca="1">IFERROR(__xludf.DUMMYFUNCTION("""COMPUTED_VALUE"""),"")</f>
        <v/>
      </c>
      <c r="C179" s="27" t="str">
        <f ca="1">IFERROR(__xludf.DUMMYFUNCTION("""COMPUTED_VALUE"""),"")</f>
        <v/>
      </c>
      <c r="D179" s="27" t="str">
        <f ca="1">IFERROR(__xludf.DUMMYFUNCTION("""COMPUTED_VALUE"""),"")</f>
        <v/>
      </c>
      <c r="E179" s="15" t="str">
        <f ca="1">IFERROR(__xludf.DUMMYFUNCTION("""COMPUTED_VALUE"""),"")</f>
        <v/>
      </c>
      <c r="F179" s="51" t="str">
        <f ca="1">IFERROR(__xludf.DUMMYFUNCTION("""COMPUTED_VALUE"""),"")</f>
        <v/>
      </c>
      <c r="G179" s="16" t="str">
        <f ca="1">IFERROR(__xludf.DUMMYFUNCTION("""COMPUTED_VALUE"""),"")</f>
        <v/>
      </c>
      <c r="H179" s="17" t="str">
        <f ca="1">IFERROR(__xludf.DUMMYFUNCTION("""COMPUTED_VALUE"""),"")</f>
        <v/>
      </c>
      <c r="I179" s="17" t="str">
        <f ca="1">IFERROR(__xludf.DUMMYFUNCTION("""COMPUTED_VALUE"""),"")</f>
        <v/>
      </c>
      <c r="J179" s="17" t="str">
        <f ca="1">IFERROR(__xludf.DUMMYFUNCTION("""COMPUTED_VALUE"""),"")</f>
        <v/>
      </c>
      <c r="K179" s="18" t="str">
        <f ca="1">IFERROR(__xludf.DUMMYFUNCTION("""COMPUTED_VALUE"""),"")</f>
        <v/>
      </c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20"/>
      <c r="W179" s="20"/>
      <c r="X179" s="20"/>
      <c r="Y179" s="20"/>
      <c r="Z179" s="21"/>
      <c r="AA179" s="22"/>
      <c r="AB179" s="22"/>
    </row>
    <row r="180" spans="1:28" ht="13.5" customHeight="1" x14ac:dyDescent="0.35">
      <c r="A180" s="24" t="str">
        <f ca="1">IFERROR(__xludf.DUMMYFUNCTION("""COMPUTED_VALUE"""),"")</f>
        <v/>
      </c>
      <c r="B180" s="28" t="str">
        <f ca="1">IFERROR(__xludf.DUMMYFUNCTION("""COMPUTED_VALUE"""),"")</f>
        <v/>
      </c>
      <c r="C180" s="27" t="str">
        <f ca="1">IFERROR(__xludf.DUMMYFUNCTION("""COMPUTED_VALUE"""),"")</f>
        <v/>
      </c>
      <c r="D180" s="27" t="str">
        <f ca="1">IFERROR(__xludf.DUMMYFUNCTION("""COMPUTED_VALUE"""),"")</f>
        <v/>
      </c>
      <c r="E180" s="15" t="str">
        <f ca="1">IFERROR(__xludf.DUMMYFUNCTION("""COMPUTED_VALUE"""),"")</f>
        <v/>
      </c>
      <c r="F180" s="51" t="str">
        <f ca="1">IFERROR(__xludf.DUMMYFUNCTION("""COMPUTED_VALUE"""),"")</f>
        <v/>
      </c>
      <c r="G180" s="16" t="str">
        <f ca="1">IFERROR(__xludf.DUMMYFUNCTION("""COMPUTED_VALUE"""),"")</f>
        <v/>
      </c>
      <c r="H180" s="17" t="str">
        <f ca="1">IFERROR(__xludf.DUMMYFUNCTION("""COMPUTED_VALUE"""),"")</f>
        <v/>
      </c>
      <c r="I180" s="17" t="str">
        <f ca="1">IFERROR(__xludf.DUMMYFUNCTION("""COMPUTED_VALUE"""),"")</f>
        <v/>
      </c>
      <c r="J180" s="17" t="str">
        <f ca="1">IFERROR(__xludf.DUMMYFUNCTION("""COMPUTED_VALUE"""),"")</f>
        <v/>
      </c>
      <c r="K180" s="18" t="str">
        <f ca="1">IFERROR(__xludf.DUMMYFUNCTION("""COMPUTED_VALUE"""),"")</f>
        <v/>
      </c>
      <c r="L180" s="19"/>
      <c r="M180" s="19"/>
      <c r="N180" s="19"/>
      <c r="O180" s="19"/>
      <c r="P180" s="19"/>
      <c r="Q180" s="19"/>
      <c r="R180" s="19"/>
      <c r="S180" s="19"/>
      <c r="T180" s="19"/>
      <c r="U180" s="19"/>
      <c r="V180" s="20"/>
      <c r="W180" s="20"/>
      <c r="X180" s="20"/>
      <c r="Y180" s="20"/>
      <c r="Z180" s="21"/>
      <c r="AA180" s="22"/>
      <c r="AB180" s="22"/>
    </row>
    <row r="181" spans="1:28" ht="13.5" customHeight="1" x14ac:dyDescent="0.35">
      <c r="A181" s="29"/>
      <c r="B181" s="30"/>
      <c r="C181" s="31"/>
      <c r="D181" s="31"/>
      <c r="E181" s="30"/>
      <c r="F181" s="30"/>
      <c r="G181" s="33"/>
      <c r="H181" s="30"/>
      <c r="I181" s="30"/>
      <c r="J181" s="30"/>
      <c r="K181" s="34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20"/>
      <c r="W181" s="20"/>
      <c r="X181" s="20"/>
      <c r="Y181" s="20"/>
      <c r="Z181" s="21"/>
      <c r="AA181" s="22"/>
      <c r="AB181" s="22"/>
    </row>
    <row r="182" spans="1:28" ht="13.5" customHeight="1" x14ac:dyDescent="0.35">
      <c r="A182" s="29"/>
      <c r="B182" s="30"/>
      <c r="C182" s="31"/>
      <c r="D182" s="31"/>
      <c r="E182" s="30"/>
      <c r="F182" s="30"/>
      <c r="G182" s="33"/>
      <c r="H182" s="30"/>
      <c r="I182" s="30"/>
      <c r="J182" s="30"/>
      <c r="K182" s="34"/>
      <c r="L182" s="19"/>
      <c r="M182" s="19"/>
      <c r="N182" s="19"/>
      <c r="O182" s="19"/>
      <c r="P182" s="19"/>
      <c r="Q182" s="19"/>
      <c r="R182" s="19"/>
      <c r="S182" s="19"/>
      <c r="T182" s="19"/>
      <c r="U182" s="19"/>
      <c r="V182" s="20"/>
      <c r="W182" s="20"/>
      <c r="X182" s="20"/>
      <c r="Y182" s="20"/>
      <c r="Z182" s="21"/>
      <c r="AA182" s="22"/>
      <c r="AB182" s="22"/>
    </row>
    <row r="183" spans="1:28" ht="15.75" customHeight="1" x14ac:dyDescent="0.25">
      <c r="A183" s="29"/>
      <c r="B183" s="30"/>
      <c r="C183" s="31"/>
      <c r="D183" s="31"/>
      <c r="E183" s="30"/>
      <c r="F183" s="30"/>
      <c r="G183" s="33"/>
      <c r="H183" s="30"/>
      <c r="I183" s="30"/>
      <c r="J183" s="30"/>
      <c r="K183" s="34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1"/>
      <c r="AA183" s="22"/>
      <c r="AB183" s="22"/>
    </row>
    <row r="184" spans="1:28" ht="15.75" customHeight="1" x14ac:dyDescent="0.25">
      <c r="A184" s="29"/>
      <c r="B184" s="30"/>
      <c r="C184" s="31"/>
      <c r="D184" s="31"/>
      <c r="E184" s="30"/>
      <c r="F184" s="30"/>
      <c r="G184" s="33"/>
      <c r="H184" s="30"/>
      <c r="I184" s="30"/>
      <c r="J184" s="30"/>
      <c r="K184" s="34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1"/>
      <c r="AA184" s="22"/>
      <c r="AB184" s="22"/>
    </row>
    <row r="185" spans="1:28" ht="15.75" customHeight="1" x14ac:dyDescent="0.25">
      <c r="A185" s="29"/>
      <c r="B185" s="30"/>
      <c r="C185" s="31"/>
      <c r="D185" s="31"/>
      <c r="E185" s="30"/>
      <c r="F185" s="30"/>
      <c r="G185" s="33"/>
      <c r="H185" s="30"/>
      <c r="I185" s="30"/>
      <c r="J185" s="30"/>
      <c r="K185" s="34"/>
      <c r="L185" s="20"/>
      <c r="M185" s="20"/>
      <c r="N185" s="20"/>
      <c r="O185" s="20"/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1"/>
      <c r="AA185" s="22"/>
      <c r="AB185" s="22"/>
    </row>
    <row r="186" spans="1:28" ht="15.75" customHeight="1" x14ac:dyDescent="0.25">
      <c r="A186" s="29"/>
      <c r="B186" s="30"/>
      <c r="C186" s="31"/>
      <c r="D186" s="31"/>
      <c r="E186" s="30"/>
      <c r="F186" s="30"/>
      <c r="G186" s="33"/>
      <c r="H186" s="30"/>
      <c r="I186" s="30"/>
      <c r="J186" s="30"/>
      <c r="K186" s="34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1"/>
      <c r="AA186" s="22"/>
      <c r="AB186" s="22"/>
    </row>
    <row r="187" spans="1:28" ht="15.75" customHeight="1" x14ac:dyDescent="0.25">
      <c r="A187" s="29"/>
      <c r="B187" s="30"/>
      <c r="C187" s="31"/>
      <c r="D187" s="31"/>
      <c r="E187" s="30"/>
      <c r="F187" s="30"/>
      <c r="G187" s="33"/>
      <c r="H187" s="30"/>
      <c r="I187" s="30"/>
      <c r="J187" s="30"/>
      <c r="K187" s="34"/>
      <c r="L187" s="20"/>
      <c r="M187" s="20"/>
      <c r="N187" s="20"/>
      <c r="O187" s="20"/>
      <c r="P187" s="20"/>
      <c r="Q187" s="20"/>
      <c r="R187" s="20"/>
      <c r="S187" s="20"/>
      <c r="T187" s="20"/>
      <c r="U187" s="20"/>
      <c r="V187" s="20"/>
      <c r="W187" s="20"/>
      <c r="X187" s="20"/>
      <c r="Y187" s="20"/>
      <c r="Z187" s="21"/>
      <c r="AA187" s="22"/>
      <c r="AB187" s="22"/>
    </row>
    <row r="188" spans="1:28" ht="15.75" customHeight="1" x14ac:dyDescent="0.25">
      <c r="A188" s="29"/>
      <c r="B188" s="30"/>
      <c r="C188" s="31"/>
      <c r="D188" s="31"/>
      <c r="E188" s="30"/>
      <c r="F188" s="30"/>
      <c r="G188" s="33"/>
      <c r="H188" s="30"/>
      <c r="I188" s="30"/>
      <c r="J188" s="30"/>
      <c r="K188" s="34"/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1"/>
      <c r="AA188" s="22"/>
      <c r="AB188" s="22"/>
    </row>
    <row r="189" spans="1:28" ht="15.75" customHeight="1" x14ac:dyDescent="0.25">
      <c r="A189" s="29"/>
      <c r="B189" s="30"/>
      <c r="C189" s="31"/>
      <c r="D189" s="31"/>
      <c r="E189" s="30"/>
      <c r="F189" s="30"/>
      <c r="G189" s="33"/>
      <c r="H189" s="30"/>
      <c r="I189" s="30"/>
      <c r="J189" s="30"/>
      <c r="K189" s="34"/>
      <c r="L189" s="20"/>
      <c r="M189" s="20"/>
      <c r="N189" s="20"/>
      <c r="O189" s="20"/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1"/>
      <c r="AA189" s="22"/>
      <c r="AB189" s="22"/>
    </row>
    <row r="190" spans="1:28" ht="15.75" customHeight="1" x14ac:dyDescent="0.25">
      <c r="A190" s="29"/>
      <c r="B190" s="30"/>
      <c r="C190" s="31"/>
      <c r="D190" s="31"/>
      <c r="E190" s="30"/>
      <c r="F190" s="30"/>
      <c r="G190" s="33"/>
      <c r="H190" s="30"/>
      <c r="I190" s="30"/>
      <c r="J190" s="30"/>
      <c r="K190" s="34"/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1"/>
      <c r="AA190" s="22"/>
      <c r="AB190" s="22"/>
    </row>
    <row r="191" spans="1:28" ht="15.75" customHeight="1" x14ac:dyDescent="0.25">
      <c r="A191" s="29"/>
      <c r="B191" s="30"/>
      <c r="C191" s="31"/>
      <c r="D191" s="31"/>
      <c r="E191" s="30"/>
      <c r="F191" s="30"/>
      <c r="G191" s="33"/>
      <c r="H191" s="30"/>
      <c r="I191" s="30"/>
      <c r="J191" s="30"/>
      <c r="K191" s="34"/>
      <c r="L191" s="20"/>
      <c r="M191" s="20"/>
      <c r="N191" s="20"/>
      <c r="O191" s="20"/>
      <c r="P191" s="20"/>
      <c r="Q191" s="20"/>
      <c r="R191" s="20"/>
      <c r="S191" s="20"/>
      <c r="T191" s="20"/>
      <c r="U191" s="20"/>
      <c r="V191" s="20"/>
      <c r="W191" s="20"/>
      <c r="X191" s="20"/>
      <c r="Y191" s="20"/>
      <c r="Z191" s="21"/>
      <c r="AA191" s="22"/>
      <c r="AB191" s="22"/>
    </row>
    <row r="192" spans="1:28" ht="15.75" customHeight="1" x14ac:dyDescent="0.25">
      <c r="A192" s="29"/>
      <c r="B192" s="30"/>
      <c r="C192" s="31"/>
      <c r="D192" s="31"/>
      <c r="E192" s="30"/>
      <c r="F192" s="30"/>
      <c r="G192" s="33"/>
      <c r="H192" s="30"/>
      <c r="I192" s="30"/>
      <c r="J192" s="30"/>
      <c r="K192" s="34"/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1"/>
      <c r="AA192" s="22"/>
      <c r="AB192" s="22"/>
    </row>
    <row r="193" spans="1:28" ht="15.75" customHeight="1" x14ac:dyDescent="0.25">
      <c r="A193" s="29"/>
      <c r="B193" s="30"/>
      <c r="C193" s="31"/>
      <c r="D193" s="31"/>
      <c r="E193" s="30"/>
      <c r="F193" s="30"/>
      <c r="G193" s="33"/>
      <c r="H193" s="30"/>
      <c r="I193" s="30"/>
      <c r="J193" s="30"/>
      <c r="K193" s="34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1"/>
      <c r="AA193" s="22"/>
      <c r="AB193" s="22"/>
    </row>
    <row r="194" spans="1:28" ht="15.75" customHeight="1" x14ac:dyDescent="0.25">
      <c r="A194" s="29"/>
      <c r="B194" s="30"/>
      <c r="C194" s="31"/>
      <c r="D194" s="31"/>
      <c r="E194" s="30"/>
      <c r="F194" s="30"/>
      <c r="G194" s="33"/>
      <c r="H194" s="30"/>
      <c r="I194" s="30"/>
      <c r="J194" s="30"/>
      <c r="K194" s="34"/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1"/>
      <c r="AA194" s="22"/>
      <c r="AB194" s="22"/>
    </row>
    <row r="195" spans="1:28" ht="15.75" customHeight="1" x14ac:dyDescent="0.25">
      <c r="A195" s="29"/>
      <c r="B195" s="30"/>
      <c r="C195" s="31"/>
      <c r="D195" s="31"/>
      <c r="E195" s="30"/>
      <c r="F195" s="30"/>
      <c r="G195" s="33"/>
      <c r="H195" s="30"/>
      <c r="I195" s="30"/>
      <c r="J195" s="30"/>
      <c r="K195" s="34"/>
      <c r="L195" s="20"/>
      <c r="M195" s="20"/>
      <c r="N195" s="20"/>
      <c r="O195" s="20"/>
      <c r="P195" s="20"/>
      <c r="Q195" s="20"/>
      <c r="R195" s="20"/>
      <c r="S195" s="20"/>
      <c r="T195" s="20"/>
      <c r="U195" s="20"/>
      <c r="V195" s="20"/>
      <c r="W195" s="20"/>
      <c r="X195" s="20"/>
      <c r="Y195" s="20"/>
      <c r="Z195" s="21"/>
      <c r="AA195" s="22"/>
      <c r="AB195" s="22"/>
    </row>
    <row r="196" spans="1:28" ht="15.75" customHeight="1" x14ac:dyDescent="0.25">
      <c r="A196" s="29"/>
      <c r="B196" s="30"/>
      <c r="C196" s="31"/>
      <c r="D196" s="31"/>
      <c r="E196" s="30"/>
      <c r="F196" s="30"/>
      <c r="G196" s="33"/>
      <c r="H196" s="30"/>
      <c r="I196" s="30"/>
      <c r="J196" s="30"/>
      <c r="K196" s="34"/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1"/>
      <c r="AA196" s="22"/>
      <c r="AB196" s="22"/>
    </row>
    <row r="197" spans="1:28" ht="15.75" customHeight="1" x14ac:dyDescent="0.25">
      <c r="A197" s="29"/>
      <c r="B197" s="30"/>
      <c r="C197" s="31"/>
      <c r="D197" s="31"/>
      <c r="E197" s="30"/>
      <c r="F197" s="30"/>
      <c r="G197" s="33"/>
      <c r="H197" s="30"/>
      <c r="I197" s="30"/>
      <c r="J197" s="30"/>
      <c r="K197" s="34"/>
      <c r="L197" s="20"/>
      <c r="M197" s="20"/>
      <c r="N197" s="20"/>
      <c r="O197" s="20"/>
      <c r="P197" s="20"/>
      <c r="Q197" s="20"/>
      <c r="R197" s="20"/>
      <c r="S197" s="20"/>
      <c r="T197" s="20"/>
      <c r="U197" s="20"/>
      <c r="V197" s="20"/>
      <c r="W197" s="20"/>
      <c r="X197" s="20"/>
      <c r="Y197" s="20"/>
      <c r="Z197" s="21"/>
      <c r="AA197" s="22"/>
      <c r="AB197" s="22"/>
    </row>
    <row r="198" spans="1:28" ht="15.75" customHeight="1" x14ac:dyDescent="0.25">
      <c r="A198" s="29"/>
      <c r="B198" s="30"/>
      <c r="C198" s="31"/>
      <c r="D198" s="31"/>
      <c r="E198" s="30"/>
      <c r="F198" s="30"/>
      <c r="G198" s="33"/>
      <c r="H198" s="30"/>
      <c r="I198" s="30"/>
      <c r="J198" s="30"/>
      <c r="K198" s="34"/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1"/>
      <c r="AA198" s="22"/>
      <c r="AB198" s="22"/>
    </row>
    <row r="199" spans="1:28" ht="15.75" customHeight="1" x14ac:dyDescent="0.25">
      <c r="A199" s="29"/>
      <c r="B199" s="30"/>
      <c r="C199" s="31"/>
      <c r="D199" s="31"/>
      <c r="E199" s="30"/>
      <c r="F199" s="30"/>
      <c r="G199" s="33"/>
      <c r="H199" s="30"/>
      <c r="I199" s="30"/>
      <c r="J199" s="30"/>
      <c r="K199" s="34"/>
      <c r="L199" s="20"/>
      <c r="M199" s="20"/>
      <c r="N199" s="20"/>
      <c r="O199" s="20"/>
      <c r="P199" s="20"/>
      <c r="Q199" s="20"/>
      <c r="R199" s="20"/>
      <c r="S199" s="20"/>
      <c r="T199" s="20"/>
      <c r="U199" s="20"/>
      <c r="V199" s="20"/>
      <c r="W199" s="20"/>
      <c r="X199" s="20"/>
      <c r="Y199" s="20"/>
      <c r="Z199" s="21"/>
      <c r="AA199" s="22"/>
      <c r="AB199" s="22"/>
    </row>
    <row r="200" spans="1:28" ht="15.75" customHeight="1" x14ac:dyDescent="0.25">
      <c r="A200" s="29"/>
      <c r="B200" s="30"/>
      <c r="C200" s="31"/>
      <c r="D200" s="31"/>
      <c r="E200" s="30"/>
      <c r="F200" s="30"/>
      <c r="G200" s="33"/>
      <c r="H200" s="30"/>
      <c r="I200" s="30"/>
      <c r="J200" s="30"/>
      <c r="K200" s="34"/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1"/>
      <c r="AA200" s="22"/>
      <c r="AB200" s="22"/>
    </row>
    <row r="201" spans="1:28" ht="15.75" customHeight="1" x14ac:dyDescent="0.25">
      <c r="A201" s="29"/>
      <c r="B201" s="30"/>
      <c r="C201" s="31"/>
      <c r="D201" s="31"/>
      <c r="E201" s="30"/>
      <c r="F201" s="30"/>
      <c r="G201" s="33"/>
      <c r="H201" s="30"/>
      <c r="I201" s="30"/>
      <c r="J201" s="30"/>
      <c r="K201" s="34"/>
      <c r="L201" s="20"/>
      <c r="M201" s="20"/>
      <c r="N201" s="20"/>
      <c r="O201" s="20"/>
      <c r="P201" s="20"/>
      <c r="Q201" s="20"/>
      <c r="R201" s="20"/>
      <c r="S201" s="20"/>
      <c r="T201" s="20"/>
      <c r="U201" s="20"/>
      <c r="V201" s="20"/>
      <c r="W201" s="20"/>
      <c r="X201" s="20"/>
      <c r="Y201" s="20"/>
      <c r="Z201" s="21"/>
      <c r="AA201" s="22"/>
      <c r="AB201" s="22"/>
    </row>
    <row r="202" spans="1:28" ht="15.75" customHeight="1" x14ac:dyDescent="0.25">
      <c r="A202" s="29"/>
      <c r="B202" s="30"/>
      <c r="C202" s="31"/>
      <c r="D202" s="31"/>
      <c r="E202" s="30"/>
      <c r="F202" s="30"/>
      <c r="G202" s="33"/>
      <c r="H202" s="30"/>
      <c r="I202" s="30"/>
      <c r="J202" s="30"/>
      <c r="K202" s="34"/>
      <c r="L202" s="20"/>
      <c r="M202" s="20"/>
      <c r="N202" s="20"/>
      <c r="O202" s="20"/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1"/>
      <c r="AA202" s="22"/>
      <c r="AB202" s="22"/>
    </row>
    <row r="203" spans="1:28" ht="15.75" customHeight="1" x14ac:dyDescent="0.25">
      <c r="A203" s="29"/>
      <c r="B203" s="30"/>
      <c r="C203" s="31"/>
      <c r="D203" s="31"/>
      <c r="E203" s="30"/>
      <c r="F203" s="30"/>
      <c r="G203" s="33"/>
      <c r="H203" s="30"/>
      <c r="I203" s="30"/>
      <c r="J203" s="30"/>
      <c r="K203" s="34"/>
      <c r="L203" s="20"/>
      <c r="M203" s="20"/>
      <c r="N203" s="20"/>
      <c r="O203" s="20"/>
      <c r="P203" s="20"/>
      <c r="Q203" s="20"/>
      <c r="R203" s="20"/>
      <c r="S203" s="20"/>
      <c r="T203" s="20"/>
      <c r="U203" s="20"/>
      <c r="V203" s="20"/>
      <c r="W203" s="20"/>
      <c r="X203" s="20"/>
      <c r="Y203" s="20"/>
      <c r="Z203" s="21"/>
      <c r="AA203" s="22"/>
      <c r="AB203" s="22"/>
    </row>
    <row r="204" spans="1:28" ht="15.75" customHeight="1" x14ac:dyDescent="0.25">
      <c r="A204" s="29"/>
      <c r="B204" s="30"/>
      <c r="C204" s="31"/>
      <c r="D204" s="31"/>
      <c r="E204" s="30"/>
      <c r="F204" s="30"/>
      <c r="G204" s="33"/>
      <c r="H204" s="30"/>
      <c r="I204" s="30"/>
      <c r="J204" s="30"/>
      <c r="K204" s="34"/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1"/>
      <c r="AA204" s="22"/>
      <c r="AB204" s="22"/>
    </row>
    <row r="205" spans="1:28" ht="15.75" customHeight="1" x14ac:dyDescent="0.25">
      <c r="A205" s="29"/>
      <c r="B205" s="30"/>
      <c r="C205" s="31"/>
      <c r="D205" s="31"/>
      <c r="E205" s="30"/>
      <c r="F205" s="30"/>
      <c r="G205" s="33"/>
      <c r="H205" s="30"/>
      <c r="I205" s="30"/>
      <c r="J205" s="30"/>
      <c r="K205" s="34"/>
      <c r="L205" s="20"/>
      <c r="M205" s="20"/>
      <c r="N205" s="20"/>
      <c r="O205" s="20"/>
      <c r="P205" s="20"/>
      <c r="Q205" s="20"/>
      <c r="R205" s="20"/>
      <c r="S205" s="20"/>
      <c r="T205" s="20"/>
      <c r="U205" s="20"/>
      <c r="V205" s="20"/>
      <c r="W205" s="20"/>
      <c r="X205" s="20"/>
      <c r="Y205" s="20"/>
      <c r="Z205" s="21"/>
      <c r="AA205" s="22"/>
      <c r="AB205" s="22"/>
    </row>
    <row r="206" spans="1:28" ht="15.75" customHeight="1" x14ac:dyDescent="0.25">
      <c r="A206" s="29"/>
      <c r="B206" s="30"/>
      <c r="C206" s="31"/>
      <c r="D206" s="31"/>
      <c r="E206" s="30"/>
      <c r="F206" s="30"/>
      <c r="G206" s="33"/>
      <c r="H206" s="30"/>
      <c r="I206" s="30"/>
      <c r="J206" s="30"/>
      <c r="K206" s="34"/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1"/>
      <c r="AA206" s="22"/>
      <c r="AB206" s="22"/>
    </row>
    <row r="207" spans="1:28" ht="15.75" customHeight="1" x14ac:dyDescent="0.25">
      <c r="A207" s="29"/>
      <c r="B207" s="30"/>
      <c r="C207" s="31"/>
      <c r="D207" s="31"/>
      <c r="E207" s="30"/>
      <c r="F207" s="30"/>
      <c r="G207" s="33"/>
      <c r="H207" s="30"/>
      <c r="I207" s="30"/>
      <c r="J207" s="30"/>
      <c r="K207" s="34"/>
      <c r="L207" s="20"/>
      <c r="M207" s="20"/>
      <c r="N207" s="20"/>
      <c r="O207" s="20"/>
      <c r="P207" s="20"/>
      <c r="Q207" s="20"/>
      <c r="R207" s="20"/>
      <c r="S207" s="20"/>
      <c r="T207" s="20"/>
      <c r="U207" s="20"/>
      <c r="V207" s="20"/>
      <c r="W207" s="20"/>
      <c r="X207" s="20"/>
      <c r="Y207" s="20"/>
      <c r="Z207" s="21"/>
      <c r="AA207" s="22"/>
      <c r="AB207" s="22"/>
    </row>
    <row r="208" spans="1:28" ht="15.75" customHeight="1" x14ac:dyDescent="0.25">
      <c r="A208" s="29"/>
      <c r="B208" s="30"/>
      <c r="C208" s="31"/>
      <c r="D208" s="31"/>
      <c r="E208" s="30"/>
      <c r="F208" s="30"/>
      <c r="G208" s="33"/>
      <c r="H208" s="30"/>
      <c r="I208" s="30"/>
      <c r="J208" s="30"/>
      <c r="K208" s="34"/>
      <c r="L208" s="20"/>
      <c r="M208" s="20"/>
      <c r="N208" s="20"/>
      <c r="O208" s="20"/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1"/>
      <c r="AA208" s="22"/>
      <c r="AB208" s="22"/>
    </row>
    <row r="209" spans="1:28" ht="15.75" customHeight="1" x14ac:dyDescent="0.25">
      <c r="A209" s="29"/>
      <c r="B209" s="30"/>
      <c r="C209" s="31"/>
      <c r="D209" s="31"/>
      <c r="E209" s="30"/>
      <c r="F209" s="30"/>
      <c r="G209" s="33"/>
      <c r="H209" s="30"/>
      <c r="I209" s="30"/>
      <c r="J209" s="30"/>
      <c r="K209" s="34"/>
      <c r="L209" s="20"/>
      <c r="M209" s="20"/>
      <c r="N209" s="20"/>
      <c r="O209" s="20"/>
      <c r="P209" s="20"/>
      <c r="Q209" s="20"/>
      <c r="R209" s="20"/>
      <c r="S209" s="20"/>
      <c r="T209" s="20"/>
      <c r="U209" s="20"/>
      <c r="V209" s="20"/>
      <c r="W209" s="20"/>
      <c r="X209" s="20"/>
      <c r="Y209" s="20"/>
      <c r="Z209" s="21"/>
      <c r="AA209" s="22"/>
      <c r="AB209" s="22"/>
    </row>
    <row r="210" spans="1:28" ht="15.75" customHeight="1" x14ac:dyDescent="0.25">
      <c r="A210" s="29"/>
      <c r="B210" s="30"/>
      <c r="C210" s="31"/>
      <c r="D210" s="31"/>
      <c r="E210" s="30"/>
      <c r="F210" s="30"/>
      <c r="G210" s="33"/>
      <c r="H210" s="30"/>
      <c r="I210" s="30"/>
      <c r="J210" s="30"/>
      <c r="K210" s="34"/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1"/>
      <c r="AA210" s="22"/>
      <c r="AB210" s="22"/>
    </row>
    <row r="211" spans="1:28" ht="15.75" customHeight="1" x14ac:dyDescent="0.25">
      <c r="A211" s="29"/>
      <c r="B211" s="30"/>
      <c r="C211" s="31"/>
      <c r="D211" s="31"/>
      <c r="E211" s="30"/>
      <c r="F211" s="30"/>
      <c r="G211" s="33"/>
      <c r="H211" s="30"/>
      <c r="I211" s="30"/>
      <c r="J211" s="30"/>
      <c r="K211" s="34"/>
      <c r="L211" s="20"/>
      <c r="M211" s="20"/>
      <c r="N211" s="20"/>
      <c r="O211" s="20"/>
      <c r="P211" s="20"/>
      <c r="Q211" s="20"/>
      <c r="R211" s="20"/>
      <c r="S211" s="20"/>
      <c r="T211" s="20"/>
      <c r="U211" s="20"/>
      <c r="V211" s="20"/>
      <c r="W211" s="20"/>
      <c r="X211" s="20"/>
      <c r="Y211" s="20"/>
      <c r="Z211" s="21"/>
      <c r="AA211" s="22"/>
      <c r="AB211" s="22"/>
    </row>
    <row r="212" spans="1:28" ht="15.75" customHeight="1" x14ac:dyDescent="0.25">
      <c r="A212" s="29"/>
      <c r="B212" s="30"/>
      <c r="C212" s="31"/>
      <c r="D212" s="31"/>
      <c r="E212" s="30"/>
      <c r="F212" s="30"/>
      <c r="G212" s="33"/>
      <c r="H212" s="30"/>
      <c r="I212" s="30"/>
      <c r="J212" s="30"/>
      <c r="K212" s="34"/>
      <c r="L212" s="20"/>
      <c r="M212" s="20"/>
      <c r="N212" s="20"/>
      <c r="O212" s="20"/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1"/>
      <c r="AA212" s="22"/>
      <c r="AB212" s="22"/>
    </row>
    <row r="213" spans="1:28" ht="15.75" customHeight="1" x14ac:dyDescent="0.25">
      <c r="A213" s="29"/>
      <c r="B213" s="30"/>
      <c r="C213" s="31"/>
      <c r="D213" s="31"/>
      <c r="E213" s="30"/>
      <c r="F213" s="30"/>
      <c r="G213" s="33"/>
      <c r="H213" s="30"/>
      <c r="I213" s="30"/>
      <c r="J213" s="30"/>
      <c r="K213" s="34"/>
      <c r="L213" s="20"/>
      <c r="M213" s="20"/>
      <c r="N213" s="20"/>
      <c r="O213" s="20"/>
      <c r="P213" s="20"/>
      <c r="Q213" s="20"/>
      <c r="R213" s="20"/>
      <c r="S213" s="20"/>
      <c r="T213" s="20"/>
      <c r="U213" s="20"/>
      <c r="V213" s="20"/>
      <c r="W213" s="20"/>
      <c r="X213" s="20"/>
      <c r="Y213" s="20"/>
      <c r="Z213" s="21"/>
      <c r="AA213" s="22"/>
      <c r="AB213" s="22"/>
    </row>
    <row r="214" spans="1:28" ht="15.75" customHeight="1" x14ac:dyDescent="0.25">
      <c r="A214" s="29"/>
      <c r="B214" s="30"/>
      <c r="C214" s="31"/>
      <c r="D214" s="31"/>
      <c r="E214" s="30"/>
      <c r="F214" s="30"/>
      <c r="G214" s="33"/>
      <c r="H214" s="30"/>
      <c r="I214" s="30"/>
      <c r="J214" s="30"/>
      <c r="K214" s="34"/>
      <c r="L214" s="20"/>
      <c r="M214" s="20"/>
      <c r="N214" s="20"/>
      <c r="O214" s="20"/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1"/>
      <c r="AA214" s="22"/>
      <c r="AB214" s="22"/>
    </row>
    <row r="215" spans="1:28" ht="15.75" customHeight="1" x14ac:dyDescent="0.25">
      <c r="A215" s="29"/>
      <c r="B215" s="30"/>
      <c r="C215" s="31"/>
      <c r="D215" s="31"/>
      <c r="E215" s="30"/>
      <c r="F215" s="30"/>
      <c r="G215" s="33"/>
      <c r="H215" s="30"/>
      <c r="I215" s="30"/>
      <c r="J215" s="30"/>
      <c r="K215" s="34"/>
      <c r="L215" s="20"/>
      <c r="M215" s="20"/>
      <c r="N215" s="20"/>
      <c r="O215" s="20"/>
      <c r="P215" s="20"/>
      <c r="Q215" s="20"/>
      <c r="R215" s="20"/>
      <c r="S215" s="20"/>
      <c r="T215" s="20"/>
      <c r="U215" s="20"/>
      <c r="V215" s="20"/>
      <c r="W215" s="20"/>
      <c r="X215" s="20"/>
      <c r="Y215" s="20"/>
      <c r="Z215" s="21"/>
      <c r="AA215" s="22"/>
      <c r="AB215" s="22"/>
    </row>
    <row r="216" spans="1:28" ht="15.75" customHeight="1" x14ac:dyDescent="0.25">
      <c r="A216" s="29"/>
      <c r="B216" s="30"/>
      <c r="C216" s="31"/>
      <c r="D216" s="31"/>
      <c r="E216" s="30"/>
      <c r="F216" s="30"/>
      <c r="G216" s="33"/>
      <c r="H216" s="30"/>
      <c r="I216" s="30"/>
      <c r="J216" s="30"/>
      <c r="K216" s="34"/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1"/>
      <c r="AA216" s="22"/>
      <c r="AB216" s="22"/>
    </row>
    <row r="217" spans="1:28" ht="15.75" customHeight="1" x14ac:dyDescent="0.25">
      <c r="A217" s="29"/>
      <c r="B217" s="30"/>
      <c r="C217" s="31"/>
      <c r="D217" s="31"/>
      <c r="E217" s="30"/>
      <c r="F217" s="30"/>
      <c r="G217" s="33"/>
      <c r="H217" s="30"/>
      <c r="I217" s="30"/>
      <c r="J217" s="30"/>
      <c r="K217" s="34"/>
      <c r="L217" s="20"/>
      <c r="M217" s="20"/>
      <c r="N217" s="20"/>
      <c r="O217" s="20"/>
      <c r="P217" s="20"/>
      <c r="Q217" s="20"/>
      <c r="R217" s="20"/>
      <c r="S217" s="20"/>
      <c r="T217" s="20"/>
      <c r="U217" s="20"/>
      <c r="V217" s="20"/>
      <c r="W217" s="20"/>
      <c r="X217" s="20"/>
      <c r="Y217" s="20"/>
      <c r="Z217" s="21"/>
      <c r="AA217" s="22"/>
      <c r="AB217" s="22"/>
    </row>
    <row r="218" spans="1:28" ht="15.75" customHeight="1" x14ac:dyDescent="0.25">
      <c r="A218" s="29"/>
      <c r="B218" s="30"/>
      <c r="C218" s="31"/>
      <c r="D218" s="31"/>
      <c r="E218" s="30"/>
      <c r="F218" s="30"/>
      <c r="G218" s="33"/>
      <c r="H218" s="30"/>
      <c r="I218" s="30"/>
      <c r="J218" s="30"/>
      <c r="K218" s="34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1"/>
      <c r="AA218" s="22"/>
      <c r="AB218" s="22"/>
    </row>
    <row r="219" spans="1:28" ht="15.75" customHeight="1" x14ac:dyDescent="0.25">
      <c r="A219" s="29"/>
      <c r="B219" s="30"/>
      <c r="C219" s="31"/>
      <c r="D219" s="31"/>
      <c r="E219" s="30"/>
      <c r="F219" s="30"/>
      <c r="G219" s="33"/>
      <c r="H219" s="30"/>
      <c r="I219" s="30"/>
      <c r="J219" s="30"/>
      <c r="K219" s="34"/>
      <c r="L219" s="20"/>
      <c r="M219" s="20"/>
      <c r="N219" s="20"/>
      <c r="O219" s="20"/>
      <c r="P219" s="20"/>
      <c r="Q219" s="20"/>
      <c r="R219" s="20"/>
      <c r="S219" s="20"/>
      <c r="T219" s="20"/>
      <c r="U219" s="20"/>
      <c r="V219" s="20"/>
      <c r="W219" s="20"/>
      <c r="X219" s="20"/>
      <c r="Y219" s="20"/>
      <c r="Z219" s="21"/>
      <c r="AA219" s="22"/>
      <c r="AB219" s="22"/>
    </row>
    <row r="220" spans="1:28" ht="15.75" customHeight="1" x14ac:dyDescent="0.25">
      <c r="A220" s="29"/>
      <c r="B220" s="30"/>
      <c r="C220" s="31"/>
      <c r="D220" s="31"/>
      <c r="E220" s="30"/>
      <c r="F220" s="30"/>
      <c r="G220" s="33"/>
      <c r="H220" s="30"/>
      <c r="I220" s="30"/>
      <c r="J220" s="30"/>
      <c r="K220" s="34"/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1"/>
      <c r="AA220" s="22"/>
      <c r="AB220" s="22"/>
    </row>
    <row r="221" spans="1:28" ht="15.75" customHeight="1" x14ac:dyDescent="0.25">
      <c r="A221" s="29"/>
      <c r="B221" s="30"/>
      <c r="C221" s="31"/>
      <c r="D221" s="31"/>
      <c r="E221" s="30"/>
      <c r="F221" s="30"/>
      <c r="G221" s="33"/>
      <c r="H221" s="30"/>
      <c r="I221" s="30"/>
      <c r="J221" s="30"/>
      <c r="K221" s="34"/>
      <c r="L221" s="20"/>
      <c r="M221" s="20"/>
      <c r="N221" s="20"/>
      <c r="O221" s="20"/>
      <c r="P221" s="20"/>
      <c r="Q221" s="20"/>
      <c r="R221" s="20"/>
      <c r="S221" s="20"/>
      <c r="T221" s="20"/>
      <c r="U221" s="20"/>
      <c r="V221" s="20"/>
      <c r="W221" s="20"/>
      <c r="X221" s="20"/>
      <c r="Y221" s="20"/>
      <c r="Z221" s="21"/>
      <c r="AA221" s="22"/>
      <c r="AB221" s="22"/>
    </row>
    <row r="222" spans="1:28" ht="15.75" customHeight="1" x14ac:dyDescent="0.25">
      <c r="A222" s="29"/>
      <c r="B222" s="30"/>
      <c r="C222" s="31"/>
      <c r="D222" s="31"/>
      <c r="E222" s="30"/>
      <c r="F222" s="30"/>
      <c r="G222" s="33"/>
      <c r="H222" s="30"/>
      <c r="I222" s="30"/>
      <c r="J222" s="30"/>
      <c r="K222" s="34"/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1"/>
      <c r="AA222" s="22"/>
      <c r="AB222" s="22"/>
    </row>
    <row r="223" spans="1:28" ht="15.75" customHeight="1" x14ac:dyDescent="0.25">
      <c r="A223" s="29"/>
      <c r="B223" s="30"/>
      <c r="C223" s="31"/>
      <c r="D223" s="31"/>
      <c r="E223" s="30"/>
      <c r="F223" s="30"/>
      <c r="G223" s="33"/>
      <c r="H223" s="30"/>
      <c r="I223" s="30"/>
      <c r="J223" s="30"/>
      <c r="K223" s="34"/>
      <c r="L223" s="20"/>
      <c r="M223" s="20"/>
      <c r="N223" s="20"/>
      <c r="O223" s="20"/>
      <c r="P223" s="20"/>
      <c r="Q223" s="20"/>
      <c r="R223" s="20"/>
      <c r="S223" s="20"/>
      <c r="T223" s="20"/>
      <c r="U223" s="20"/>
      <c r="V223" s="20"/>
      <c r="W223" s="20"/>
      <c r="X223" s="20"/>
      <c r="Y223" s="20"/>
      <c r="Z223" s="21"/>
      <c r="AA223" s="22"/>
      <c r="AB223" s="22"/>
    </row>
    <row r="224" spans="1:28" ht="15.75" customHeight="1" x14ac:dyDescent="0.25">
      <c r="A224" s="29"/>
      <c r="B224" s="30"/>
      <c r="C224" s="31"/>
      <c r="D224" s="31"/>
      <c r="E224" s="30"/>
      <c r="F224" s="30"/>
      <c r="G224" s="33"/>
      <c r="H224" s="30"/>
      <c r="I224" s="30"/>
      <c r="J224" s="30"/>
      <c r="K224" s="34"/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1"/>
      <c r="AA224" s="22"/>
      <c r="AB224" s="22"/>
    </row>
    <row r="225" spans="1:28" ht="15.75" customHeight="1" x14ac:dyDescent="0.25">
      <c r="A225" s="29"/>
      <c r="B225" s="30"/>
      <c r="C225" s="31"/>
      <c r="D225" s="31"/>
      <c r="E225" s="30"/>
      <c r="F225" s="30"/>
      <c r="G225" s="33"/>
      <c r="H225" s="30"/>
      <c r="I225" s="30"/>
      <c r="J225" s="30"/>
      <c r="K225" s="34"/>
      <c r="L225" s="20"/>
      <c r="M225" s="20"/>
      <c r="N225" s="20"/>
      <c r="O225" s="20"/>
      <c r="P225" s="20"/>
      <c r="Q225" s="20"/>
      <c r="R225" s="20"/>
      <c r="S225" s="20"/>
      <c r="T225" s="20"/>
      <c r="U225" s="20"/>
      <c r="V225" s="20"/>
      <c r="W225" s="20"/>
      <c r="X225" s="20"/>
      <c r="Y225" s="20"/>
      <c r="Z225" s="21"/>
      <c r="AA225" s="22"/>
      <c r="AB225" s="22"/>
    </row>
    <row r="226" spans="1:28" ht="15.75" customHeight="1" x14ac:dyDescent="0.25">
      <c r="A226" s="29"/>
      <c r="B226" s="30"/>
      <c r="C226" s="31"/>
      <c r="D226" s="31"/>
      <c r="E226" s="30"/>
      <c r="F226" s="30"/>
      <c r="G226" s="33"/>
      <c r="H226" s="30"/>
      <c r="I226" s="30"/>
      <c r="J226" s="30"/>
      <c r="K226" s="34"/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1"/>
      <c r="AA226" s="22"/>
      <c r="AB226" s="22"/>
    </row>
    <row r="227" spans="1:28" ht="15.75" customHeight="1" x14ac:dyDescent="0.25">
      <c r="A227" s="29"/>
      <c r="B227" s="30"/>
      <c r="C227" s="31"/>
      <c r="D227" s="31"/>
      <c r="E227" s="30"/>
      <c r="F227" s="30"/>
      <c r="G227" s="33"/>
      <c r="H227" s="30"/>
      <c r="I227" s="30"/>
      <c r="J227" s="30"/>
      <c r="K227" s="34"/>
      <c r="L227" s="20"/>
      <c r="M227" s="20"/>
      <c r="N227" s="20"/>
      <c r="O227" s="20"/>
      <c r="P227" s="20"/>
      <c r="Q227" s="20"/>
      <c r="R227" s="20"/>
      <c r="S227" s="20"/>
      <c r="T227" s="20"/>
      <c r="U227" s="20"/>
      <c r="V227" s="20"/>
      <c r="W227" s="20"/>
      <c r="X227" s="20"/>
      <c r="Y227" s="20"/>
      <c r="Z227" s="21"/>
      <c r="AA227" s="22"/>
      <c r="AB227" s="22"/>
    </row>
    <row r="228" spans="1:28" ht="15.75" customHeight="1" x14ac:dyDescent="0.25">
      <c r="A228" s="29"/>
      <c r="B228" s="30"/>
      <c r="C228" s="31"/>
      <c r="D228" s="31"/>
      <c r="E228" s="30"/>
      <c r="F228" s="30"/>
      <c r="G228" s="33"/>
      <c r="H228" s="30"/>
      <c r="I228" s="30"/>
      <c r="J228" s="30"/>
      <c r="K228" s="34"/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1"/>
      <c r="AA228" s="22"/>
      <c r="AB228" s="22"/>
    </row>
    <row r="229" spans="1:28" ht="15.75" customHeight="1" x14ac:dyDescent="0.25">
      <c r="A229" s="29"/>
      <c r="B229" s="30"/>
      <c r="C229" s="31"/>
      <c r="D229" s="31"/>
      <c r="E229" s="30"/>
      <c r="F229" s="30"/>
      <c r="G229" s="33"/>
      <c r="H229" s="30"/>
      <c r="I229" s="30"/>
      <c r="J229" s="30"/>
      <c r="K229" s="34"/>
      <c r="L229" s="20"/>
      <c r="M229" s="20"/>
      <c r="N229" s="20"/>
      <c r="O229" s="20"/>
      <c r="P229" s="20"/>
      <c r="Q229" s="20"/>
      <c r="R229" s="20"/>
      <c r="S229" s="20"/>
      <c r="T229" s="20"/>
      <c r="U229" s="20"/>
      <c r="V229" s="20"/>
      <c r="W229" s="20"/>
      <c r="X229" s="20"/>
      <c r="Y229" s="20"/>
      <c r="Z229" s="21"/>
      <c r="AA229" s="22"/>
      <c r="AB229" s="22"/>
    </row>
    <row r="230" spans="1:28" ht="15.75" customHeight="1" x14ac:dyDescent="0.25">
      <c r="A230" s="29"/>
      <c r="B230" s="30"/>
      <c r="C230" s="31"/>
      <c r="D230" s="31"/>
      <c r="E230" s="30"/>
      <c r="F230" s="30"/>
      <c r="G230" s="33"/>
      <c r="H230" s="30"/>
      <c r="I230" s="30"/>
      <c r="J230" s="30"/>
      <c r="K230" s="34"/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1"/>
      <c r="AA230" s="22"/>
      <c r="AB230" s="22"/>
    </row>
    <row r="231" spans="1:28" ht="15.75" customHeight="1" x14ac:dyDescent="0.25">
      <c r="A231" s="29"/>
      <c r="B231" s="30"/>
      <c r="C231" s="31"/>
      <c r="D231" s="31"/>
      <c r="E231" s="30"/>
      <c r="F231" s="30"/>
      <c r="G231" s="33"/>
      <c r="H231" s="30"/>
      <c r="I231" s="30"/>
      <c r="J231" s="30"/>
      <c r="K231" s="34"/>
      <c r="L231" s="20"/>
      <c r="M231" s="20"/>
      <c r="N231" s="20"/>
      <c r="O231" s="20"/>
      <c r="P231" s="20"/>
      <c r="Q231" s="20"/>
      <c r="R231" s="20"/>
      <c r="S231" s="20"/>
      <c r="T231" s="20"/>
      <c r="U231" s="20"/>
      <c r="V231" s="20"/>
      <c r="W231" s="20"/>
      <c r="X231" s="20"/>
      <c r="Y231" s="20"/>
      <c r="Z231" s="21"/>
      <c r="AA231" s="22"/>
      <c r="AB231" s="22"/>
    </row>
    <row r="232" spans="1:28" ht="15.75" customHeight="1" x14ac:dyDescent="0.25">
      <c r="A232" s="29"/>
      <c r="B232" s="30"/>
      <c r="C232" s="31"/>
      <c r="D232" s="31"/>
      <c r="E232" s="30"/>
      <c r="F232" s="30"/>
      <c r="G232" s="33"/>
      <c r="H232" s="30"/>
      <c r="I232" s="30"/>
      <c r="J232" s="30"/>
      <c r="K232" s="34"/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1"/>
      <c r="AA232" s="22"/>
      <c r="AB232" s="22"/>
    </row>
    <row r="233" spans="1:28" ht="15.75" customHeight="1" x14ac:dyDescent="0.25">
      <c r="A233" s="29"/>
      <c r="B233" s="30"/>
      <c r="C233" s="31"/>
      <c r="D233" s="31"/>
      <c r="E233" s="30"/>
      <c r="F233" s="30"/>
      <c r="G233" s="33"/>
      <c r="H233" s="30"/>
      <c r="I233" s="30"/>
      <c r="J233" s="30"/>
      <c r="K233" s="34"/>
      <c r="L233" s="20"/>
      <c r="M233" s="20"/>
      <c r="N233" s="20"/>
      <c r="O233" s="20"/>
      <c r="P233" s="20"/>
      <c r="Q233" s="20"/>
      <c r="R233" s="20"/>
      <c r="S233" s="20"/>
      <c r="T233" s="20"/>
      <c r="U233" s="20"/>
      <c r="V233" s="20"/>
      <c r="W233" s="20"/>
      <c r="X233" s="20"/>
      <c r="Y233" s="20"/>
      <c r="Z233" s="21"/>
      <c r="AA233" s="22"/>
      <c r="AB233" s="22"/>
    </row>
    <row r="234" spans="1:28" ht="15.75" customHeight="1" x14ac:dyDescent="0.25">
      <c r="A234" s="29"/>
      <c r="B234" s="30"/>
      <c r="C234" s="31"/>
      <c r="D234" s="31"/>
      <c r="E234" s="30"/>
      <c r="F234" s="30"/>
      <c r="G234" s="33"/>
      <c r="H234" s="30"/>
      <c r="I234" s="30"/>
      <c r="J234" s="30"/>
      <c r="K234" s="34"/>
      <c r="L234" s="20"/>
      <c r="M234" s="20"/>
      <c r="N234" s="20"/>
      <c r="O234" s="20"/>
      <c r="P234" s="20"/>
      <c r="Q234" s="20"/>
      <c r="R234" s="20"/>
      <c r="S234" s="20"/>
      <c r="T234" s="20"/>
      <c r="U234" s="20"/>
      <c r="V234" s="20"/>
      <c r="W234" s="20"/>
      <c r="X234" s="20"/>
      <c r="Y234" s="20"/>
      <c r="Z234" s="21"/>
      <c r="AA234" s="22"/>
      <c r="AB234" s="22"/>
    </row>
    <row r="235" spans="1:28" ht="15.75" customHeight="1" x14ac:dyDescent="0.25">
      <c r="A235" s="29"/>
      <c r="B235" s="30"/>
      <c r="C235" s="31"/>
      <c r="D235" s="31"/>
      <c r="E235" s="30"/>
      <c r="F235" s="30"/>
      <c r="G235" s="33"/>
      <c r="H235" s="30"/>
      <c r="I235" s="30"/>
      <c r="J235" s="30"/>
      <c r="K235" s="34"/>
      <c r="L235" s="20"/>
      <c r="M235" s="20"/>
      <c r="N235" s="20"/>
      <c r="O235" s="20"/>
      <c r="P235" s="20"/>
      <c r="Q235" s="20"/>
      <c r="R235" s="20"/>
      <c r="S235" s="20"/>
      <c r="T235" s="20"/>
      <c r="U235" s="20"/>
      <c r="V235" s="20"/>
      <c r="W235" s="20"/>
      <c r="X235" s="20"/>
      <c r="Y235" s="20"/>
      <c r="Z235" s="21"/>
      <c r="AA235" s="22"/>
      <c r="AB235" s="22"/>
    </row>
    <row r="236" spans="1:28" ht="15.75" customHeight="1" x14ac:dyDescent="0.25">
      <c r="A236" s="29"/>
      <c r="B236" s="30"/>
      <c r="C236" s="31"/>
      <c r="D236" s="31"/>
      <c r="E236" s="30"/>
      <c r="F236" s="30"/>
      <c r="G236" s="33"/>
      <c r="H236" s="30"/>
      <c r="I236" s="30"/>
      <c r="J236" s="30"/>
      <c r="K236" s="34"/>
      <c r="L236" s="20"/>
      <c r="M236" s="20"/>
      <c r="N236" s="20"/>
      <c r="O236" s="20"/>
      <c r="P236" s="20"/>
      <c r="Q236" s="20"/>
      <c r="R236" s="20"/>
      <c r="S236" s="20"/>
      <c r="T236" s="20"/>
      <c r="U236" s="20"/>
      <c r="V236" s="20"/>
      <c r="W236" s="20"/>
      <c r="X236" s="20"/>
      <c r="Y236" s="20"/>
      <c r="Z236" s="21"/>
      <c r="AA236" s="22"/>
      <c r="AB236" s="22"/>
    </row>
    <row r="237" spans="1:28" ht="15.75" customHeight="1" x14ac:dyDescent="0.25">
      <c r="A237" s="29"/>
      <c r="B237" s="30"/>
      <c r="C237" s="31"/>
      <c r="D237" s="31"/>
      <c r="E237" s="30"/>
      <c r="F237" s="30"/>
      <c r="G237" s="33"/>
      <c r="H237" s="30"/>
      <c r="I237" s="30"/>
      <c r="J237" s="30"/>
      <c r="K237" s="34"/>
      <c r="L237" s="20"/>
      <c r="M237" s="20"/>
      <c r="N237" s="20"/>
      <c r="O237" s="20"/>
      <c r="P237" s="20"/>
      <c r="Q237" s="20"/>
      <c r="R237" s="20"/>
      <c r="S237" s="20"/>
      <c r="T237" s="20"/>
      <c r="U237" s="20"/>
      <c r="V237" s="20"/>
      <c r="W237" s="20"/>
      <c r="X237" s="20"/>
      <c r="Y237" s="20"/>
      <c r="Z237" s="21"/>
      <c r="AA237" s="22"/>
      <c r="AB237" s="22"/>
    </row>
    <row r="238" spans="1:28" ht="15.75" customHeight="1" x14ac:dyDescent="0.25">
      <c r="A238" s="29"/>
      <c r="B238" s="30"/>
      <c r="C238" s="31"/>
      <c r="D238" s="31"/>
      <c r="E238" s="30"/>
      <c r="F238" s="30"/>
      <c r="G238" s="33"/>
      <c r="H238" s="30"/>
      <c r="I238" s="30"/>
      <c r="J238" s="30"/>
      <c r="K238" s="34"/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1"/>
      <c r="AA238" s="22"/>
      <c r="AB238" s="22"/>
    </row>
    <row r="239" spans="1:28" ht="15.75" customHeight="1" x14ac:dyDescent="0.25">
      <c r="A239" s="29"/>
      <c r="B239" s="30"/>
      <c r="C239" s="31"/>
      <c r="D239" s="31"/>
      <c r="E239" s="30"/>
      <c r="F239" s="30"/>
      <c r="G239" s="33"/>
      <c r="H239" s="30"/>
      <c r="I239" s="30"/>
      <c r="J239" s="30"/>
      <c r="K239" s="34"/>
      <c r="L239" s="20"/>
      <c r="M239" s="20"/>
      <c r="N239" s="20"/>
      <c r="O239" s="20"/>
      <c r="P239" s="20"/>
      <c r="Q239" s="20"/>
      <c r="R239" s="20"/>
      <c r="S239" s="20"/>
      <c r="T239" s="20"/>
      <c r="U239" s="20"/>
      <c r="V239" s="20"/>
      <c r="W239" s="20"/>
      <c r="X239" s="20"/>
      <c r="Y239" s="20"/>
      <c r="Z239" s="21"/>
      <c r="AA239" s="22"/>
      <c r="AB239" s="22"/>
    </row>
    <row r="240" spans="1:28" ht="15.75" customHeight="1" x14ac:dyDescent="0.25">
      <c r="A240" s="29"/>
      <c r="B240" s="30"/>
      <c r="C240" s="31"/>
      <c r="D240" s="31"/>
      <c r="E240" s="30"/>
      <c r="F240" s="30"/>
      <c r="G240" s="33"/>
      <c r="H240" s="30"/>
      <c r="I240" s="30"/>
      <c r="J240" s="30"/>
      <c r="K240" s="34"/>
      <c r="L240" s="20"/>
      <c r="M240" s="20"/>
      <c r="N240" s="20"/>
      <c r="O240" s="20"/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1"/>
      <c r="AA240" s="22"/>
      <c r="AB240" s="22"/>
    </row>
    <row r="241" spans="1:28" ht="15.75" customHeight="1" x14ac:dyDescent="0.25">
      <c r="A241" s="29"/>
      <c r="B241" s="30"/>
      <c r="C241" s="31"/>
      <c r="D241" s="31"/>
      <c r="E241" s="30"/>
      <c r="F241" s="30"/>
      <c r="G241" s="33"/>
      <c r="H241" s="30"/>
      <c r="I241" s="30"/>
      <c r="J241" s="30"/>
      <c r="K241" s="34"/>
      <c r="L241" s="20"/>
      <c r="M241" s="20"/>
      <c r="N241" s="20"/>
      <c r="O241" s="20"/>
      <c r="P241" s="20"/>
      <c r="Q241" s="20"/>
      <c r="R241" s="20"/>
      <c r="S241" s="20"/>
      <c r="T241" s="20"/>
      <c r="U241" s="20"/>
      <c r="V241" s="20"/>
      <c r="W241" s="20"/>
      <c r="X241" s="20"/>
      <c r="Y241" s="20"/>
      <c r="Z241" s="21"/>
      <c r="AA241" s="22"/>
      <c r="AB241" s="22"/>
    </row>
    <row r="242" spans="1:28" ht="15.75" customHeight="1" x14ac:dyDescent="0.25">
      <c r="A242" s="29"/>
      <c r="B242" s="30"/>
      <c r="C242" s="31"/>
      <c r="D242" s="31"/>
      <c r="E242" s="30"/>
      <c r="F242" s="30"/>
      <c r="G242" s="33"/>
      <c r="H242" s="30"/>
      <c r="I242" s="30"/>
      <c r="J242" s="30"/>
      <c r="K242" s="34"/>
      <c r="L242" s="20"/>
      <c r="M242" s="20"/>
      <c r="N242" s="20"/>
      <c r="O242" s="20"/>
      <c r="P242" s="20"/>
      <c r="Q242" s="20"/>
      <c r="R242" s="20"/>
      <c r="S242" s="20"/>
      <c r="T242" s="20"/>
      <c r="U242" s="20"/>
      <c r="V242" s="20"/>
      <c r="W242" s="20"/>
      <c r="X242" s="20"/>
      <c r="Y242" s="20"/>
      <c r="Z242" s="21"/>
      <c r="AA242" s="22"/>
      <c r="AB242" s="22"/>
    </row>
    <row r="243" spans="1:28" ht="15.75" customHeight="1" x14ac:dyDescent="0.25">
      <c r="A243" s="29"/>
      <c r="B243" s="30"/>
      <c r="C243" s="31"/>
      <c r="D243" s="31"/>
      <c r="E243" s="30"/>
      <c r="F243" s="30"/>
      <c r="G243" s="33"/>
      <c r="H243" s="30"/>
      <c r="I243" s="30"/>
      <c r="J243" s="30"/>
      <c r="K243" s="34"/>
      <c r="L243" s="20"/>
      <c r="M243" s="20"/>
      <c r="N243" s="20"/>
      <c r="O243" s="20"/>
      <c r="P243" s="20"/>
      <c r="Q243" s="20"/>
      <c r="R243" s="20"/>
      <c r="S243" s="20"/>
      <c r="T243" s="20"/>
      <c r="U243" s="20"/>
      <c r="V243" s="20"/>
      <c r="W243" s="20"/>
      <c r="X243" s="20"/>
      <c r="Y243" s="20"/>
      <c r="Z243" s="21"/>
      <c r="AA243" s="22"/>
      <c r="AB243" s="22"/>
    </row>
    <row r="244" spans="1:28" ht="15.75" customHeight="1" x14ac:dyDescent="0.25">
      <c r="A244" s="29"/>
      <c r="B244" s="30"/>
      <c r="C244" s="31"/>
      <c r="D244" s="31"/>
      <c r="E244" s="30"/>
      <c r="F244" s="30"/>
      <c r="G244" s="33"/>
      <c r="H244" s="30"/>
      <c r="I244" s="30"/>
      <c r="J244" s="30"/>
      <c r="K244" s="34"/>
      <c r="L244" s="20"/>
      <c r="M244" s="20"/>
      <c r="N244" s="20"/>
      <c r="O244" s="20"/>
      <c r="P244" s="20"/>
      <c r="Q244" s="20"/>
      <c r="R244" s="20"/>
      <c r="S244" s="20"/>
      <c r="T244" s="20"/>
      <c r="U244" s="20"/>
      <c r="V244" s="20"/>
      <c r="W244" s="20"/>
      <c r="X244" s="20"/>
      <c r="Y244" s="20"/>
      <c r="Z244" s="21"/>
      <c r="AA244" s="22"/>
      <c r="AB244" s="22"/>
    </row>
    <row r="245" spans="1:28" ht="15.75" customHeight="1" x14ac:dyDescent="0.25">
      <c r="A245" s="29"/>
      <c r="B245" s="30"/>
      <c r="C245" s="31"/>
      <c r="D245" s="31"/>
      <c r="E245" s="30"/>
      <c r="F245" s="30"/>
      <c r="G245" s="33"/>
      <c r="H245" s="30"/>
      <c r="I245" s="30"/>
      <c r="J245" s="30"/>
      <c r="K245" s="34"/>
      <c r="L245" s="20"/>
      <c r="M245" s="20"/>
      <c r="N245" s="20"/>
      <c r="O245" s="20"/>
      <c r="P245" s="20"/>
      <c r="Q245" s="20"/>
      <c r="R245" s="20"/>
      <c r="S245" s="20"/>
      <c r="T245" s="20"/>
      <c r="U245" s="20"/>
      <c r="V245" s="20"/>
      <c r="W245" s="20"/>
      <c r="X245" s="20"/>
      <c r="Y245" s="20"/>
      <c r="Z245" s="21"/>
      <c r="AA245" s="22"/>
      <c r="AB245" s="22"/>
    </row>
    <row r="246" spans="1:28" ht="15.75" customHeight="1" x14ac:dyDescent="0.25">
      <c r="A246" s="29"/>
      <c r="B246" s="30"/>
      <c r="C246" s="31"/>
      <c r="D246" s="31"/>
      <c r="E246" s="30"/>
      <c r="F246" s="30"/>
      <c r="G246" s="33"/>
      <c r="H246" s="30"/>
      <c r="I246" s="30"/>
      <c r="J246" s="30"/>
      <c r="K246" s="34"/>
      <c r="L246" s="20"/>
      <c r="M246" s="20"/>
      <c r="N246" s="20"/>
      <c r="O246" s="20"/>
      <c r="P246" s="20"/>
      <c r="Q246" s="20"/>
      <c r="R246" s="20"/>
      <c r="S246" s="20"/>
      <c r="T246" s="20"/>
      <c r="U246" s="20"/>
      <c r="V246" s="20"/>
      <c r="W246" s="20"/>
      <c r="X246" s="20"/>
      <c r="Y246" s="20"/>
      <c r="Z246" s="21"/>
      <c r="AA246" s="22"/>
      <c r="AB246" s="22"/>
    </row>
    <row r="247" spans="1:28" ht="15.75" customHeight="1" x14ac:dyDescent="0.25">
      <c r="A247" s="29"/>
      <c r="B247" s="30"/>
      <c r="C247" s="31"/>
      <c r="D247" s="31"/>
      <c r="E247" s="30"/>
      <c r="F247" s="30"/>
      <c r="G247" s="33"/>
      <c r="H247" s="30"/>
      <c r="I247" s="30"/>
      <c r="J247" s="30"/>
      <c r="K247" s="34"/>
      <c r="L247" s="20"/>
      <c r="M247" s="20"/>
      <c r="N247" s="20"/>
      <c r="O247" s="20"/>
      <c r="P247" s="20"/>
      <c r="Q247" s="20"/>
      <c r="R247" s="20"/>
      <c r="S247" s="20"/>
      <c r="T247" s="20"/>
      <c r="U247" s="20"/>
      <c r="V247" s="20"/>
      <c r="W247" s="20"/>
      <c r="X247" s="20"/>
      <c r="Y247" s="20"/>
      <c r="Z247" s="21"/>
      <c r="AA247" s="22"/>
      <c r="AB247" s="22"/>
    </row>
    <row r="248" spans="1:28" ht="15.75" customHeight="1" x14ac:dyDescent="0.25">
      <c r="A248" s="29"/>
      <c r="B248" s="30"/>
      <c r="C248" s="31"/>
      <c r="D248" s="31"/>
      <c r="E248" s="30"/>
      <c r="F248" s="30"/>
      <c r="G248" s="33"/>
      <c r="H248" s="30"/>
      <c r="I248" s="30"/>
      <c r="J248" s="30"/>
      <c r="K248" s="34"/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0"/>
      <c r="W248" s="20"/>
      <c r="X248" s="20"/>
      <c r="Y248" s="20"/>
      <c r="Z248" s="21"/>
      <c r="AA248" s="22"/>
      <c r="AB248" s="22"/>
    </row>
    <row r="249" spans="1:28" ht="15.75" customHeight="1" x14ac:dyDescent="0.25">
      <c r="A249" s="29"/>
      <c r="B249" s="30"/>
      <c r="C249" s="31"/>
      <c r="D249" s="31"/>
      <c r="E249" s="30"/>
      <c r="F249" s="30"/>
      <c r="G249" s="33"/>
      <c r="H249" s="30"/>
      <c r="I249" s="30"/>
      <c r="J249" s="30"/>
      <c r="K249" s="34"/>
      <c r="L249" s="20"/>
      <c r="M249" s="20"/>
      <c r="N249" s="20"/>
      <c r="O249" s="20"/>
      <c r="P249" s="20"/>
      <c r="Q249" s="20"/>
      <c r="R249" s="20"/>
      <c r="S249" s="20"/>
      <c r="T249" s="20"/>
      <c r="U249" s="20"/>
      <c r="V249" s="20"/>
      <c r="W249" s="20"/>
      <c r="X249" s="20"/>
      <c r="Y249" s="20"/>
      <c r="Z249" s="21"/>
      <c r="AA249" s="22"/>
      <c r="AB249" s="22"/>
    </row>
    <row r="250" spans="1:28" ht="15.75" customHeight="1" x14ac:dyDescent="0.25">
      <c r="A250" s="29"/>
      <c r="B250" s="30"/>
      <c r="C250" s="31"/>
      <c r="D250" s="31"/>
      <c r="E250" s="30"/>
      <c r="F250" s="30"/>
      <c r="G250" s="33"/>
      <c r="H250" s="30"/>
      <c r="I250" s="30"/>
      <c r="J250" s="30"/>
      <c r="K250" s="34"/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1"/>
      <c r="AA250" s="22"/>
      <c r="AB250" s="22"/>
    </row>
    <row r="251" spans="1:28" ht="15.75" customHeight="1" x14ac:dyDescent="0.25">
      <c r="A251" s="29"/>
      <c r="B251" s="30"/>
      <c r="C251" s="31"/>
      <c r="D251" s="31"/>
      <c r="E251" s="30"/>
      <c r="F251" s="30"/>
      <c r="G251" s="33"/>
      <c r="H251" s="30"/>
      <c r="I251" s="30"/>
      <c r="J251" s="30"/>
      <c r="K251" s="34"/>
      <c r="L251" s="20"/>
      <c r="M251" s="20"/>
      <c r="N251" s="20"/>
      <c r="O251" s="20"/>
      <c r="P251" s="20"/>
      <c r="Q251" s="20"/>
      <c r="R251" s="20"/>
      <c r="S251" s="20"/>
      <c r="T251" s="20"/>
      <c r="U251" s="20"/>
      <c r="V251" s="20"/>
      <c r="W251" s="20"/>
      <c r="X251" s="20"/>
      <c r="Y251" s="20"/>
      <c r="Z251" s="21"/>
      <c r="AA251" s="22"/>
      <c r="AB251" s="22"/>
    </row>
    <row r="252" spans="1:28" ht="15.75" customHeight="1" x14ac:dyDescent="0.25">
      <c r="A252" s="29"/>
      <c r="B252" s="30"/>
      <c r="C252" s="31"/>
      <c r="D252" s="31"/>
      <c r="E252" s="30"/>
      <c r="F252" s="30"/>
      <c r="G252" s="33"/>
      <c r="H252" s="30"/>
      <c r="I252" s="30"/>
      <c r="J252" s="30"/>
      <c r="K252" s="34"/>
      <c r="L252" s="20"/>
      <c r="M252" s="20"/>
      <c r="N252" s="20"/>
      <c r="O252" s="20"/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1"/>
      <c r="AA252" s="22"/>
      <c r="AB252" s="22"/>
    </row>
    <row r="253" spans="1:28" ht="15.75" customHeight="1" x14ac:dyDescent="0.25">
      <c r="A253" s="29"/>
      <c r="B253" s="30"/>
      <c r="C253" s="31"/>
      <c r="D253" s="31"/>
      <c r="E253" s="30"/>
      <c r="F253" s="30"/>
      <c r="G253" s="33"/>
      <c r="H253" s="30"/>
      <c r="I253" s="30"/>
      <c r="J253" s="30"/>
      <c r="K253" s="34"/>
      <c r="L253" s="20"/>
      <c r="M253" s="20"/>
      <c r="N253" s="20"/>
      <c r="O253" s="20"/>
      <c r="P253" s="20"/>
      <c r="Q253" s="20"/>
      <c r="R253" s="20"/>
      <c r="S253" s="20"/>
      <c r="T253" s="20"/>
      <c r="U253" s="20"/>
      <c r="V253" s="20"/>
      <c r="W253" s="20"/>
      <c r="X253" s="20"/>
      <c r="Y253" s="20"/>
      <c r="Z253" s="21"/>
      <c r="AA253" s="22"/>
      <c r="AB253" s="22"/>
    </row>
    <row r="254" spans="1:28" ht="15.75" customHeight="1" x14ac:dyDescent="0.25">
      <c r="A254" s="29"/>
      <c r="B254" s="30"/>
      <c r="C254" s="31"/>
      <c r="D254" s="31"/>
      <c r="E254" s="30"/>
      <c r="F254" s="30"/>
      <c r="G254" s="33"/>
      <c r="H254" s="30"/>
      <c r="I254" s="30"/>
      <c r="J254" s="30"/>
      <c r="K254" s="34"/>
      <c r="L254" s="20"/>
      <c r="M254" s="20"/>
      <c r="N254" s="20"/>
      <c r="O254" s="20"/>
      <c r="P254" s="20"/>
      <c r="Q254" s="20"/>
      <c r="R254" s="20"/>
      <c r="S254" s="20"/>
      <c r="T254" s="20"/>
      <c r="U254" s="20"/>
      <c r="V254" s="20"/>
      <c r="W254" s="20"/>
      <c r="X254" s="20"/>
      <c r="Y254" s="20"/>
      <c r="Z254" s="21"/>
      <c r="AA254" s="22"/>
      <c r="AB254" s="22"/>
    </row>
    <row r="255" spans="1:28" ht="15.75" customHeight="1" x14ac:dyDescent="0.25">
      <c r="A255" s="29"/>
      <c r="B255" s="30"/>
      <c r="C255" s="31"/>
      <c r="D255" s="31"/>
      <c r="E255" s="30"/>
      <c r="F255" s="30"/>
      <c r="G255" s="33"/>
      <c r="H255" s="30"/>
      <c r="I255" s="30"/>
      <c r="J255" s="30"/>
      <c r="K255" s="34"/>
      <c r="L255" s="20"/>
      <c r="M255" s="20"/>
      <c r="N255" s="20"/>
      <c r="O255" s="20"/>
      <c r="P255" s="20"/>
      <c r="Q255" s="20"/>
      <c r="R255" s="20"/>
      <c r="S255" s="20"/>
      <c r="T255" s="20"/>
      <c r="U255" s="20"/>
      <c r="V255" s="20"/>
      <c r="W255" s="20"/>
      <c r="X255" s="20"/>
      <c r="Y255" s="20"/>
      <c r="Z255" s="21"/>
      <c r="AA255" s="22"/>
      <c r="AB255" s="22"/>
    </row>
    <row r="256" spans="1:28" ht="15.75" customHeight="1" x14ac:dyDescent="0.25">
      <c r="A256" s="29"/>
      <c r="B256" s="30"/>
      <c r="C256" s="31"/>
      <c r="D256" s="31"/>
      <c r="E256" s="30"/>
      <c r="F256" s="30"/>
      <c r="G256" s="33"/>
      <c r="H256" s="30"/>
      <c r="I256" s="30"/>
      <c r="J256" s="30"/>
      <c r="K256" s="34"/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0"/>
      <c r="W256" s="20"/>
      <c r="X256" s="20"/>
      <c r="Y256" s="20"/>
      <c r="Z256" s="21"/>
      <c r="AA256" s="22"/>
      <c r="AB256" s="22"/>
    </row>
    <row r="257" spans="1:28" ht="15.75" customHeight="1" x14ac:dyDescent="0.25">
      <c r="A257" s="29"/>
      <c r="B257" s="30"/>
      <c r="C257" s="31"/>
      <c r="D257" s="31"/>
      <c r="E257" s="30"/>
      <c r="F257" s="30"/>
      <c r="G257" s="33"/>
      <c r="H257" s="30"/>
      <c r="I257" s="30"/>
      <c r="J257" s="30"/>
      <c r="K257" s="34"/>
      <c r="L257" s="20"/>
      <c r="M257" s="20"/>
      <c r="N257" s="20"/>
      <c r="O257" s="20"/>
      <c r="P257" s="20"/>
      <c r="Q257" s="20"/>
      <c r="R257" s="20"/>
      <c r="S257" s="20"/>
      <c r="T257" s="20"/>
      <c r="U257" s="20"/>
      <c r="V257" s="20"/>
      <c r="W257" s="20"/>
      <c r="X257" s="20"/>
      <c r="Y257" s="20"/>
      <c r="Z257" s="21"/>
      <c r="AA257" s="22"/>
      <c r="AB257" s="22"/>
    </row>
    <row r="258" spans="1:28" ht="15.75" customHeight="1" x14ac:dyDescent="0.25">
      <c r="A258" s="29"/>
      <c r="B258" s="30"/>
      <c r="C258" s="31"/>
      <c r="D258" s="31"/>
      <c r="E258" s="30"/>
      <c r="F258" s="30"/>
      <c r="G258" s="33"/>
      <c r="H258" s="30"/>
      <c r="I258" s="30"/>
      <c r="J258" s="30"/>
      <c r="K258" s="34"/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0"/>
      <c r="W258" s="20"/>
      <c r="X258" s="20"/>
      <c r="Y258" s="20"/>
      <c r="Z258" s="21"/>
      <c r="AA258" s="22"/>
      <c r="AB258" s="22"/>
    </row>
    <row r="259" spans="1:28" ht="15.75" customHeight="1" x14ac:dyDescent="0.25">
      <c r="A259" s="29"/>
      <c r="B259" s="30"/>
      <c r="C259" s="31"/>
      <c r="D259" s="31"/>
      <c r="E259" s="30"/>
      <c r="F259" s="30"/>
      <c r="G259" s="33"/>
      <c r="H259" s="30"/>
      <c r="I259" s="30"/>
      <c r="J259" s="30"/>
      <c r="K259" s="34"/>
      <c r="L259" s="20"/>
      <c r="M259" s="20"/>
      <c r="N259" s="20"/>
      <c r="O259" s="20"/>
      <c r="P259" s="20"/>
      <c r="Q259" s="20"/>
      <c r="R259" s="20"/>
      <c r="S259" s="20"/>
      <c r="T259" s="20"/>
      <c r="U259" s="20"/>
      <c r="V259" s="20"/>
      <c r="W259" s="20"/>
      <c r="X259" s="20"/>
      <c r="Y259" s="20"/>
      <c r="Z259" s="21"/>
      <c r="AA259" s="22"/>
      <c r="AB259" s="22"/>
    </row>
    <row r="260" spans="1:28" ht="15.75" customHeight="1" x14ac:dyDescent="0.25">
      <c r="A260" s="29"/>
      <c r="B260" s="30"/>
      <c r="C260" s="31"/>
      <c r="D260" s="31"/>
      <c r="E260" s="30"/>
      <c r="F260" s="30"/>
      <c r="G260" s="33"/>
      <c r="H260" s="30"/>
      <c r="I260" s="30"/>
      <c r="J260" s="30"/>
      <c r="K260" s="34"/>
      <c r="L260" s="20"/>
      <c r="M260" s="20"/>
      <c r="N260" s="20"/>
      <c r="O260" s="20"/>
      <c r="P260" s="20"/>
      <c r="Q260" s="20"/>
      <c r="R260" s="20"/>
      <c r="S260" s="20"/>
      <c r="T260" s="20"/>
      <c r="U260" s="20"/>
      <c r="V260" s="20"/>
      <c r="W260" s="20"/>
      <c r="X260" s="20"/>
      <c r="Y260" s="20"/>
      <c r="Z260" s="21"/>
      <c r="AA260" s="22"/>
      <c r="AB260" s="22"/>
    </row>
    <row r="261" spans="1:28" ht="15.75" customHeight="1" x14ac:dyDescent="0.25">
      <c r="A261" s="29"/>
      <c r="B261" s="30"/>
      <c r="C261" s="31"/>
      <c r="D261" s="31"/>
      <c r="E261" s="30"/>
      <c r="F261" s="30"/>
      <c r="G261" s="33"/>
      <c r="H261" s="30"/>
      <c r="I261" s="30"/>
      <c r="J261" s="30"/>
      <c r="K261" s="34"/>
      <c r="L261" s="20"/>
      <c r="M261" s="20"/>
      <c r="N261" s="20"/>
      <c r="O261" s="20"/>
      <c r="P261" s="20"/>
      <c r="Q261" s="20"/>
      <c r="R261" s="20"/>
      <c r="S261" s="20"/>
      <c r="T261" s="20"/>
      <c r="U261" s="20"/>
      <c r="V261" s="20"/>
      <c r="W261" s="20"/>
      <c r="X261" s="20"/>
      <c r="Y261" s="20"/>
      <c r="Z261" s="21"/>
      <c r="AA261" s="22"/>
      <c r="AB261" s="22"/>
    </row>
    <row r="262" spans="1:28" ht="15.75" customHeight="1" x14ac:dyDescent="0.25">
      <c r="A262" s="29"/>
      <c r="B262" s="30"/>
      <c r="C262" s="31"/>
      <c r="D262" s="31"/>
      <c r="E262" s="30"/>
      <c r="F262" s="30"/>
      <c r="G262" s="33"/>
      <c r="H262" s="30"/>
      <c r="I262" s="30"/>
      <c r="J262" s="30"/>
      <c r="K262" s="34"/>
      <c r="L262" s="20"/>
      <c r="M262" s="20"/>
      <c r="N262" s="20"/>
      <c r="O262" s="20"/>
      <c r="P262" s="20"/>
      <c r="Q262" s="20"/>
      <c r="R262" s="20"/>
      <c r="S262" s="20"/>
      <c r="T262" s="20"/>
      <c r="U262" s="20"/>
      <c r="V262" s="20"/>
      <c r="W262" s="20"/>
      <c r="X262" s="20"/>
      <c r="Y262" s="20"/>
      <c r="Z262" s="21"/>
      <c r="AA262" s="22"/>
      <c r="AB262" s="22"/>
    </row>
    <row r="263" spans="1:28" ht="15.75" customHeight="1" x14ac:dyDescent="0.25">
      <c r="A263" s="29"/>
      <c r="B263" s="30"/>
      <c r="C263" s="31"/>
      <c r="D263" s="31"/>
      <c r="E263" s="30"/>
      <c r="F263" s="30"/>
      <c r="G263" s="33"/>
      <c r="H263" s="30"/>
      <c r="I263" s="30"/>
      <c r="J263" s="30"/>
      <c r="K263" s="34"/>
      <c r="L263" s="20"/>
      <c r="M263" s="20"/>
      <c r="N263" s="20"/>
      <c r="O263" s="20"/>
      <c r="P263" s="20"/>
      <c r="Q263" s="20"/>
      <c r="R263" s="20"/>
      <c r="S263" s="20"/>
      <c r="T263" s="20"/>
      <c r="U263" s="20"/>
      <c r="V263" s="20"/>
      <c r="W263" s="20"/>
      <c r="X263" s="20"/>
      <c r="Y263" s="20"/>
      <c r="Z263" s="21"/>
      <c r="AA263" s="22"/>
      <c r="AB263" s="22"/>
    </row>
    <row r="264" spans="1:28" ht="15.75" customHeight="1" x14ac:dyDescent="0.25">
      <c r="A264" s="29"/>
      <c r="B264" s="30"/>
      <c r="C264" s="31"/>
      <c r="D264" s="31"/>
      <c r="E264" s="30"/>
      <c r="F264" s="30"/>
      <c r="G264" s="33"/>
      <c r="H264" s="30"/>
      <c r="I264" s="30"/>
      <c r="J264" s="30"/>
      <c r="K264" s="34"/>
      <c r="L264" s="20"/>
      <c r="M264" s="20"/>
      <c r="N264" s="20"/>
      <c r="O264" s="20"/>
      <c r="P264" s="20"/>
      <c r="Q264" s="20"/>
      <c r="R264" s="20"/>
      <c r="S264" s="20"/>
      <c r="T264" s="20"/>
      <c r="U264" s="20"/>
      <c r="V264" s="20"/>
      <c r="W264" s="20"/>
      <c r="X264" s="20"/>
      <c r="Y264" s="20"/>
      <c r="Z264" s="21"/>
      <c r="AA264" s="22"/>
      <c r="AB264" s="22"/>
    </row>
    <row r="265" spans="1:28" ht="15.75" customHeight="1" x14ac:dyDescent="0.25">
      <c r="A265" s="29"/>
      <c r="B265" s="30"/>
      <c r="C265" s="31"/>
      <c r="D265" s="31"/>
      <c r="E265" s="30"/>
      <c r="F265" s="30"/>
      <c r="G265" s="33"/>
      <c r="H265" s="30"/>
      <c r="I265" s="30"/>
      <c r="J265" s="30"/>
      <c r="K265" s="34"/>
      <c r="L265" s="20"/>
      <c r="M265" s="20"/>
      <c r="N265" s="20"/>
      <c r="O265" s="20"/>
      <c r="P265" s="20"/>
      <c r="Q265" s="20"/>
      <c r="R265" s="20"/>
      <c r="S265" s="20"/>
      <c r="T265" s="20"/>
      <c r="U265" s="20"/>
      <c r="V265" s="20"/>
      <c r="W265" s="20"/>
      <c r="X265" s="20"/>
      <c r="Y265" s="20"/>
      <c r="Z265" s="21"/>
      <c r="AA265" s="22"/>
      <c r="AB265" s="22"/>
    </row>
    <row r="266" spans="1:28" ht="15.75" customHeight="1" x14ac:dyDescent="0.25">
      <c r="A266" s="29"/>
      <c r="B266" s="30"/>
      <c r="C266" s="31"/>
      <c r="D266" s="31"/>
      <c r="E266" s="30"/>
      <c r="F266" s="30"/>
      <c r="G266" s="33"/>
      <c r="H266" s="30"/>
      <c r="I266" s="30"/>
      <c r="J266" s="30"/>
      <c r="K266" s="34"/>
      <c r="L266" s="20"/>
      <c r="M266" s="20"/>
      <c r="N266" s="20"/>
      <c r="O266" s="20"/>
      <c r="P266" s="20"/>
      <c r="Q266" s="20"/>
      <c r="R266" s="20"/>
      <c r="S266" s="20"/>
      <c r="T266" s="20"/>
      <c r="U266" s="20"/>
      <c r="V266" s="20"/>
      <c r="W266" s="20"/>
      <c r="X266" s="20"/>
      <c r="Y266" s="20"/>
      <c r="Z266" s="21"/>
      <c r="AA266" s="22"/>
      <c r="AB266" s="22"/>
    </row>
    <row r="267" spans="1:28" ht="15.75" customHeight="1" x14ac:dyDescent="0.25">
      <c r="A267" s="29"/>
      <c r="B267" s="30"/>
      <c r="C267" s="31"/>
      <c r="D267" s="31"/>
      <c r="E267" s="30"/>
      <c r="F267" s="30"/>
      <c r="G267" s="33"/>
      <c r="H267" s="30"/>
      <c r="I267" s="30"/>
      <c r="J267" s="30"/>
      <c r="K267" s="34"/>
      <c r="L267" s="20"/>
      <c r="M267" s="20"/>
      <c r="N267" s="20"/>
      <c r="O267" s="20"/>
      <c r="P267" s="20"/>
      <c r="Q267" s="20"/>
      <c r="R267" s="20"/>
      <c r="S267" s="20"/>
      <c r="T267" s="20"/>
      <c r="U267" s="20"/>
      <c r="V267" s="20"/>
      <c r="W267" s="20"/>
      <c r="X267" s="20"/>
      <c r="Y267" s="20"/>
      <c r="Z267" s="21"/>
      <c r="AA267" s="22"/>
      <c r="AB267" s="22"/>
    </row>
    <row r="268" spans="1:28" ht="15.75" customHeight="1" x14ac:dyDescent="0.25">
      <c r="A268" s="29"/>
      <c r="B268" s="30"/>
      <c r="C268" s="31"/>
      <c r="D268" s="31"/>
      <c r="E268" s="30"/>
      <c r="F268" s="30"/>
      <c r="G268" s="33"/>
      <c r="H268" s="30"/>
      <c r="I268" s="30"/>
      <c r="J268" s="30"/>
      <c r="K268" s="34"/>
      <c r="L268" s="20"/>
      <c r="M268" s="20"/>
      <c r="N268" s="20"/>
      <c r="O268" s="20"/>
      <c r="P268" s="20"/>
      <c r="Q268" s="20"/>
      <c r="R268" s="20"/>
      <c r="S268" s="20"/>
      <c r="T268" s="20"/>
      <c r="U268" s="20"/>
      <c r="V268" s="20"/>
      <c r="W268" s="20"/>
      <c r="X268" s="20"/>
      <c r="Y268" s="20"/>
      <c r="Z268" s="21"/>
      <c r="AA268" s="22"/>
      <c r="AB268" s="22"/>
    </row>
    <row r="269" spans="1:28" ht="15.75" customHeight="1" x14ac:dyDescent="0.25">
      <c r="A269" s="29"/>
      <c r="B269" s="30"/>
      <c r="C269" s="31"/>
      <c r="D269" s="31"/>
      <c r="E269" s="30"/>
      <c r="F269" s="30"/>
      <c r="G269" s="33"/>
      <c r="H269" s="30"/>
      <c r="I269" s="30"/>
      <c r="J269" s="30"/>
      <c r="K269" s="34"/>
      <c r="L269" s="20"/>
      <c r="M269" s="20"/>
      <c r="N269" s="20"/>
      <c r="O269" s="20"/>
      <c r="P269" s="20"/>
      <c r="Q269" s="20"/>
      <c r="R269" s="20"/>
      <c r="S269" s="20"/>
      <c r="T269" s="20"/>
      <c r="U269" s="20"/>
      <c r="V269" s="20"/>
      <c r="W269" s="20"/>
      <c r="X269" s="20"/>
      <c r="Y269" s="20"/>
      <c r="Z269" s="21"/>
      <c r="AA269" s="22"/>
      <c r="AB269" s="22"/>
    </row>
    <row r="270" spans="1:28" ht="15.75" customHeight="1" x14ac:dyDescent="0.25">
      <c r="A270" s="29"/>
      <c r="B270" s="30"/>
      <c r="C270" s="31"/>
      <c r="D270" s="31"/>
      <c r="E270" s="30"/>
      <c r="F270" s="30"/>
      <c r="G270" s="33"/>
      <c r="H270" s="30"/>
      <c r="I270" s="30"/>
      <c r="J270" s="30"/>
      <c r="K270" s="34"/>
      <c r="L270" s="20"/>
      <c r="M270" s="20"/>
      <c r="N270" s="20"/>
      <c r="O270" s="20"/>
      <c r="P270" s="20"/>
      <c r="Q270" s="20"/>
      <c r="R270" s="20"/>
      <c r="S270" s="20"/>
      <c r="T270" s="20"/>
      <c r="U270" s="20"/>
      <c r="V270" s="20"/>
      <c r="W270" s="20"/>
      <c r="X270" s="20"/>
      <c r="Y270" s="20"/>
      <c r="Z270" s="21"/>
      <c r="AA270" s="22"/>
      <c r="AB270" s="22"/>
    </row>
    <row r="271" spans="1:28" ht="15.75" customHeight="1" x14ac:dyDescent="0.25">
      <c r="A271" s="36"/>
      <c r="B271" s="37"/>
      <c r="C271" s="38"/>
      <c r="D271" s="38"/>
      <c r="E271" s="37"/>
      <c r="F271" s="37"/>
      <c r="G271" s="40"/>
      <c r="H271" s="37"/>
      <c r="I271" s="37"/>
      <c r="J271" s="37"/>
      <c r="K271" s="41"/>
      <c r="L271" s="20"/>
      <c r="M271" s="20"/>
      <c r="N271" s="20"/>
      <c r="O271" s="20"/>
      <c r="P271" s="20"/>
      <c r="Q271" s="20"/>
      <c r="R271" s="20"/>
      <c r="S271" s="20"/>
      <c r="T271" s="20"/>
      <c r="U271" s="20"/>
      <c r="V271" s="20"/>
      <c r="W271" s="20"/>
      <c r="X271" s="20"/>
      <c r="Y271" s="20"/>
      <c r="Z271" s="21"/>
      <c r="AA271" s="22"/>
      <c r="AB271" s="22"/>
    </row>
    <row r="272" spans="1:28" ht="15.75" customHeight="1" x14ac:dyDescent="0.25">
      <c r="A272" s="42"/>
      <c r="B272" s="42"/>
      <c r="C272" s="43"/>
      <c r="D272" s="43"/>
      <c r="E272" s="42"/>
      <c r="F272" s="42"/>
      <c r="G272" s="44"/>
      <c r="H272" s="42"/>
      <c r="I272" s="42"/>
      <c r="J272" s="42"/>
      <c r="K272" s="42"/>
      <c r="L272" s="20"/>
      <c r="M272" s="20"/>
      <c r="N272" s="20"/>
      <c r="O272" s="20"/>
      <c r="P272" s="20"/>
      <c r="Q272" s="20"/>
      <c r="R272" s="20"/>
      <c r="S272" s="20"/>
      <c r="T272" s="20"/>
      <c r="U272" s="20"/>
      <c r="V272" s="20"/>
      <c r="W272" s="20"/>
      <c r="X272" s="20"/>
      <c r="Y272" s="20"/>
      <c r="Z272" s="21"/>
      <c r="AA272" s="22"/>
      <c r="AB272" s="22"/>
    </row>
    <row r="273" spans="1:28" ht="15.75" customHeight="1" x14ac:dyDescent="0.25">
      <c r="A273" s="42"/>
      <c r="B273" s="42"/>
      <c r="C273" s="43"/>
      <c r="D273" s="43"/>
      <c r="E273" s="42"/>
      <c r="F273" s="42"/>
      <c r="G273" s="44"/>
      <c r="H273" s="42"/>
      <c r="I273" s="42"/>
      <c r="J273" s="42"/>
      <c r="K273" s="42"/>
      <c r="L273" s="20"/>
      <c r="M273" s="20"/>
      <c r="N273" s="20"/>
      <c r="O273" s="20"/>
      <c r="P273" s="20"/>
      <c r="Q273" s="20"/>
      <c r="R273" s="20"/>
      <c r="S273" s="20"/>
      <c r="T273" s="20"/>
      <c r="U273" s="20"/>
      <c r="V273" s="20"/>
      <c r="W273" s="20"/>
      <c r="X273" s="20"/>
      <c r="Y273" s="20"/>
      <c r="Z273" s="21"/>
      <c r="AA273" s="22"/>
      <c r="AB273" s="22"/>
    </row>
    <row r="274" spans="1:28" ht="15.75" customHeight="1" x14ac:dyDescent="0.25">
      <c r="A274" s="42"/>
      <c r="B274" s="42"/>
      <c r="C274" s="43"/>
      <c r="D274" s="43"/>
      <c r="E274" s="42"/>
      <c r="F274" s="42"/>
      <c r="G274" s="44"/>
      <c r="H274" s="42"/>
      <c r="I274" s="42"/>
      <c r="J274" s="42"/>
      <c r="K274" s="42"/>
      <c r="L274" s="20"/>
      <c r="M274" s="20"/>
      <c r="N274" s="20"/>
      <c r="O274" s="20"/>
      <c r="P274" s="20"/>
      <c r="Q274" s="20"/>
      <c r="R274" s="20"/>
      <c r="S274" s="20"/>
      <c r="T274" s="20"/>
      <c r="U274" s="20"/>
      <c r="V274" s="20"/>
      <c r="W274" s="20"/>
      <c r="X274" s="20"/>
      <c r="Y274" s="20"/>
      <c r="Z274" s="21"/>
      <c r="AA274" s="22"/>
      <c r="AB274" s="22"/>
    </row>
    <row r="275" spans="1:28" ht="15.75" customHeight="1" x14ac:dyDescent="0.25">
      <c r="A275" s="42"/>
      <c r="B275" s="42"/>
      <c r="C275" s="43"/>
      <c r="D275" s="43"/>
      <c r="E275" s="42"/>
      <c r="F275" s="42"/>
      <c r="G275" s="44"/>
      <c r="H275" s="42"/>
      <c r="I275" s="42"/>
      <c r="J275" s="42"/>
      <c r="K275" s="42"/>
      <c r="L275" s="20"/>
      <c r="M275" s="20"/>
      <c r="N275" s="20"/>
      <c r="O275" s="20"/>
      <c r="P275" s="20"/>
      <c r="Q275" s="20"/>
      <c r="R275" s="20"/>
      <c r="S275" s="20"/>
      <c r="T275" s="20"/>
      <c r="U275" s="20"/>
      <c r="V275" s="20"/>
      <c r="W275" s="20"/>
      <c r="X275" s="20"/>
      <c r="Y275" s="20"/>
      <c r="Z275" s="21"/>
      <c r="AA275" s="22"/>
      <c r="AB275" s="22"/>
    </row>
    <row r="276" spans="1:28" ht="15.75" customHeight="1" x14ac:dyDescent="0.25">
      <c r="A276" s="42"/>
      <c r="B276" s="42"/>
      <c r="C276" s="43"/>
      <c r="D276" s="43"/>
      <c r="E276" s="42"/>
      <c r="F276" s="42"/>
      <c r="G276" s="44"/>
      <c r="H276" s="42"/>
      <c r="I276" s="42"/>
      <c r="J276" s="42"/>
      <c r="K276" s="42"/>
      <c r="L276" s="20"/>
      <c r="M276" s="20"/>
      <c r="N276" s="20"/>
      <c r="O276" s="20"/>
      <c r="P276" s="20"/>
      <c r="Q276" s="20"/>
      <c r="R276" s="20"/>
      <c r="S276" s="20"/>
      <c r="T276" s="20"/>
      <c r="U276" s="20"/>
      <c r="V276" s="20"/>
      <c r="W276" s="20"/>
      <c r="X276" s="20"/>
      <c r="Y276" s="20"/>
      <c r="Z276" s="21"/>
      <c r="AA276" s="22"/>
      <c r="AB276" s="22"/>
    </row>
    <row r="277" spans="1:28" ht="15.75" customHeight="1" x14ac:dyDescent="0.25">
      <c r="A277" s="42"/>
      <c r="B277" s="42"/>
      <c r="C277" s="43"/>
      <c r="D277" s="43"/>
      <c r="E277" s="42"/>
      <c r="F277" s="42"/>
      <c r="G277" s="44"/>
      <c r="H277" s="42"/>
      <c r="I277" s="42"/>
      <c r="J277" s="42"/>
      <c r="K277" s="42"/>
      <c r="L277" s="20"/>
      <c r="M277" s="20"/>
      <c r="N277" s="20"/>
      <c r="O277" s="20"/>
      <c r="P277" s="20"/>
      <c r="Q277" s="20"/>
      <c r="R277" s="20"/>
      <c r="S277" s="20"/>
      <c r="T277" s="20"/>
      <c r="U277" s="20"/>
      <c r="V277" s="20"/>
      <c r="W277" s="20"/>
      <c r="X277" s="20"/>
      <c r="Y277" s="20"/>
      <c r="Z277" s="21"/>
      <c r="AA277" s="22"/>
      <c r="AB277" s="22"/>
    </row>
    <row r="278" spans="1:28" ht="15.75" customHeight="1" x14ac:dyDescent="0.25">
      <c r="A278" s="42"/>
      <c r="B278" s="42"/>
      <c r="C278" s="43"/>
      <c r="D278" s="43"/>
      <c r="E278" s="42"/>
      <c r="F278" s="42"/>
      <c r="G278" s="44"/>
      <c r="H278" s="42"/>
      <c r="I278" s="42"/>
      <c r="J278" s="42"/>
      <c r="K278" s="42"/>
      <c r="L278" s="20"/>
      <c r="M278" s="20"/>
      <c r="N278" s="20"/>
      <c r="O278" s="20"/>
      <c r="P278" s="20"/>
      <c r="Q278" s="20"/>
      <c r="R278" s="20"/>
      <c r="S278" s="20"/>
      <c r="T278" s="20"/>
      <c r="U278" s="20"/>
      <c r="V278" s="20"/>
      <c r="W278" s="20"/>
      <c r="X278" s="20"/>
      <c r="Y278" s="20"/>
      <c r="Z278" s="21"/>
      <c r="AA278" s="22"/>
      <c r="AB278" s="22"/>
    </row>
    <row r="279" spans="1:28" ht="15.75" customHeight="1" x14ac:dyDescent="0.25">
      <c r="A279" s="42"/>
      <c r="B279" s="42"/>
      <c r="C279" s="43"/>
      <c r="D279" s="43"/>
      <c r="E279" s="42"/>
      <c r="F279" s="42"/>
      <c r="G279" s="44"/>
      <c r="H279" s="42"/>
      <c r="I279" s="42"/>
      <c r="J279" s="42"/>
      <c r="K279" s="42"/>
      <c r="L279" s="20"/>
      <c r="M279" s="20"/>
      <c r="N279" s="20"/>
      <c r="O279" s="20"/>
      <c r="P279" s="20"/>
      <c r="Q279" s="20"/>
      <c r="R279" s="20"/>
      <c r="S279" s="20"/>
      <c r="T279" s="20"/>
      <c r="U279" s="20"/>
      <c r="V279" s="20"/>
      <c r="W279" s="20"/>
      <c r="X279" s="20"/>
      <c r="Y279" s="20"/>
      <c r="Z279" s="21"/>
      <c r="AA279" s="22"/>
      <c r="AB279" s="22"/>
    </row>
    <row r="280" spans="1:28" ht="15.75" customHeight="1" x14ac:dyDescent="0.25">
      <c r="A280" s="42"/>
      <c r="B280" s="42"/>
      <c r="C280" s="43"/>
      <c r="D280" s="43"/>
      <c r="E280" s="42"/>
      <c r="F280" s="42"/>
      <c r="G280" s="44"/>
      <c r="H280" s="42"/>
      <c r="I280" s="42"/>
      <c r="J280" s="42"/>
      <c r="K280" s="42"/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0"/>
      <c r="W280" s="20"/>
      <c r="X280" s="20"/>
      <c r="Y280" s="20"/>
      <c r="Z280" s="21"/>
      <c r="AA280" s="22"/>
      <c r="AB280" s="22"/>
    </row>
    <row r="281" spans="1:28" ht="15.75" customHeight="1" x14ac:dyDescent="0.25">
      <c r="A281" s="42"/>
      <c r="B281" s="42"/>
      <c r="C281" s="43"/>
      <c r="D281" s="43"/>
      <c r="E281" s="42"/>
      <c r="F281" s="42"/>
      <c r="G281" s="44"/>
      <c r="H281" s="42"/>
      <c r="I281" s="42"/>
      <c r="J281" s="42"/>
      <c r="K281" s="42"/>
      <c r="L281" s="20"/>
      <c r="M281" s="20"/>
      <c r="N281" s="20"/>
      <c r="O281" s="20"/>
      <c r="P281" s="20"/>
      <c r="Q281" s="20"/>
      <c r="R281" s="20"/>
      <c r="S281" s="20"/>
      <c r="T281" s="20"/>
      <c r="U281" s="20"/>
      <c r="V281" s="20"/>
      <c r="W281" s="20"/>
      <c r="X281" s="20"/>
      <c r="Y281" s="20"/>
      <c r="Z281" s="21"/>
      <c r="AA281" s="22"/>
      <c r="AB281" s="22"/>
    </row>
    <row r="282" spans="1:28" ht="15.75" customHeight="1" x14ac:dyDescent="0.25">
      <c r="A282" s="42"/>
      <c r="B282" s="42"/>
      <c r="C282" s="43"/>
      <c r="D282" s="43"/>
      <c r="E282" s="42"/>
      <c r="F282" s="42"/>
      <c r="G282" s="44"/>
      <c r="H282" s="42"/>
      <c r="I282" s="42"/>
      <c r="J282" s="42"/>
      <c r="K282" s="42"/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0"/>
      <c r="W282" s="20"/>
      <c r="X282" s="20"/>
      <c r="Y282" s="20"/>
      <c r="Z282" s="21"/>
      <c r="AA282" s="22"/>
      <c r="AB282" s="22"/>
    </row>
    <row r="283" spans="1:28" ht="15.75" customHeight="1" x14ac:dyDescent="0.25">
      <c r="A283" s="42"/>
      <c r="B283" s="42"/>
      <c r="C283" s="43"/>
      <c r="D283" s="43"/>
      <c r="E283" s="42"/>
      <c r="F283" s="42"/>
      <c r="G283" s="44"/>
      <c r="H283" s="42"/>
      <c r="I283" s="42"/>
      <c r="J283" s="42"/>
      <c r="K283" s="42"/>
      <c r="L283" s="20"/>
      <c r="M283" s="20"/>
      <c r="N283" s="20"/>
      <c r="O283" s="20"/>
      <c r="P283" s="20"/>
      <c r="Q283" s="20"/>
      <c r="R283" s="20"/>
      <c r="S283" s="20"/>
      <c r="T283" s="20"/>
      <c r="U283" s="20"/>
      <c r="V283" s="20"/>
      <c r="W283" s="20"/>
      <c r="X283" s="20"/>
      <c r="Y283" s="20"/>
      <c r="Z283" s="21"/>
      <c r="AA283" s="22"/>
      <c r="AB283" s="22"/>
    </row>
    <row r="284" spans="1:28" ht="15.75" customHeight="1" x14ac:dyDescent="0.25">
      <c r="A284" s="42"/>
      <c r="B284" s="42"/>
      <c r="C284" s="43"/>
      <c r="D284" s="43"/>
      <c r="E284" s="42"/>
      <c r="F284" s="42"/>
      <c r="G284" s="44"/>
      <c r="H284" s="42"/>
      <c r="I284" s="42"/>
      <c r="J284" s="42"/>
      <c r="K284" s="42"/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0"/>
      <c r="W284" s="20"/>
      <c r="X284" s="20"/>
      <c r="Y284" s="20"/>
      <c r="Z284" s="21"/>
      <c r="AA284" s="22"/>
      <c r="AB284" s="22"/>
    </row>
    <row r="285" spans="1:28" ht="15.75" customHeight="1" x14ac:dyDescent="0.25">
      <c r="A285" s="42"/>
      <c r="B285" s="42"/>
      <c r="C285" s="43"/>
      <c r="D285" s="43"/>
      <c r="E285" s="42"/>
      <c r="F285" s="42"/>
      <c r="G285" s="44"/>
      <c r="H285" s="42"/>
      <c r="I285" s="42"/>
      <c r="J285" s="42"/>
      <c r="K285" s="42"/>
      <c r="L285" s="20"/>
      <c r="M285" s="20"/>
      <c r="N285" s="20"/>
      <c r="O285" s="20"/>
      <c r="P285" s="20"/>
      <c r="Q285" s="20"/>
      <c r="R285" s="20"/>
      <c r="S285" s="20"/>
      <c r="T285" s="20"/>
      <c r="U285" s="20"/>
      <c r="V285" s="20"/>
      <c r="W285" s="20"/>
      <c r="X285" s="20"/>
      <c r="Y285" s="20"/>
      <c r="Z285" s="21"/>
      <c r="AA285" s="22"/>
      <c r="AB285" s="22"/>
    </row>
    <row r="286" spans="1:28" ht="15.75" customHeight="1" x14ac:dyDescent="0.25">
      <c r="A286" s="42"/>
      <c r="B286" s="42"/>
      <c r="C286" s="43"/>
      <c r="D286" s="43"/>
      <c r="E286" s="42"/>
      <c r="F286" s="42"/>
      <c r="G286" s="44"/>
      <c r="H286" s="42"/>
      <c r="I286" s="42"/>
      <c r="J286" s="42"/>
      <c r="K286" s="42"/>
      <c r="L286" s="20"/>
      <c r="M286" s="20"/>
      <c r="N286" s="20"/>
      <c r="O286" s="20"/>
      <c r="P286" s="20"/>
      <c r="Q286" s="20"/>
      <c r="R286" s="20"/>
      <c r="S286" s="20"/>
      <c r="T286" s="20"/>
      <c r="U286" s="20"/>
      <c r="V286" s="20"/>
      <c r="W286" s="20"/>
      <c r="X286" s="20"/>
      <c r="Y286" s="20"/>
      <c r="Z286" s="21"/>
      <c r="AA286" s="22"/>
      <c r="AB286" s="22"/>
    </row>
    <row r="287" spans="1:28" ht="15.75" customHeight="1" x14ac:dyDescent="0.25">
      <c r="A287" s="42"/>
      <c r="B287" s="42"/>
      <c r="C287" s="43"/>
      <c r="D287" s="43"/>
      <c r="E287" s="42"/>
      <c r="F287" s="42"/>
      <c r="G287" s="44"/>
      <c r="H287" s="42"/>
      <c r="I287" s="42"/>
      <c r="J287" s="42"/>
      <c r="K287" s="42"/>
      <c r="L287" s="20"/>
      <c r="M287" s="20"/>
      <c r="N287" s="20"/>
      <c r="O287" s="20"/>
      <c r="P287" s="20"/>
      <c r="Q287" s="20"/>
      <c r="R287" s="20"/>
      <c r="S287" s="20"/>
      <c r="T287" s="20"/>
      <c r="U287" s="20"/>
      <c r="V287" s="20"/>
      <c r="W287" s="20"/>
      <c r="X287" s="20"/>
      <c r="Y287" s="20"/>
      <c r="Z287" s="21"/>
      <c r="AA287" s="22"/>
      <c r="AB287" s="22"/>
    </row>
    <row r="288" spans="1:28" ht="15.75" customHeight="1" x14ac:dyDescent="0.25">
      <c r="A288" s="42"/>
      <c r="B288" s="42"/>
      <c r="C288" s="43"/>
      <c r="D288" s="43"/>
      <c r="E288" s="42"/>
      <c r="F288" s="42"/>
      <c r="G288" s="44"/>
      <c r="H288" s="42"/>
      <c r="I288" s="42"/>
      <c r="J288" s="42"/>
      <c r="K288" s="42"/>
      <c r="L288" s="20"/>
      <c r="M288" s="20"/>
      <c r="N288" s="20"/>
      <c r="O288" s="20"/>
      <c r="P288" s="20"/>
      <c r="Q288" s="20"/>
      <c r="R288" s="20"/>
      <c r="S288" s="20"/>
      <c r="T288" s="20"/>
      <c r="U288" s="20"/>
      <c r="V288" s="20"/>
      <c r="W288" s="20"/>
      <c r="X288" s="20"/>
      <c r="Y288" s="20"/>
      <c r="Z288" s="21"/>
      <c r="AA288" s="22"/>
      <c r="AB288" s="22"/>
    </row>
    <row r="289" spans="1:28" ht="15.75" customHeight="1" x14ac:dyDescent="0.25">
      <c r="A289" s="42"/>
      <c r="B289" s="42"/>
      <c r="C289" s="43"/>
      <c r="D289" s="43"/>
      <c r="E289" s="42"/>
      <c r="F289" s="42"/>
      <c r="G289" s="44"/>
      <c r="H289" s="42"/>
      <c r="I289" s="42"/>
      <c r="J289" s="42"/>
      <c r="K289" s="42"/>
      <c r="L289" s="20"/>
      <c r="M289" s="20"/>
      <c r="N289" s="20"/>
      <c r="O289" s="20"/>
      <c r="P289" s="20"/>
      <c r="Q289" s="20"/>
      <c r="R289" s="20"/>
      <c r="S289" s="20"/>
      <c r="T289" s="20"/>
      <c r="U289" s="20"/>
      <c r="V289" s="20"/>
      <c r="W289" s="20"/>
      <c r="X289" s="20"/>
      <c r="Y289" s="20"/>
      <c r="Z289" s="21"/>
      <c r="AA289" s="22"/>
      <c r="AB289" s="22"/>
    </row>
    <row r="290" spans="1:28" ht="15.75" customHeight="1" x14ac:dyDescent="0.25">
      <c r="A290" s="42"/>
      <c r="B290" s="42"/>
      <c r="C290" s="43"/>
      <c r="D290" s="43"/>
      <c r="E290" s="42"/>
      <c r="F290" s="42"/>
      <c r="G290" s="44"/>
      <c r="H290" s="42"/>
      <c r="I290" s="42"/>
      <c r="J290" s="42"/>
      <c r="K290" s="42"/>
      <c r="L290" s="20"/>
      <c r="M290" s="20"/>
      <c r="N290" s="20"/>
      <c r="O290" s="20"/>
      <c r="P290" s="20"/>
      <c r="Q290" s="20"/>
      <c r="R290" s="20"/>
      <c r="S290" s="20"/>
      <c r="T290" s="20"/>
      <c r="U290" s="20"/>
      <c r="V290" s="20"/>
      <c r="W290" s="20"/>
      <c r="X290" s="20"/>
      <c r="Y290" s="20"/>
      <c r="Z290" s="21"/>
      <c r="AA290" s="22"/>
      <c r="AB290" s="22"/>
    </row>
    <row r="291" spans="1:28" ht="15.75" customHeight="1" x14ac:dyDescent="0.25">
      <c r="A291" s="42"/>
      <c r="B291" s="42"/>
      <c r="C291" s="43"/>
      <c r="D291" s="43"/>
      <c r="E291" s="42"/>
      <c r="F291" s="42"/>
      <c r="G291" s="44"/>
      <c r="H291" s="42"/>
      <c r="I291" s="42"/>
      <c r="J291" s="42"/>
      <c r="K291" s="42"/>
      <c r="L291" s="20"/>
      <c r="M291" s="20"/>
      <c r="N291" s="20"/>
      <c r="O291" s="20"/>
      <c r="P291" s="20"/>
      <c r="Q291" s="20"/>
      <c r="R291" s="20"/>
      <c r="S291" s="20"/>
      <c r="T291" s="20"/>
      <c r="U291" s="20"/>
      <c r="V291" s="20"/>
      <c r="W291" s="20"/>
      <c r="X291" s="20"/>
      <c r="Y291" s="20"/>
      <c r="Z291" s="21"/>
      <c r="AA291" s="22"/>
      <c r="AB291" s="22"/>
    </row>
    <row r="292" spans="1:28" ht="15.75" customHeight="1" x14ac:dyDescent="0.25">
      <c r="A292" s="42"/>
      <c r="B292" s="42"/>
      <c r="C292" s="43"/>
      <c r="D292" s="43"/>
      <c r="E292" s="42"/>
      <c r="F292" s="42"/>
      <c r="G292" s="44"/>
      <c r="H292" s="42"/>
      <c r="I292" s="42"/>
      <c r="J292" s="42"/>
      <c r="K292" s="42"/>
      <c r="L292" s="20"/>
      <c r="M292" s="20"/>
      <c r="N292" s="20"/>
      <c r="O292" s="20"/>
      <c r="P292" s="20"/>
      <c r="Q292" s="20"/>
      <c r="R292" s="20"/>
      <c r="S292" s="20"/>
      <c r="T292" s="20"/>
      <c r="U292" s="20"/>
      <c r="V292" s="20"/>
      <c r="W292" s="20"/>
      <c r="X292" s="20"/>
      <c r="Y292" s="20"/>
      <c r="Z292" s="21"/>
      <c r="AA292" s="22"/>
      <c r="AB292" s="22"/>
    </row>
    <row r="293" spans="1:28" ht="15.75" customHeight="1" x14ac:dyDescent="0.25">
      <c r="A293" s="42"/>
      <c r="B293" s="42"/>
      <c r="C293" s="43"/>
      <c r="D293" s="43"/>
      <c r="E293" s="42"/>
      <c r="F293" s="42"/>
      <c r="G293" s="44"/>
      <c r="H293" s="42"/>
      <c r="I293" s="42"/>
      <c r="J293" s="42"/>
      <c r="K293" s="42"/>
      <c r="L293" s="20"/>
      <c r="M293" s="20"/>
      <c r="N293" s="20"/>
      <c r="O293" s="20"/>
      <c r="P293" s="20"/>
      <c r="Q293" s="20"/>
      <c r="R293" s="20"/>
      <c r="S293" s="20"/>
      <c r="T293" s="20"/>
      <c r="U293" s="20"/>
      <c r="V293" s="20"/>
      <c r="W293" s="20"/>
      <c r="X293" s="20"/>
      <c r="Y293" s="20"/>
      <c r="Z293" s="21"/>
      <c r="AA293" s="22"/>
      <c r="AB293" s="22"/>
    </row>
    <row r="294" spans="1:28" ht="15.75" customHeight="1" x14ac:dyDescent="0.25">
      <c r="A294" s="42"/>
      <c r="B294" s="42"/>
      <c r="C294" s="43"/>
      <c r="D294" s="43"/>
      <c r="E294" s="42"/>
      <c r="F294" s="42"/>
      <c r="G294" s="44"/>
      <c r="H294" s="42"/>
      <c r="I294" s="42"/>
      <c r="J294" s="42"/>
      <c r="K294" s="42"/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0"/>
      <c r="W294" s="20"/>
      <c r="X294" s="20"/>
      <c r="Y294" s="20"/>
      <c r="Z294" s="21"/>
      <c r="AA294" s="22"/>
      <c r="AB294" s="22"/>
    </row>
    <row r="295" spans="1:28" ht="15.75" customHeight="1" x14ac:dyDescent="0.25">
      <c r="A295" s="42"/>
      <c r="B295" s="42"/>
      <c r="C295" s="43"/>
      <c r="D295" s="43"/>
      <c r="E295" s="42"/>
      <c r="F295" s="42"/>
      <c r="G295" s="44"/>
      <c r="H295" s="42"/>
      <c r="I295" s="42"/>
      <c r="J295" s="42"/>
      <c r="K295" s="42"/>
      <c r="L295" s="20"/>
      <c r="M295" s="20"/>
      <c r="N295" s="20"/>
      <c r="O295" s="20"/>
      <c r="P295" s="20"/>
      <c r="Q295" s="20"/>
      <c r="R295" s="20"/>
      <c r="S295" s="20"/>
      <c r="T295" s="20"/>
      <c r="U295" s="20"/>
      <c r="V295" s="20"/>
      <c r="W295" s="20"/>
      <c r="X295" s="20"/>
      <c r="Y295" s="20"/>
      <c r="Z295" s="21"/>
      <c r="AA295" s="22"/>
      <c r="AB295" s="22"/>
    </row>
    <row r="296" spans="1:28" ht="15.75" customHeight="1" x14ac:dyDescent="0.25">
      <c r="A296" s="42"/>
      <c r="B296" s="42"/>
      <c r="C296" s="43"/>
      <c r="D296" s="43"/>
      <c r="E296" s="42"/>
      <c r="F296" s="42"/>
      <c r="G296" s="44"/>
      <c r="H296" s="42"/>
      <c r="I296" s="42"/>
      <c r="J296" s="42"/>
      <c r="K296" s="42"/>
      <c r="L296" s="20"/>
      <c r="M296" s="20"/>
      <c r="N296" s="20"/>
      <c r="O296" s="20"/>
      <c r="P296" s="20"/>
      <c r="Q296" s="20"/>
      <c r="R296" s="20"/>
      <c r="S296" s="20"/>
      <c r="T296" s="20"/>
      <c r="U296" s="20"/>
      <c r="V296" s="20"/>
      <c r="W296" s="20"/>
      <c r="X296" s="20"/>
      <c r="Y296" s="20"/>
      <c r="Z296" s="21"/>
      <c r="AA296" s="22"/>
      <c r="AB296" s="22"/>
    </row>
    <row r="297" spans="1:28" ht="15.75" customHeight="1" x14ac:dyDescent="0.25">
      <c r="A297" s="42"/>
      <c r="B297" s="42"/>
      <c r="C297" s="43"/>
      <c r="D297" s="43"/>
      <c r="E297" s="42"/>
      <c r="F297" s="42"/>
      <c r="G297" s="44"/>
      <c r="H297" s="42"/>
      <c r="I297" s="42"/>
      <c r="J297" s="42"/>
      <c r="K297" s="42"/>
      <c r="L297" s="20"/>
      <c r="M297" s="20"/>
      <c r="N297" s="20"/>
      <c r="O297" s="20"/>
      <c r="P297" s="20"/>
      <c r="Q297" s="20"/>
      <c r="R297" s="20"/>
      <c r="S297" s="20"/>
      <c r="T297" s="20"/>
      <c r="U297" s="20"/>
      <c r="V297" s="20"/>
      <c r="W297" s="20"/>
      <c r="X297" s="20"/>
      <c r="Y297" s="20"/>
      <c r="Z297" s="21"/>
      <c r="AA297" s="22"/>
      <c r="AB297" s="22"/>
    </row>
    <row r="298" spans="1:28" ht="15.75" customHeight="1" x14ac:dyDescent="0.25">
      <c r="A298" s="42"/>
      <c r="B298" s="42"/>
      <c r="C298" s="43"/>
      <c r="D298" s="43"/>
      <c r="E298" s="42"/>
      <c r="F298" s="42"/>
      <c r="G298" s="44"/>
      <c r="H298" s="42"/>
      <c r="I298" s="42"/>
      <c r="J298" s="42"/>
      <c r="K298" s="42"/>
      <c r="L298" s="20"/>
      <c r="M298" s="20"/>
      <c r="N298" s="20"/>
      <c r="O298" s="20"/>
      <c r="P298" s="20"/>
      <c r="Q298" s="20"/>
      <c r="R298" s="20"/>
      <c r="S298" s="20"/>
      <c r="T298" s="20"/>
      <c r="U298" s="20"/>
      <c r="V298" s="20"/>
      <c r="W298" s="20"/>
      <c r="X298" s="20"/>
      <c r="Y298" s="20"/>
      <c r="Z298" s="21"/>
      <c r="AA298" s="22"/>
      <c r="AB298" s="22"/>
    </row>
    <row r="299" spans="1:28" ht="15.75" customHeight="1" x14ac:dyDescent="0.25">
      <c r="A299" s="42"/>
      <c r="B299" s="42"/>
      <c r="C299" s="43"/>
      <c r="D299" s="43"/>
      <c r="E299" s="42"/>
      <c r="F299" s="42"/>
      <c r="G299" s="44"/>
      <c r="H299" s="42"/>
      <c r="I299" s="42"/>
      <c r="J299" s="42"/>
      <c r="K299" s="42"/>
      <c r="L299" s="20"/>
      <c r="M299" s="20"/>
      <c r="N299" s="20"/>
      <c r="O299" s="20"/>
      <c r="P299" s="20"/>
      <c r="Q299" s="20"/>
      <c r="R299" s="20"/>
      <c r="S299" s="20"/>
      <c r="T299" s="20"/>
      <c r="U299" s="20"/>
      <c r="V299" s="20"/>
      <c r="W299" s="20"/>
      <c r="X299" s="20"/>
      <c r="Y299" s="20"/>
      <c r="Z299" s="21"/>
      <c r="AA299" s="22"/>
      <c r="AB299" s="22"/>
    </row>
    <row r="300" spans="1:28" ht="15.75" customHeight="1" x14ac:dyDescent="0.25">
      <c r="A300" s="42"/>
      <c r="B300" s="42"/>
      <c r="C300" s="43"/>
      <c r="D300" s="43"/>
      <c r="E300" s="42"/>
      <c r="F300" s="42"/>
      <c r="G300" s="44"/>
      <c r="H300" s="42"/>
      <c r="I300" s="42"/>
      <c r="J300" s="42"/>
      <c r="K300" s="42"/>
      <c r="L300" s="20"/>
      <c r="M300" s="20"/>
      <c r="N300" s="20"/>
      <c r="O300" s="20"/>
      <c r="P300" s="20"/>
      <c r="Q300" s="20"/>
      <c r="R300" s="20"/>
      <c r="S300" s="20"/>
      <c r="T300" s="20"/>
      <c r="U300" s="20"/>
      <c r="V300" s="20"/>
      <c r="W300" s="20"/>
      <c r="X300" s="20"/>
      <c r="Y300" s="20"/>
      <c r="Z300" s="21"/>
      <c r="AA300" s="22"/>
      <c r="AB300" s="22"/>
    </row>
    <row r="301" spans="1:28" ht="15.75" customHeight="1" x14ac:dyDescent="0.25">
      <c r="A301" s="42"/>
      <c r="B301" s="42"/>
      <c r="C301" s="43"/>
      <c r="D301" s="43"/>
      <c r="E301" s="42"/>
      <c r="F301" s="42"/>
      <c r="G301" s="44"/>
      <c r="H301" s="42"/>
      <c r="I301" s="42"/>
      <c r="J301" s="42"/>
      <c r="K301" s="42"/>
      <c r="L301" s="20"/>
      <c r="M301" s="20"/>
      <c r="N301" s="20"/>
      <c r="O301" s="20"/>
      <c r="P301" s="20"/>
      <c r="Q301" s="20"/>
      <c r="R301" s="20"/>
      <c r="S301" s="20"/>
      <c r="T301" s="20"/>
      <c r="U301" s="20"/>
      <c r="V301" s="20"/>
      <c r="W301" s="20"/>
      <c r="X301" s="20"/>
      <c r="Y301" s="20"/>
      <c r="Z301" s="21"/>
      <c r="AA301" s="22"/>
      <c r="AB301" s="22"/>
    </row>
    <row r="302" spans="1:28" ht="15.75" customHeight="1" x14ac:dyDescent="0.25">
      <c r="A302" s="42"/>
      <c r="B302" s="42"/>
      <c r="C302" s="43"/>
      <c r="D302" s="43"/>
      <c r="E302" s="42"/>
      <c r="F302" s="42"/>
      <c r="G302" s="44"/>
      <c r="H302" s="42"/>
      <c r="I302" s="42"/>
      <c r="J302" s="42"/>
      <c r="K302" s="42"/>
      <c r="L302" s="20"/>
      <c r="M302" s="20"/>
      <c r="N302" s="20"/>
      <c r="O302" s="20"/>
      <c r="P302" s="20"/>
      <c r="Q302" s="20"/>
      <c r="R302" s="20"/>
      <c r="S302" s="20"/>
      <c r="T302" s="20"/>
      <c r="U302" s="20"/>
      <c r="V302" s="20"/>
      <c r="W302" s="20"/>
      <c r="X302" s="20"/>
      <c r="Y302" s="20"/>
      <c r="Z302" s="21"/>
      <c r="AA302" s="22"/>
      <c r="AB302" s="22"/>
    </row>
    <row r="303" spans="1:28" ht="15.75" customHeight="1" x14ac:dyDescent="0.25">
      <c r="A303" s="42"/>
      <c r="B303" s="42"/>
      <c r="C303" s="43"/>
      <c r="D303" s="43"/>
      <c r="E303" s="42"/>
      <c r="F303" s="42"/>
      <c r="G303" s="44"/>
      <c r="H303" s="42"/>
      <c r="I303" s="42"/>
      <c r="J303" s="42"/>
      <c r="K303" s="42"/>
      <c r="L303" s="20"/>
      <c r="M303" s="20"/>
      <c r="N303" s="20"/>
      <c r="O303" s="20"/>
      <c r="P303" s="20"/>
      <c r="Q303" s="20"/>
      <c r="R303" s="20"/>
      <c r="S303" s="20"/>
      <c r="T303" s="20"/>
      <c r="U303" s="20"/>
      <c r="V303" s="20"/>
      <c r="W303" s="20"/>
      <c r="X303" s="20"/>
      <c r="Y303" s="20"/>
      <c r="Z303" s="21"/>
      <c r="AA303" s="22"/>
      <c r="AB303" s="22"/>
    </row>
    <row r="304" spans="1:28" ht="15.75" customHeight="1" x14ac:dyDescent="0.25">
      <c r="A304" s="42"/>
      <c r="B304" s="42"/>
      <c r="C304" s="43"/>
      <c r="D304" s="43"/>
      <c r="E304" s="42"/>
      <c r="F304" s="42"/>
      <c r="G304" s="44"/>
      <c r="H304" s="42"/>
      <c r="I304" s="42"/>
      <c r="J304" s="42"/>
      <c r="K304" s="42"/>
      <c r="L304" s="20"/>
      <c r="M304" s="20"/>
      <c r="N304" s="20"/>
      <c r="O304" s="20"/>
      <c r="P304" s="20"/>
      <c r="Q304" s="20"/>
      <c r="R304" s="20"/>
      <c r="S304" s="20"/>
      <c r="T304" s="20"/>
      <c r="U304" s="20"/>
      <c r="V304" s="20"/>
      <c r="W304" s="20"/>
      <c r="X304" s="20"/>
      <c r="Y304" s="20"/>
      <c r="Z304" s="21"/>
      <c r="AA304" s="22"/>
      <c r="AB304" s="22"/>
    </row>
    <row r="305" spans="1:28" ht="15.75" customHeight="1" x14ac:dyDescent="0.25">
      <c r="A305" s="42"/>
      <c r="B305" s="42"/>
      <c r="C305" s="43"/>
      <c r="D305" s="43"/>
      <c r="E305" s="42"/>
      <c r="F305" s="42"/>
      <c r="G305" s="44"/>
      <c r="H305" s="42"/>
      <c r="I305" s="42"/>
      <c r="J305" s="42"/>
      <c r="K305" s="42"/>
      <c r="L305" s="20"/>
      <c r="M305" s="20"/>
      <c r="N305" s="20"/>
      <c r="O305" s="20"/>
      <c r="P305" s="20"/>
      <c r="Q305" s="20"/>
      <c r="R305" s="20"/>
      <c r="S305" s="20"/>
      <c r="T305" s="20"/>
      <c r="U305" s="20"/>
      <c r="V305" s="20"/>
      <c r="W305" s="20"/>
      <c r="X305" s="20"/>
      <c r="Y305" s="20"/>
      <c r="Z305" s="21"/>
      <c r="AA305" s="22"/>
      <c r="AB305" s="22"/>
    </row>
    <row r="306" spans="1:28" ht="15.75" customHeight="1" x14ac:dyDescent="0.25">
      <c r="A306" s="42"/>
      <c r="B306" s="42"/>
      <c r="C306" s="43"/>
      <c r="D306" s="43"/>
      <c r="E306" s="42"/>
      <c r="F306" s="42"/>
      <c r="G306" s="44"/>
      <c r="H306" s="42"/>
      <c r="I306" s="42"/>
      <c r="J306" s="42"/>
      <c r="K306" s="42"/>
      <c r="L306" s="20"/>
      <c r="M306" s="20"/>
      <c r="N306" s="20"/>
      <c r="O306" s="20"/>
      <c r="P306" s="20"/>
      <c r="Q306" s="20"/>
      <c r="R306" s="20"/>
      <c r="S306" s="20"/>
      <c r="T306" s="20"/>
      <c r="U306" s="20"/>
      <c r="V306" s="20"/>
      <c r="W306" s="20"/>
      <c r="X306" s="20"/>
      <c r="Y306" s="20"/>
      <c r="Z306" s="21"/>
      <c r="AA306" s="22"/>
      <c r="AB306" s="22"/>
    </row>
    <row r="307" spans="1:28" ht="15.75" customHeight="1" x14ac:dyDescent="0.25">
      <c r="A307" s="42"/>
      <c r="B307" s="42"/>
      <c r="C307" s="43"/>
      <c r="D307" s="43"/>
      <c r="E307" s="42"/>
      <c r="F307" s="42"/>
      <c r="G307" s="44"/>
      <c r="H307" s="42"/>
      <c r="I307" s="42"/>
      <c r="J307" s="42"/>
      <c r="K307" s="42"/>
      <c r="L307" s="20"/>
      <c r="M307" s="20"/>
      <c r="N307" s="20"/>
      <c r="O307" s="20"/>
      <c r="P307" s="20"/>
      <c r="Q307" s="20"/>
      <c r="R307" s="20"/>
      <c r="S307" s="20"/>
      <c r="T307" s="20"/>
      <c r="U307" s="20"/>
      <c r="V307" s="20"/>
      <c r="W307" s="20"/>
      <c r="X307" s="20"/>
      <c r="Y307" s="20"/>
      <c r="Z307" s="21"/>
      <c r="AA307" s="22"/>
      <c r="AB307" s="22"/>
    </row>
    <row r="308" spans="1:28" ht="15.75" customHeight="1" x14ac:dyDescent="0.25">
      <c r="A308" s="42"/>
      <c r="B308" s="42"/>
      <c r="C308" s="43"/>
      <c r="D308" s="43"/>
      <c r="E308" s="42"/>
      <c r="F308" s="42"/>
      <c r="G308" s="44"/>
      <c r="H308" s="42"/>
      <c r="I308" s="42"/>
      <c r="J308" s="42"/>
      <c r="K308" s="42"/>
      <c r="L308" s="20"/>
      <c r="M308" s="20"/>
      <c r="N308" s="20"/>
      <c r="O308" s="20"/>
      <c r="P308" s="20"/>
      <c r="Q308" s="20"/>
      <c r="R308" s="20"/>
      <c r="S308" s="20"/>
      <c r="T308" s="20"/>
      <c r="U308" s="20"/>
      <c r="V308" s="20"/>
      <c r="W308" s="20"/>
      <c r="X308" s="20"/>
      <c r="Y308" s="20"/>
      <c r="Z308" s="21"/>
      <c r="AA308" s="22"/>
      <c r="AB308" s="22"/>
    </row>
    <row r="309" spans="1:28" ht="15.75" customHeight="1" x14ac:dyDescent="0.25">
      <c r="A309" s="45"/>
      <c r="B309" s="45"/>
      <c r="C309" s="46"/>
      <c r="D309" s="46"/>
      <c r="E309" s="45"/>
      <c r="F309" s="45"/>
      <c r="G309" s="47"/>
      <c r="H309" s="45"/>
      <c r="I309" s="45"/>
      <c r="J309" s="45"/>
      <c r="K309" s="45"/>
      <c r="L309" s="20"/>
      <c r="M309" s="20"/>
      <c r="N309" s="20"/>
      <c r="O309" s="20"/>
      <c r="P309" s="20"/>
      <c r="Q309" s="20"/>
      <c r="R309" s="20"/>
      <c r="S309" s="20"/>
      <c r="T309" s="20"/>
      <c r="U309" s="20"/>
      <c r="V309" s="20"/>
      <c r="W309" s="20"/>
      <c r="X309" s="20"/>
      <c r="Y309" s="20"/>
      <c r="Z309" s="21"/>
      <c r="AA309" s="22"/>
      <c r="AB309" s="23"/>
    </row>
    <row r="310" spans="1:28" ht="15.75" customHeight="1" x14ac:dyDescent="0.25">
      <c r="A310" s="45"/>
      <c r="B310" s="45"/>
      <c r="C310" s="46"/>
      <c r="D310" s="46"/>
      <c r="E310" s="45"/>
      <c r="F310" s="45"/>
      <c r="G310" s="47"/>
      <c r="H310" s="45"/>
      <c r="I310" s="45"/>
      <c r="J310" s="45"/>
      <c r="K310" s="45"/>
      <c r="L310" s="20"/>
      <c r="M310" s="20"/>
      <c r="N310" s="20"/>
      <c r="O310" s="20"/>
      <c r="P310" s="20"/>
      <c r="Q310" s="20"/>
      <c r="R310" s="20"/>
      <c r="S310" s="20"/>
      <c r="T310" s="20"/>
      <c r="U310" s="20"/>
      <c r="V310" s="20"/>
      <c r="W310" s="20"/>
      <c r="X310" s="20"/>
      <c r="Y310" s="20"/>
      <c r="Z310" s="21"/>
      <c r="AA310" s="22"/>
      <c r="AB310" s="23"/>
    </row>
    <row r="311" spans="1:28" ht="15.75" customHeight="1" x14ac:dyDescent="0.25">
      <c r="A311" s="45"/>
      <c r="B311" s="45"/>
      <c r="C311" s="46"/>
      <c r="D311" s="46"/>
      <c r="E311" s="45"/>
      <c r="F311" s="45"/>
      <c r="G311" s="47"/>
      <c r="H311" s="45"/>
      <c r="I311" s="45"/>
      <c r="J311" s="45"/>
      <c r="K311" s="45"/>
      <c r="L311" s="20"/>
      <c r="M311" s="20"/>
      <c r="N311" s="20"/>
      <c r="O311" s="20"/>
      <c r="P311" s="20"/>
      <c r="Q311" s="20"/>
      <c r="R311" s="20"/>
      <c r="S311" s="20"/>
      <c r="T311" s="20"/>
      <c r="U311" s="20"/>
      <c r="V311" s="20"/>
      <c r="W311" s="20"/>
      <c r="X311" s="20"/>
      <c r="Y311" s="20"/>
      <c r="Z311" s="21"/>
      <c r="AA311" s="22"/>
      <c r="AB311" s="23"/>
    </row>
    <row r="312" spans="1:28" ht="15.75" customHeight="1" x14ac:dyDescent="0.25">
      <c r="A312" s="45"/>
      <c r="B312" s="45"/>
      <c r="C312" s="46"/>
      <c r="D312" s="46"/>
      <c r="E312" s="45"/>
      <c r="F312" s="45"/>
      <c r="G312" s="47"/>
      <c r="H312" s="45"/>
      <c r="I312" s="45"/>
      <c r="J312" s="45"/>
      <c r="K312" s="45"/>
      <c r="L312" s="20"/>
      <c r="M312" s="20"/>
      <c r="N312" s="20"/>
      <c r="O312" s="20"/>
      <c r="P312" s="20"/>
      <c r="Q312" s="20"/>
      <c r="R312" s="20"/>
      <c r="S312" s="20"/>
      <c r="T312" s="20"/>
      <c r="U312" s="20"/>
      <c r="V312" s="20"/>
      <c r="W312" s="20"/>
      <c r="X312" s="20"/>
      <c r="Y312" s="20"/>
      <c r="Z312" s="21"/>
      <c r="AA312" s="22"/>
      <c r="AB312" s="23"/>
    </row>
    <row r="313" spans="1:28" ht="15.75" customHeight="1" x14ac:dyDescent="0.25">
      <c r="A313" s="45"/>
      <c r="B313" s="45"/>
      <c r="C313" s="46"/>
      <c r="D313" s="46"/>
      <c r="E313" s="45"/>
      <c r="F313" s="45"/>
      <c r="G313" s="47"/>
      <c r="H313" s="45"/>
      <c r="I313" s="45"/>
      <c r="J313" s="45"/>
      <c r="K313" s="45"/>
      <c r="L313" s="20"/>
      <c r="M313" s="20"/>
      <c r="N313" s="20"/>
      <c r="O313" s="20"/>
      <c r="P313" s="20"/>
      <c r="Q313" s="20"/>
      <c r="R313" s="20"/>
      <c r="S313" s="20"/>
      <c r="T313" s="20"/>
      <c r="U313" s="20"/>
      <c r="V313" s="20"/>
      <c r="W313" s="20"/>
      <c r="X313" s="20"/>
      <c r="Y313" s="20"/>
      <c r="Z313" s="21"/>
      <c r="AA313" s="22"/>
      <c r="AB313" s="23"/>
    </row>
    <row r="314" spans="1:28" ht="15.75" customHeight="1" x14ac:dyDescent="0.25">
      <c r="A314" s="45"/>
      <c r="B314" s="45"/>
      <c r="C314" s="46"/>
      <c r="D314" s="46"/>
      <c r="E314" s="45"/>
      <c r="F314" s="45"/>
      <c r="G314" s="47"/>
      <c r="H314" s="45"/>
      <c r="I314" s="45"/>
      <c r="J314" s="45"/>
      <c r="K314" s="45"/>
      <c r="L314" s="20"/>
      <c r="M314" s="20"/>
      <c r="N314" s="20"/>
      <c r="O314" s="20"/>
      <c r="P314" s="20"/>
      <c r="Q314" s="20"/>
      <c r="R314" s="20"/>
      <c r="S314" s="20"/>
      <c r="T314" s="20"/>
      <c r="U314" s="20"/>
      <c r="V314" s="20"/>
      <c r="W314" s="20"/>
      <c r="X314" s="20"/>
      <c r="Y314" s="20"/>
      <c r="Z314" s="21"/>
      <c r="AA314" s="22"/>
      <c r="AB314" s="23"/>
    </row>
    <row r="315" spans="1:28" ht="15.75" customHeight="1" x14ac:dyDescent="0.25">
      <c r="A315" s="45"/>
      <c r="B315" s="45"/>
      <c r="C315" s="46"/>
      <c r="D315" s="46"/>
      <c r="E315" s="45"/>
      <c r="F315" s="45"/>
      <c r="G315" s="47"/>
      <c r="H315" s="45"/>
      <c r="I315" s="45"/>
      <c r="J315" s="45"/>
      <c r="K315" s="45"/>
      <c r="L315" s="20"/>
      <c r="M315" s="20"/>
      <c r="N315" s="20"/>
      <c r="O315" s="20"/>
      <c r="P315" s="20"/>
      <c r="Q315" s="20"/>
      <c r="R315" s="20"/>
      <c r="S315" s="20"/>
      <c r="T315" s="20"/>
      <c r="U315" s="20"/>
      <c r="V315" s="20"/>
      <c r="W315" s="20"/>
      <c r="X315" s="20"/>
      <c r="Y315" s="20"/>
      <c r="Z315" s="21"/>
      <c r="AA315" s="22"/>
      <c r="AB315" s="23"/>
    </row>
    <row r="316" spans="1:28" ht="15.75" customHeight="1" x14ac:dyDescent="0.25">
      <c r="A316" s="45"/>
      <c r="B316" s="45"/>
      <c r="C316" s="46"/>
      <c r="D316" s="46"/>
      <c r="E316" s="45"/>
      <c r="F316" s="45"/>
      <c r="G316" s="47"/>
      <c r="H316" s="45"/>
      <c r="I316" s="45"/>
      <c r="J316" s="45"/>
      <c r="K316" s="45"/>
      <c r="L316" s="20"/>
      <c r="M316" s="20"/>
      <c r="N316" s="20"/>
      <c r="O316" s="20"/>
      <c r="P316" s="20"/>
      <c r="Q316" s="20"/>
      <c r="R316" s="20"/>
      <c r="S316" s="20"/>
      <c r="T316" s="20"/>
      <c r="U316" s="20"/>
      <c r="V316" s="20"/>
      <c r="W316" s="20"/>
      <c r="X316" s="20"/>
      <c r="Y316" s="20"/>
      <c r="Z316" s="21"/>
      <c r="AA316" s="22"/>
      <c r="AB316" s="23"/>
    </row>
    <row r="317" spans="1:28" ht="15.75" customHeight="1" x14ac:dyDescent="0.25">
      <c r="A317" s="45"/>
      <c r="B317" s="45"/>
      <c r="C317" s="46"/>
      <c r="D317" s="46"/>
      <c r="E317" s="45"/>
      <c r="F317" s="45"/>
      <c r="G317" s="47"/>
      <c r="H317" s="45"/>
      <c r="I317" s="45"/>
      <c r="J317" s="45"/>
      <c r="K317" s="45"/>
      <c r="L317" s="20"/>
      <c r="M317" s="20"/>
      <c r="N317" s="20"/>
      <c r="O317" s="20"/>
      <c r="P317" s="20"/>
      <c r="Q317" s="20"/>
      <c r="R317" s="20"/>
      <c r="S317" s="20"/>
      <c r="T317" s="20"/>
      <c r="U317" s="20"/>
      <c r="V317" s="20"/>
      <c r="W317" s="20"/>
      <c r="X317" s="20"/>
      <c r="Y317" s="20"/>
      <c r="Z317" s="21"/>
      <c r="AA317" s="22"/>
      <c r="AB317" s="23"/>
    </row>
    <row r="318" spans="1:28" ht="15.75" customHeight="1" x14ac:dyDescent="0.25">
      <c r="A318" s="45"/>
      <c r="B318" s="45"/>
      <c r="C318" s="46"/>
      <c r="D318" s="46"/>
      <c r="E318" s="45"/>
      <c r="F318" s="45"/>
      <c r="G318" s="47"/>
      <c r="H318" s="45"/>
      <c r="I318" s="45"/>
      <c r="J318" s="45"/>
      <c r="K318" s="45"/>
      <c r="L318" s="20"/>
      <c r="M318" s="20"/>
      <c r="N318" s="20"/>
      <c r="O318" s="20"/>
      <c r="P318" s="20"/>
      <c r="Q318" s="20"/>
      <c r="R318" s="20"/>
      <c r="S318" s="20"/>
      <c r="T318" s="20"/>
      <c r="U318" s="20"/>
      <c r="V318" s="20"/>
      <c r="W318" s="20"/>
      <c r="X318" s="20"/>
      <c r="Y318" s="20"/>
      <c r="Z318" s="21"/>
      <c r="AA318" s="22"/>
      <c r="AB318" s="23"/>
    </row>
    <row r="319" spans="1:28" ht="15.75" customHeight="1" x14ac:dyDescent="0.25">
      <c r="A319" s="45"/>
      <c r="B319" s="45"/>
      <c r="C319" s="46"/>
      <c r="D319" s="46"/>
      <c r="E319" s="45"/>
      <c r="F319" s="45"/>
      <c r="G319" s="47"/>
      <c r="H319" s="45"/>
      <c r="I319" s="45"/>
      <c r="J319" s="45"/>
      <c r="K319" s="45"/>
      <c r="L319" s="20"/>
      <c r="M319" s="20"/>
      <c r="N319" s="20"/>
      <c r="O319" s="20"/>
      <c r="P319" s="20"/>
      <c r="Q319" s="20"/>
      <c r="R319" s="20"/>
      <c r="S319" s="20"/>
      <c r="T319" s="20"/>
      <c r="U319" s="20"/>
      <c r="V319" s="20"/>
      <c r="W319" s="20"/>
      <c r="X319" s="20"/>
      <c r="Y319" s="20"/>
      <c r="Z319" s="21"/>
      <c r="AA319" s="22"/>
      <c r="AB319" s="23"/>
    </row>
    <row r="320" spans="1:28" ht="15.75" customHeight="1" x14ac:dyDescent="0.25">
      <c r="A320" s="45"/>
      <c r="B320" s="45"/>
      <c r="C320" s="46"/>
      <c r="D320" s="46"/>
      <c r="E320" s="45"/>
      <c r="F320" s="45"/>
      <c r="G320" s="47"/>
      <c r="H320" s="45"/>
      <c r="I320" s="45"/>
      <c r="J320" s="45"/>
      <c r="K320" s="45"/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1"/>
      <c r="AA320" s="22"/>
      <c r="AB320" s="23"/>
    </row>
    <row r="321" spans="1:28" ht="15.75" customHeight="1" x14ac:dyDescent="0.25">
      <c r="A321" s="45"/>
      <c r="B321" s="45"/>
      <c r="C321" s="46"/>
      <c r="D321" s="46"/>
      <c r="E321" s="45"/>
      <c r="F321" s="45"/>
      <c r="G321" s="47"/>
      <c r="H321" s="45"/>
      <c r="I321" s="45"/>
      <c r="J321" s="45"/>
      <c r="K321" s="45"/>
      <c r="L321" s="20"/>
      <c r="M321" s="20"/>
      <c r="N321" s="20"/>
      <c r="O321" s="20"/>
      <c r="P321" s="20"/>
      <c r="Q321" s="20"/>
      <c r="R321" s="20"/>
      <c r="S321" s="20"/>
      <c r="T321" s="20"/>
      <c r="U321" s="20"/>
      <c r="V321" s="20"/>
      <c r="W321" s="20"/>
      <c r="X321" s="20"/>
      <c r="Y321" s="20"/>
      <c r="Z321" s="21"/>
      <c r="AA321" s="22"/>
      <c r="AB321" s="23"/>
    </row>
    <row r="322" spans="1:28" ht="15.75" customHeight="1" x14ac:dyDescent="0.25">
      <c r="A322" s="45"/>
      <c r="B322" s="45"/>
      <c r="C322" s="46"/>
      <c r="D322" s="46"/>
      <c r="E322" s="45"/>
      <c r="F322" s="45"/>
      <c r="G322" s="47"/>
      <c r="H322" s="45"/>
      <c r="I322" s="45"/>
      <c r="J322" s="45"/>
      <c r="K322" s="45"/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0"/>
      <c r="W322" s="20"/>
      <c r="X322" s="20"/>
      <c r="Y322" s="20"/>
      <c r="Z322" s="21"/>
      <c r="AA322" s="22"/>
      <c r="AB322" s="23"/>
    </row>
    <row r="323" spans="1:28" ht="15.75" customHeight="1" x14ac:dyDescent="0.25">
      <c r="A323" s="45"/>
      <c r="B323" s="45"/>
      <c r="C323" s="46"/>
      <c r="D323" s="46"/>
      <c r="E323" s="45"/>
      <c r="F323" s="45"/>
      <c r="G323" s="47"/>
      <c r="H323" s="45"/>
      <c r="I323" s="45"/>
      <c r="J323" s="45"/>
      <c r="K323" s="45"/>
      <c r="L323" s="20"/>
      <c r="M323" s="20"/>
      <c r="N323" s="20"/>
      <c r="O323" s="20"/>
      <c r="P323" s="20"/>
      <c r="Q323" s="20"/>
      <c r="R323" s="20"/>
      <c r="S323" s="20"/>
      <c r="T323" s="20"/>
      <c r="U323" s="20"/>
      <c r="V323" s="20"/>
      <c r="W323" s="20"/>
      <c r="X323" s="20"/>
      <c r="Y323" s="20"/>
      <c r="Z323" s="21"/>
      <c r="AA323" s="22"/>
      <c r="AB323" s="23"/>
    </row>
    <row r="324" spans="1:28" ht="15.75" customHeight="1" x14ac:dyDescent="0.25">
      <c r="A324" s="45"/>
      <c r="B324" s="45"/>
      <c r="C324" s="46"/>
      <c r="D324" s="46"/>
      <c r="E324" s="45"/>
      <c r="F324" s="45"/>
      <c r="G324" s="47"/>
      <c r="H324" s="45"/>
      <c r="I324" s="45"/>
      <c r="J324" s="45"/>
      <c r="K324" s="45"/>
      <c r="L324" s="20"/>
      <c r="M324" s="20"/>
      <c r="N324" s="20"/>
      <c r="O324" s="20"/>
      <c r="P324" s="20"/>
      <c r="Q324" s="20"/>
      <c r="R324" s="20"/>
      <c r="S324" s="20"/>
      <c r="T324" s="20"/>
      <c r="U324" s="20"/>
      <c r="V324" s="20"/>
      <c r="W324" s="20"/>
      <c r="X324" s="20"/>
      <c r="Y324" s="20"/>
      <c r="Z324" s="21"/>
      <c r="AA324" s="22"/>
      <c r="AB324" s="23"/>
    </row>
    <row r="325" spans="1:28" ht="15.75" customHeight="1" x14ac:dyDescent="0.25">
      <c r="A325" s="45"/>
      <c r="B325" s="45"/>
      <c r="C325" s="46"/>
      <c r="D325" s="46"/>
      <c r="E325" s="45"/>
      <c r="F325" s="45"/>
      <c r="G325" s="47"/>
      <c r="H325" s="45"/>
      <c r="I325" s="45"/>
      <c r="J325" s="45"/>
      <c r="K325" s="45"/>
      <c r="L325" s="20"/>
      <c r="M325" s="20"/>
      <c r="N325" s="20"/>
      <c r="O325" s="20"/>
      <c r="P325" s="20"/>
      <c r="Q325" s="20"/>
      <c r="R325" s="20"/>
      <c r="S325" s="20"/>
      <c r="T325" s="20"/>
      <c r="U325" s="20"/>
      <c r="V325" s="20"/>
      <c r="W325" s="20"/>
      <c r="X325" s="20"/>
      <c r="Y325" s="20"/>
      <c r="Z325" s="21"/>
      <c r="AA325" s="22"/>
      <c r="AB325" s="23"/>
    </row>
    <row r="326" spans="1:28" ht="15.75" customHeight="1" x14ac:dyDescent="0.25">
      <c r="A326" s="45"/>
      <c r="B326" s="45"/>
      <c r="C326" s="46"/>
      <c r="D326" s="46"/>
      <c r="E326" s="45"/>
      <c r="F326" s="45"/>
      <c r="G326" s="47"/>
      <c r="H326" s="45"/>
      <c r="I326" s="45"/>
      <c r="J326" s="45"/>
      <c r="K326" s="45"/>
      <c r="L326" s="20"/>
      <c r="M326" s="20"/>
      <c r="N326" s="20"/>
      <c r="O326" s="20"/>
      <c r="P326" s="20"/>
      <c r="Q326" s="20"/>
      <c r="R326" s="20"/>
      <c r="S326" s="20"/>
      <c r="T326" s="20"/>
      <c r="U326" s="20"/>
      <c r="V326" s="20"/>
      <c r="W326" s="20"/>
      <c r="X326" s="20"/>
      <c r="Y326" s="20"/>
      <c r="Z326" s="21"/>
      <c r="AA326" s="22"/>
      <c r="AB326" s="23"/>
    </row>
    <row r="327" spans="1:28" ht="15.75" customHeight="1" x14ac:dyDescent="0.25">
      <c r="A327" s="45"/>
      <c r="B327" s="45"/>
      <c r="C327" s="46"/>
      <c r="D327" s="46"/>
      <c r="E327" s="45"/>
      <c r="F327" s="45"/>
      <c r="G327" s="47"/>
      <c r="H327" s="45"/>
      <c r="I327" s="45"/>
      <c r="J327" s="45"/>
      <c r="K327" s="45"/>
      <c r="L327" s="20"/>
      <c r="M327" s="20"/>
      <c r="N327" s="20"/>
      <c r="O327" s="20"/>
      <c r="P327" s="20"/>
      <c r="Q327" s="20"/>
      <c r="R327" s="20"/>
      <c r="S327" s="20"/>
      <c r="T327" s="20"/>
      <c r="U327" s="20"/>
      <c r="V327" s="20"/>
      <c r="W327" s="20"/>
      <c r="X327" s="20"/>
      <c r="Y327" s="20"/>
      <c r="Z327" s="21"/>
      <c r="AA327" s="22"/>
      <c r="AB327" s="23"/>
    </row>
    <row r="328" spans="1:28" ht="15.75" customHeight="1" x14ac:dyDescent="0.25">
      <c r="A328" s="45"/>
      <c r="B328" s="45"/>
      <c r="C328" s="46"/>
      <c r="D328" s="46"/>
      <c r="E328" s="45"/>
      <c r="F328" s="45"/>
      <c r="G328" s="47"/>
      <c r="H328" s="45"/>
      <c r="I328" s="45"/>
      <c r="J328" s="45"/>
      <c r="K328" s="45"/>
      <c r="L328" s="20"/>
      <c r="M328" s="20"/>
      <c r="N328" s="20"/>
      <c r="O328" s="20"/>
      <c r="P328" s="20"/>
      <c r="Q328" s="20"/>
      <c r="R328" s="20"/>
      <c r="S328" s="20"/>
      <c r="T328" s="20"/>
      <c r="U328" s="20"/>
      <c r="V328" s="20"/>
      <c r="W328" s="20"/>
      <c r="X328" s="20"/>
      <c r="Y328" s="20"/>
      <c r="Z328" s="21"/>
      <c r="AA328" s="22"/>
      <c r="AB328" s="23"/>
    </row>
    <row r="329" spans="1:28" ht="15.75" customHeight="1" x14ac:dyDescent="0.25">
      <c r="A329" s="45"/>
      <c r="B329" s="45"/>
      <c r="C329" s="46"/>
      <c r="D329" s="46"/>
      <c r="E329" s="45"/>
      <c r="F329" s="45"/>
      <c r="G329" s="47"/>
      <c r="H329" s="45"/>
      <c r="I329" s="45"/>
      <c r="J329" s="45"/>
      <c r="K329" s="45"/>
      <c r="L329" s="20"/>
      <c r="M329" s="20"/>
      <c r="N329" s="20"/>
      <c r="O329" s="20"/>
      <c r="P329" s="20"/>
      <c r="Q329" s="20"/>
      <c r="R329" s="20"/>
      <c r="S329" s="20"/>
      <c r="T329" s="20"/>
      <c r="U329" s="20"/>
      <c r="V329" s="20"/>
      <c r="W329" s="20"/>
      <c r="X329" s="20"/>
      <c r="Y329" s="20"/>
      <c r="Z329" s="21"/>
      <c r="AA329" s="22"/>
      <c r="AB329" s="23"/>
    </row>
    <row r="330" spans="1:28" ht="15.75" customHeight="1" x14ac:dyDescent="0.25">
      <c r="A330" s="45"/>
      <c r="B330" s="45"/>
      <c r="C330" s="46"/>
      <c r="D330" s="46"/>
      <c r="E330" s="45"/>
      <c r="F330" s="45"/>
      <c r="G330" s="47"/>
      <c r="H330" s="45"/>
      <c r="I330" s="45"/>
      <c r="J330" s="45"/>
      <c r="K330" s="45"/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0"/>
      <c r="W330" s="20"/>
      <c r="X330" s="20"/>
      <c r="Y330" s="20"/>
      <c r="Z330" s="21"/>
      <c r="AA330" s="22"/>
      <c r="AB330" s="23"/>
    </row>
    <row r="331" spans="1:28" ht="15.75" customHeight="1" x14ac:dyDescent="0.25">
      <c r="A331" s="45"/>
      <c r="B331" s="45"/>
      <c r="C331" s="46"/>
      <c r="D331" s="46"/>
      <c r="E331" s="45"/>
      <c r="F331" s="45"/>
      <c r="G331" s="47"/>
      <c r="H331" s="45"/>
      <c r="I331" s="45"/>
      <c r="J331" s="45"/>
      <c r="K331" s="45"/>
      <c r="L331" s="20"/>
      <c r="M331" s="20"/>
      <c r="N331" s="20"/>
      <c r="O331" s="20"/>
      <c r="P331" s="20"/>
      <c r="Q331" s="20"/>
      <c r="R331" s="20"/>
      <c r="S331" s="20"/>
      <c r="T331" s="20"/>
      <c r="U331" s="20"/>
      <c r="V331" s="20"/>
      <c r="W331" s="20"/>
      <c r="X331" s="20"/>
      <c r="Y331" s="20"/>
      <c r="Z331" s="21"/>
      <c r="AA331" s="22"/>
      <c r="AB331" s="23"/>
    </row>
    <row r="332" spans="1:28" ht="15.75" customHeight="1" x14ac:dyDescent="0.25">
      <c r="A332" s="45"/>
      <c r="B332" s="45"/>
      <c r="C332" s="46"/>
      <c r="D332" s="46"/>
      <c r="E332" s="45"/>
      <c r="F332" s="45"/>
      <c r="G332" s="47"/>
      <c r="H332" s="45"/>
      <c r="I332" s="45"/>
      <c r="J332" s="45"/>
      <c r="K332" s="45"/>
      <c r="L332" s="20"/>
      <c r="M332" s="20"/>
      <c r="N332" s="20"/>
      <c r="O332" s="20"/>
      <c r="P332" s="20"/>
      <c r="Q332" s="20"/>
      <c r="R332" s="20"/>
      <c r="S332" s="20"/>
      <c r="T332" s="20"/>
      <c r="U332" s="20"/>
      <c r="V332" s="20"/>
      <c r="W332" s="20"/>
      <c r="X332" s="20"/>
      <c r="Y332" s="20"/>
      <c r="Z332" s="21"/>
      <c r="AA332" s="22"/>
      <c r="AB332" s="23"/>
    </row>
    <row r="333" spans="1:28" ht="15.75" customHeight="1" x14ac:dyDescent="0.25">
      <c r="A333" s="45"/>
      <c r="B333" s="45"/>
      <c r="C333" s="46"/>
      <c r="D333" s="46"/>
      <c r="E333" s="45"/>
      <c r="F333" s="45"/>
      <c r="G333" s="47"/>
      <c r="H333" s="45"/>
      <c r="I333" s="45"/>
      <c r="J333" s="45"/>
      <c r="K333" s="45"/>
      <c r="L333" s="20"/>
      <c r="M333" s="20"/>
      <c r="N333" s="20"/>
      <c r="O333" s="20"/>
      <c r="P333" s="20"/>
      <c r="Q333" s="20"/>
      <c r="R333" s="20"/>
      <c r="S333" s="20"/>
      <c r="T333" s="20"/>
      <c r="U333" s="20"/>
      <c r="V333" s="20"/>
      <c r="W333" s="20"/>
      <c r="X333" s="20"/>
      <c r="Y333" s="20"/>
      <c r="Z333" s="21"/>
      <c r="AA333" s="22"/>
      <c r="AB333" s="23"/>
    </row>
    <row r="334" spans="1:28" ht="15.75" customHeight="1" x14ac:dyDescent="0.25">
      <c r="A334" s="45"/>
      <c r="B334" s="45"/>
      <c r="C334" s="46"/>
      <c r="D334" s="46"/>
      <c r="E334" s="45"/>
      <c r="F334" s="45"/>
      <c r="G334" s="47"/>
      <c r="H334" s="45"/>
      <c r="I334" s="45"/>
      <c r="J334" s="45"/>
      <c r="K334" s="45"/>
      <c r="L334" s="20"/>
      <c r="M334" s="20"/>
      <c r="N334" s="20"/>
      <c r="O334" s="20"/>
      <c r="P334" s="20"/>
      <c r="Q334" s="20"/>
      <c r="R334" s="20"/>
      <c r="S334" s="20"/>
      <c r="T334" s="20"/>
      <c r="U334" s="20"/>
      <c r="V334" s="20"/>
      <c r="W334" s="20"/>
      <c r="X334" s="20"/>
      <c r="Y334" s="20"/>
      <c r="Z334" s="21"/>
      <c r="AA334" s="22"/>
      <c r="AB334" s="23"/>
    </row>
    <row r="335" spans="1:28" ht="15.75" customHeight="1" x14ac:dyDescent="0.25">
      <c r="A335" s="45"/>
      <c r="B335" s="45"/>
      <c r="C335" s="46"/>
      <c r="D335" s="46"/>
      <c r="E335" s="45"/>
      <c r="F335" s="45"/>
      <c r="G335" s="47"/>
      <c r="H335" s="45"/>
      <c r="I335" s="45"/>
      <c r="J335" s="45"/>
      <c r="K335" s="45"/>
      <c r="L335" s="20"/>
      <c r="M335" s="20"/>
      <c r="N335" s="20"/>
      <c r="O335" s="20"/>
      <c r="P335" s="20"/>
      <c r="Q335" s="20"/>
      <c r="R335" s="20"/>
      <c r="S335" s="20"/>
      <c r="T335" s="20"/>
      <c r="U335" s="20"/>
      <c r="V335" s="20"/>
      <c r="W335" s="20"/>
      <c r="X335" s="20"/>
      <c r="Y335" s="20"/>
      <c r="Z335" s="21"/>
      <c r="AA335" s="22"/>
      <c r="AB335" s="23"/>
    </row>
    <row r="336" spans="1:28" ht="15.75" customHeight="1" x14ac:dyDescent="0.25">
      <c r="A336" s="45"/>
      <c r="B336" s="45"/>
      <c r="C336" s="46"/>
      <c r="D336" s="46"/>
      <c r="E336" s="45"/>
      <c r="F336" s="45"/>
      <c r="G336" s="47"/>
      <c r="H336" s="45"/>
      <c r="I336" s="45"/>
      <c r="J336" s="45"/>
      <c r="K336" s="45"/>
      <c r="L336" s="20"/>
      <c r="M336" s="20"/>
      <c r="N336" s="20"/>
      <c r="O336" s="20"/>
      <c r="P336" s="20"/>
      <c r="Q336" s="20"/>
      <c r="R336" s="20"/>
      <c r="S336" s="20"/>
      <c r="T336" s="20"/>
      <c r="U336" s="20"/>
      <c r="V336" s="20"/>
      <c r="W336" s="20"/>
      <c r="X336" s="20"/>
      <c r="Y336" s="20"/>
      <c r="Z336" s="21"/>
      <c r="AA336" s="22"/>
      <c r="AB336" s="23"/>
    </row>
    <row r="337" spans="1:28" ht="15.75" customHeight="1" x14ac:dyDescent="0.25">
      <c r="A337" s="45"/>
      <c r="B337" s="45"/>
      <c r="C337" s="46"/>
      <c r="D337" s="46"/>
      <c r="E337" s="45"/>
      <c r="F337" s="45"/>
      <c r="G337" s="47"/>
      <c r="H337" s="45"/>
      <c r="I337" s="45"/>
      <c r="J337" s="45"/>
      <c r="K337" s="45"/>
      <c r="L337" s="20"/>
      <c r="M337" s="20"/>
      <c r="N337" s="20"/>
      <c r="O337" s="20"/>
      <c r="P337" s="20"/>
      <c r="Q337" s="20"/>
      <c r="R337" s="20"/>
      <c r="S337" s="20"/>
      <c r="T337" s="20"/>
      <c r="U337" s="20"/>
      <c r="V337" s="20"/>
      <c r="W337" s="20"/>
      <c r="X337" s="20"/>
      <c r="Y337" s="20"/>
      <c r="Z337" s="21"/>
      <c r="AA337" s="22"/>
      <c r="AB337" s="23"/>
    </row>
    <row r="338" spans="1:28" ht="15.75" customHeight="1" x14ac:dyDescent="0.25">
      <c r="A338" s="45"/>
      <c r="B338" s="45"/>
      <c r="C338" s="46"/>
      <c r="D338" s="46"/>
      <c r="E338" s="45"/>
      <c r="F338" s="45"/>
      <c r="G338" s="47"/>
      <c r="H338" s="45"/>
      <c r="I338" s="45"/>
      <c r="J338" s="45"/>
      <c r="K338" s="45"/>
      <c r="L338" s="20"/>
      <c r="M338" s="20"/>
      <c r="N338" s="20"/>
      <c r="O338" s="20"/>
      <c r="P338" s="20"/>
      <c r="Q338" s="20"/>
      <c r="R338" s="20"/>
      <c r="S338" s="20"/>
      <c r="T338" s="20"/>
      <c r="U338" s="20"/>
      <c r="V338" s="20"/>
      <c r="W338" s="20"/>
      <c r="X338" s="20"/>
      <c r="Y338" s="20"/>
      <c r="Z338" s="21"/>
      <c r="AA338" s="22"/>
      <c r="AB338" s="23"/>
    </row>
    <row r="339" spans="1:28" ht="15.75" customHeight="1" x14ac:dyDescent="0.25">
      <c r="A339" s="45"/>
      <c r="B339" s="45"/>
      <c r="C339" s="46"/>
      <c r="D339" s="46"/>
      <c r="E339" s="45"/>
      <c r="F339" s="45"/>
      <c r="G339" s="47"/>
      <c r="H339" s="45"/>
      <c r="I339" s="45"/>
      <c r="J339" s="45"/>
      <c r="K339" s="45"/>
      <c r="L339" s="20"/>
      <c r="M339" s="20"/>
      <c r="N339" s="20"/>
      <c r="O339" s="20"/>
      <c r="P339" s="20"/>
      <c r="Q339" s="20"/>
      <c r="R339" s="20"/>
      <c r="S339" s="20"/>
      <c r="T339" s="20"/>
      <c r="U339" s="20"/>
      <c r="V339" s="20"/>
      <c r="W339" s="20"/>
      <c r="X339" s="20"/>
      <c r="Y339" s="20"/>
      <c r="Z339" s="21"/>
      <c r="AA339" s="22"/>
      <c r="AB339" s="23"/>
    </row>
    <row r="340" spans="1:28" ht="15.75" customHeight="1" x14ac:dyDescent="0.25">
      <c r="A340" s="45"/>
      <c r="B340" s="45"/>
      <c r="C340" s="46"/>
      <c r="D340" s="46"/>
      <c r="E340" s="45"/>
      <c r="F340" s="45"/>
      <c r="G340" s="47"/>
      <c r="H340" s="45"/>
      <c r="I340" s="45"/>
      <c r="J340" s="45"/>
      <c r="K340" s="45"/>
      <c r="L340" s="20"/>
      <c r="M340" s="20"/>
      <c r="N340" s="20"/>
      <c r="O340" s="20"/>
      <c r="P340" s="20"/>
      <c r="Q340" s="20"/>
      <c r="R340" s="20"/>
      <c r="S340" s="20"/>
      <c r="T340" s="20"/>
      <c r="U340" s="20"/>
      <c r="V340" s="20"/>
      <c r="W340" s="20"/>
      <c r="X340" s="20"/>
      <c r="Y340" s="20"/>
      <c r="Z340" s="21"/>
      <c r="AA340" s="22"/>
      <c r="AB340" s="23"/>
    </row>
    <row r="341" spans="1:28" ht="15.75" customHeight="1" x14ac:dyDescent="0.25">
      <c r="A341" s="45"/>
      <c r="B341" s="45"/>
      <c r="C341" s="46"/>
      <c r="D341" s="46"/>
      <c r="E341" s="45"/>
      <c r="F341" s="45"/>
      <c r="G341" s="47"/>
      <c r="H341" s="45"/>
      <c r="I341" s="45"/>
      <c r="J341" s="45"/>
      <c r="K341" s="45"/>
      <c r="L341" s="20"/>
      <c r="M341" s="20"/>
      <c r="N341" s="20"/>
      <c r="O341" s="20"/>
      <c r="P341" s="20"/>
      <c r="Q341" s="20"/>
      <c r="R341" s="20"/>
      <c r="S341" s="20"/>
      <c r="T341" s="20"/>
      <c r="U341" s="20"/>
      <c r="V341" s="20"/>
      <c r="W341" s="20"/>
      <c r="X341" s="20"/>
      <c r="Y341" s="20"/>
      <c r="Z341" s="21"/>
      <c r="AA341" s="22"/>
      <c r="AB341" s="23"/>
    </row>
    <row r="342" spans="1:28" ht="15.75" customHeight="1" x14ac:dyDescent="0.25">
      <c r="A342" s="45"/>
      <c r="B342" s="45"/>
      <c r="C342" s="46"/>
      <c r="D342" s="46"/>
      <c r="E342" s="45"/>
      <c r="F342" s="45"/>
      <c r="G342" s="47"/>
      <c r="H342" s="45"/>
      <c r="I342" s="45"/>
      <c r="J342" s="45"/>
      <c r="K342" s="45"/>
      <c r="L342" s="20"/>
      <c r="M342" s="20"/>
      <c r="N342" s="20"/>
      <c r="O342" s="20"/>
      <c r="P342" s="20"/>
      <c r="Q342" s="20"/>
      <c r="R342" s="20"/>
      <c r="S342" s="20"/>
      <c r="T342" s="20"/>
      <c r="U342" s="20"/>
      <c r="V342" s="20"/>
      <c r="W342" s="20"/>
      <c r="X342" s="20"/>
      <c r="Y342" s="20"/>
      <c r="Z342" s="21"/>
      <c r="AA342" s="22"/>
      <c r="AB342" s="23"/>
    </row>
    <row r="343" spans="1:28" ht="15.75" customHeight="1" x14ac:dyDescent="0.25">
      <c r="A343" s="45"/>
      <c r="B343" s="45"/>
      <c r="C343" s="46"/>
      <c r="D343" s="46"/>
      <c r="E343" s="45"/>
      <c r="F343" s="45"/>
      <c r="G343" s="47"/>
      <c r="H343" s="45"/>
      <c r="I343" s="45"/>
      <c r="J343" s="45"/>
      <c r="K343" s="45"/>
      <c r="L343" s="20"/>
      <c r="M343" s="20"/>
      <c r="N343" s="20"/>
      <c r="O343" s="20"/>
      <c r="P343" s="20"/>
      <c r="Q343" s="20"/>
      <c r="R343" s="20"/>
      <c r="S343" s="20"/>
      <c r="T343" s="20"/>
      <c r="U343" s="20"/>
      <c r="V343" s="20"/>
      <c r="W343" s="20"/>
      <c r="X343" s="20"/>
      <c r="Y343" s="20"/>
      <c r="Z343" s="21"/>
      <c r="AA343" s="22"/>
      <c r="AB343" s="23"/>
    </row>
    <row r="344" spans="1:28" ht="15.75" customHeight="1" x14ac:dyDescent="0.25">
      <c r="A344" s="45"/>
      <c r="B344" s="45"/>
      <c r="C344" s="46"/>
      <c r="D344" s="46"/>
      <c r="E344" s="45"/>
      <c r="F344" s="45"/>
      <c r="G344" s="47"/>
      <c r="H344" s="45"/>
      <c r="I344" s="45"/>
      <c r="J344" s="45"/>
      <c r="K344" s="45"/>
      <c r="L344" s="20"/>
      <c r="M344" s="20"/>
      <c r="N344" s="20"/>
      <c r="O344" s="20"/>
      <c r="P344" s="20"/>
      <c r="Q344" s="20"/>
      <c r="R344" s="20"/>
      <c r="S344" s="20"/>
      <c r="T344" s="20"/>
      <c r="U344" s="20"/>
      <c r="V344" s="20"/>
      <c r="W344" s="20"/>
      <c r="X344" s="20"/>
      <c r="Y344" s="20"/>
      <c r="Z344" s="21"/>
      <c r="AA344" s="22"/>
      <c r="AB344" s="23"/>
    </row>
    <row r="345" spans="1:28" ht="15.75" customHeight="1" x14ac:dyDescent="0.25">
      <c r="A345" s="45"/>
      <c r="B345" s="45"/>
      <c r="C345" s="46"/>
      <c r="D345" s="46"/>
      <c r="E345" s="45"/>
      <c r="F345" s="45"/>
      <c r="G345" s="47"/>
      <c r="H345" s="45"/>
      <c r="I345" s="45"/>
      <c r="J345" s="45"/>
      <c r="K345" s="45"/>
      <c r="L345" s="20"/>
      <c r="M345" s="20"/>
      <c r="N345" s="20"/>
      <c r="O345" s="20"/>
      <c r="P345" s="20"/>
      <c r="Q345" s="20"/>
      <c r="R345" s="20"/>
      <c r="S345" s="20"/>
      <c r="T345" s="20"/>
      <c r="U345" s="20"/>
      <c r="V345" s="20"/>
      <c r="W345" s="20"/>
      <c r="X345" s="20"/>
      <c r="Y345" s="20"/>
      <c r="Z345" s="21"/>
      <c r="AA345" s="22"/>
      <c r="AB345" s="23"/>
    </row>
    <row r="346" spans="1:28" ht="15.75" customHeight="1" x14ac:dyDescent="0.25">
      <c r="A346" s="45"/>
      <c r="B346" s="45"/>
      <c r="C346" s="46"/>
      <c r="D346" s="46"/>
      <c r="E346" s="45"/>
      <c r="F346" s="45"/>
      <c r="G346" s="47"/>
      <c r="H346" s="45"/>
      <c r="I346" s="45"/>
      <c r="J346" s="45"/>
      <c r="K346" s="45"/>
      <c r="L346" s="20"/>
      <c r="M346" s="20"/>
      <c r="N346" s="20"/>
      <c r="O346" s="20"/>
      <c r="P346" s="20"/>
      <c r="Q346" s="20"/>
      <c r="R346" s="20"/>
      <c r="S346" s="20"/>
      <c r="T346" s="20"/>
      <c r="U346" s="20"/>
      <c r="V346" s="20"/>
      <c r="W346" s="20"/>
      <c r="X346" s="20"/>
      <c r="Y346" s="20"/>
      <c r="Z346" s="21"/>
      <c r="AA346" s="22"/>
      <c r="AB346" s="23"/>
    </row>
    <row r="347" spans="1:28" ht="15.75" customHeight="1" x14ac:dyDescent="0.25">
      <c r="A347" s="45"/>
      <c r="B347" s="45"/>
      <c r="C347" s="46"/>
      <c r="D347" s="46"/>
      <c r="E347" s="45"/>
      <c r="F347" s="45"/>
      <c r="G347" s="47"/>
      <c r="H347" s="45"/>
      <c r="I347" s="45"/>
      <c r="J347" s="45"/>
      <c r="K347" s="45"/>
      <c r="L347" s="20"/>
      <c r="M347" s="20"/>
      <c r="N347" s="20"/>
      <c r="O347" s="20"/>
      <c r="P347" s="20"/>
      <c r="Q347" s="20"/>
      <c r="R347" s="20"/>
      <c r="S347" s="20"/>
      <c r="T347" s="20"/>
      <c r="U347" s="20"/>
      <c r="V347" s="20"/>
      <c r="W347" s="20"/>
      <c r="X347" s="20"/>
      <c r="Y347" s="20"/>
      <c r="Z347" s="21"/>
      <c r="AA347" s="22"/>
      <c r="AB347" s="23"/>
    </row>
    <row r="348" spans="1:28" ht="15.75" customHeight="1" x14ac:dyDescent="0.25">
      <c r="A348" s="45"/>
      <c r="B348" s="45"/>
      <c r="C348" s="46"/>
      <c r="D348" s="46"/>
      <c r="E348" s="45"/>
      <c r="F348" s="45"/>
      <c r="G348" s="47"/>
      <c r="H348" s="45"/>
      <c r="I348" s="45"/>
      <c r="J348" s="45"/>
      <c r="K348" s="45"/>
      <c r="L348" s="20"/>
      <c r="M348" s="20"/>
      <c r="N348" s="20"/>
      <c r="O348" s="20"/>
      <c r="P348" s="20"/>
      <c r="Q348" s="20"/>
      <c r="R348" s="20"/>
      <c r="S348" s="20"/>
      <c r="T348" s="20"/>
      <c r="U348" s="20"/>
      <c r="V348" s="20"/>
      <c r="W348" s="20"/>
      <c r="X348" s="20"/>
      <c r="Y348" s="20"/>
      <c r="Z348" s="21"/>
      <c r="AA348" s="22"/>
      <c r="AB348" s="23"/>
    </row>
    <row r="349" spans="1:28" ht="15.75" customHeight="1" x14ac:dyDescent="0.25">
      <c r="A349" s="45"/>
      <c r="B349" s="45"/>
      <c r="C349" s="46"/>
      <c r="D349" s="46"/>
      <c r="E349" s="45"/>
      <c r="F349" s="45"/>
      <c r="G349" s="47"/>
      <c r="H349" s="45"/>
      <c r="I349" s="45"/>
      <c r="J349" s="45"/>
      <c r="K349" s="45"/>
      <c r="L349" s="20"/>
      <c r="M349" s="20"/>
      <c r="N349" s="20"/>
      <c r="O349" s="20"/>
      <c r="P349" s="20"/>
      <c r="Q349" s="20"/>
      <c r="R349" s="20"/>
      <c r="S349" s="20"/>
      <c r="T349" s="20"/>
      <c r="U349" s="20"/>
      <c r="V349" s="20"/>
      <c r="W349" s="20"/>
      <c r="X349" s="20"/>
      <c r="Y349" s="20"/>
      <c r="Z349" s="21"/>
      <c r="AA349" s="22"/>
      <c r="AB349" s="23"/>
    </row>
    <row r="350" spans="1:28" ht="15.75" customHeight="1" x14ac:dyDescent="0.25">
      <c r="A350" s="45"/>
      <c r="B350" s="45"/>
      <c r="C350" s="46"/>
      <c r="D350" s="46"/>
      <c r="E350" s="45"/>
      <c r="F350" s="45"/>
      <c r="G350" s="47"/>
      <c r="H350" s="45"/>
      <c r="I350" s="45"/>
      <c r="J350" s="45"/>
      <c r="K350" s="45"/>
      <c r="L350" s="20"/>
      <c r="M350" s="20"/>
      <c r="N350" s="20"/>
      <c r="O350" s="20"/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1"/>
      <c r="AA350" s="22"/>
      <c r="AB350" s="23"/>
    </row>
    <row r="351" spans="1:28" ht="15.75" customHeight="1" x14ac:dyDescent="0.25">
      <c r="A351" s="45"/>
      <c r="B351" s="45"/>
      <c r="C351" s="46"/>
      <c r="D351" s="46"/>
      <c r="E351" s="45"/>
      <c r="F351" s="45"/>
      <c r="G351" s="47"/>
      <c r="H351" s="45"/>
      <c r="I351" s="45"/>
      <c r="J351" s="45"/>
      <c r="K351" s="45"/>
      <c r="L351" s="20"/>
      <c r="M351" s="20"/>
      <c r="N351" s="20"/>
      <c r="O351" s="20"/>
      <c r="P351" s="20"/>
      <c r="Q351" s="20"/>
      <c r="R351" s="20"/>
      <c r="S351" s="20"/>
      <c r="T351" s="20"/>
      <c r="U351" s="20"/>
      <c r="V351" s="20"/>
      <c r="W351" s="20"/>
      <c r="X351" s="20"/>
      <c r="Y351" s="20"/>
      <c r="Z351" s="21"/>
      <c r="AA351" s="22"/>
      <c r="AB351" s="23"/>
    </row>
    <row r="352" spans="1:28" ht="15.75" customHeight="1" x14ac:dyDescent="0.25">
      <c r="A352" s="45"/>
      <c r="B352" s="45"/>
      <c r="C352" s="46"/>
      <c r="D352" s="46"/>
      <c r="E352" s="45"/>
      <c r="F352" s="45"/>
      <c r="G352" s="47"/>
      <c r="H352" s="45"/>
      <c r="I352" s="45"/>
      <c r="J352" s="45"/>
      <c r="K352" s="45"/>
      <c r="L352" s="20"/>
      <c r="M352" s="20"/>
      <c r="N352" s="20"/>
      <c r="O352" s="20"/>
      <c r="P352" s="20"/>
      <c r="Q352" s="20"/>
      <c r="R352" s="20"/>
      <c r="S352" s="20"/>
      <c r="T352" s="20"/>
      <c r="U352" s="20"/>
      <c r="V352" s="20"/>
      <c r="W352" s="20"/>
      <c r="X352" s="20"/>
      <c r="Y352" s="20"/>
      <c r="Z352" s="21"/>
      <c r="AA352" s="22"/>
      <c r="AB352" s="23"/>
    </row>
    <row r="353" spans="1:28" ht="15.75" customHeight="1" x14ac:dyDescent="0.25">
      <c r="A353" s="45"/>
      <c r="B353" s="45"/>
      <c r="C353" s="46"/>
      <c r="D353" s="46"/>
      <c r="E353" s="45"/>
      <c r="F353" s="45"/>
      <c r="G353" s="47"/>
      <c r="H353" s="45"/>
      <c r="I353" s="45"/>
      <c r="J353" s="45"/>
      <c r="K353" s="45"/>
      <c r="L353" s="20"/>
      <c r="M353" s="20"/>
      <c r="N353" s="20"/>
      <c r="O353" s="20"/>
      <c r="P353" s="20"/>
      <c r="Q353" s="20"/>
      <c r="R353" s="20"/>
      <c r="S353" s="20"/>
      <c r="T353" s="20"/>
      <c r="U353" s="20"/>
      <c r="V353" s="20"/>
      <c r="W353" s="20"/>
      <c r="X353" s="20"/>
      <c r="Y353" s="20"/>
      <c r="Z353" s="21"/>
      <c r="AA353" s="22"/>
      <c r="AB353" s="23"/>
    </row>
    <row r="354" spans="1:28" ht="15.75" customHeight="1" x14ac:dyDescent="0.25">
      <c r="A354" s="45"/>
      <c r="B354" s="45"/>
      <c r="C354" s="46"/>
      <c r="D354" s="46"/>
      <c r="E354" s="45"/>
      <c r="F354" s="45"/>
      <c r="G354" s="47"/>
      <c r="H354" s="45"/>
      <c r="I354" s="45"/>
      <c r="J354" s="45"/>
      <c r="K354" s="45"/>
      <c r="L354" s="20"/>
      <c r="M354" s="20"/>
      <c r="N354" s="20"/>
      <c r="O354" s="20"/>
      <c r="P354" s="20"/>
      <c r="Q354" s="20"/>
      <c r="R354" s="20"/>
      <c r="S354" s="20"/>
      <c r="T354" s="20"/>
      <c r="U354" s="20"/>
      <c r="V354" s="20"/>
      <c r="W354" s="20"/>
      <c r="X354" s="20"/>
      <c r="Y354" s="20"/>
      <c r="Z354" s="21"/>
      <c r="AA354" s="22"/>
      <c r="AB354" s="23"/>
    </row>
    <row r="355" spans="1:28" ht="15.75" customHeight="1" x14ac:dyDescent="0.25">
      <c r="A355" s="45"/>
      <c r="B355" s="45"/>
      <c r="C355" s="46"/>
      <c r="D355" s="46"/>
      <c r="E355" s="45"/>
      <c r="F355" s="45"/>
      <c r="G355" s="47"/>
      <c r="H355" s="45"/>
      <c r="I355" s="45"/>
      <c r="J355" s="45"/>
      <c r="K355" s="45"/>
      <c r="L355" s="20"/>
      <c r="M355" s="20"/>
      <c r="N355" s="20"/>
      <c r="O355" s="20"/>
      <c r="P355" s="20"/>
      <c r="Q355" s="20"/>
      <c r="R355" s="20"/>
      <c r="S355" s="20"/>
      <c r="T355" s="20"/>
      <c r="U355" s="20"/>
      <c r="V355" s="20"/>
      <c r="W355" s="20"/>
      <c r="X355" s="20"/>
      <c r="Y355" s="20"/>
      <c r="Z355" s="21"/>
      <c r="AA355" s="22"/>
      <c r="AB355" s="23"/>
    </row>
    <row r="356" spans="1:28" ht="15.75" customHeight="1" x14ac:dyDescent="0.25">
      <c r="A356" s="45"/>
      <c r="B356" s="45"/>
      <c r="C356" s="46"/>
      <c r="D356" s="46"/>
      <c r="E356" s="45"/>
      <c r="F356" s="45"/>
      <c r="G356" s="47"/>
      <c r="H356" s="45"/>
      <c r="I356" s="45"/>
      <c r="J356" s="45"/>
      <c r="K356" s="45"/>
      <c r="L356" s="20"/>
      <c r="M356" s="20"/>
      <c r="N356" s="20"/>
      <c r="O356" s="20"/>
      <c r="P356" s="20"/>
      <c r="Q356" s="20"/>
      <c r="R356" s="20"/>
      <c r="S356" s="20"/>
      <c r="T356" s="20"/>
      <c r="U356" s="20"/>
      <c r="V356" s="20"/>
      <c r="W356" s="20"/>
      <c r="X356" s="20"/>
      <c r="Y356" s="20"/>
      <c r="Z356" s="21"/>
      <c r="AA356" s="22"/>
      <c r="AB356" s="23"/>
    </row>
    <row r="357" spans="1:28" ht="15.75" customHeight="1" x14ac:dyDescent="0.25">
      <c r="A357" s="45"/>
      <c r="B357" s="45"/>
      <c r="C357" s="46"/>
      <c r="D357" s="46"/>
      <c r="E357" s="45"/>
      <c r="F357" s="45"/>
      <c r="G357" s="47"/>
      <c r="H357" s="45"/>
      <c r="I357" s="45"/>
      <c r="J357" s="45"/>
      <c r="K357" s="45"/>
      <c r="L357" s="20"/>
      <c r="M357" s="20"/>
      <c r="N357" s="20"/>
      <c r="O357" s="20"/>
      <c r="P357" s="20"/>
      <c r="Q357" s="20"/>
      <c r="R357" s="20"/>
      <c r="S357" s="20"/>
      <c r="T357" s="20"/>
      <c r="U357" s="20"/>
      <c r="V357" s="20"/>
      <c r="W357" s="20"/>
      <c r="X357" s="20"/>
      <c r="Y357" s="20"/>
      <c r="Z357" s="21"/>
      <c r="AA357" s="22"/>
      <c r="AB357" s="23"/>
    </row>
    <row r="358" spans="1:28" ht="15.75" customHeight="1" x14ac:dyDescent="0.25">
      <c r="A358" s="45"/>
      <c r="B358" s="45"/>
      <c r="C358" s="46"/>
      <c r="D358" s="46"/>
      <c r="E358" s="45"/>
      <c r="F358" s="45"/>
      <c r="G358" s="47"/>
      <c r="H358" s="45"/>
      <c r="I358" s="45"/>
      <c r="J358" s="45"/>
      <c r="K358" s="45"/>
      <c r="L358" s="20"/>
      <c r="M358" s="20"/>
      <c r="N358" s="20"/>
      <c r="O358" s="20"/>
      <c r="P358" s="20"/>
      <c r="Q358" s="20"/>
      <c r="R358" s="20"/>
      <c r="S358" s="20"/>
      <c r="T358" s="20"/>
      <c r="U358" s="20"/>
      <c r="V358" s="20"/>
      <c r="W358" s="20"/>
      <c r="X358" s="20"/>
      <c r="Y358" s="20"/>
      <c r="Z358" s="21"/>
      <c r="AA358" s="22"/>
      <c r="AB358" s="23"/>
    </row>
    <row r="359" spans="1:28" ht="15.75" customHeight="1" x14ac:dyDescent="0.25">
      <c r="A359" s="45"/>
      <c r="B359" s="45"/>
      <c r="C359" s="46"/>
      <c r="D359" s="46"/>
      <c r="E359" s="45"/>
      <c r="F359" s="45"/>
      <c r="G359" s="47"/>
      <c r="H359" s="45"/>
      <c r="I359" s="45"/>
      <c r="J359" s="45"/>
      <c r="K359" s="45"/>
      <c r="L359" s="20"/>
      <c r="M359" s="20"/>
      <c r="N359" s="20"/>
      <c r="O359" s="20"/>
      <c r="P359" s="20"/>
      <c r="Q359" s="20"/>
      <c r="R359" s="20"/>
      <c r="S359" s="20"/>
      <c r="T359" s="20"/>
      <c r="U359" s="20"/>
      <c r="V359" s="20"/>
      <c r="W359" s="20"/>
      <c r="X359" s="20"/>
      <c r="Y359" s="20"/>
      <c r="Z359" s="21"/>
      <c r="AA359" s="22"/>
      <c r="AB359" s="23"/>
    </row>
    <row r="360" spans="1:28" ht="15.75" customHeight="1" x14ac:dyDescent="0.25">
      <c r="A360" s="45"/>
      <c r="B360" s="45"/>
      <c r="C360" s="46"/>
      <c r="D360" s="46"/>
      <c r="E360" s="45"/>
      <c r="F360" s="45"/>
      <c r="G360" s="47"/>
      <c r="H360" s="45"/>
      <c r="I360" s="45"/>
      <c r="J360" s="45"/>
      <c r="K360" s="45"/>
      <c r="L360" s="20"/>
      <c r="M360" s="20"/>
      <c r="N360" s="20"/>
      <c r="O360" s="20"/>
      <c r="P360" s="20"/>
      <c r="Q360" s="20"/>
      <c r="R360" s="20"/>
      <c r="S360" s="20"/>
      <c r="T360" s="20"/>
      <c r="U360" s="20"/>
      <c r="V360" s="20"/>
      <c r="W360" s="20"/>
      <c r="X360" s="20"/>
      <c r="Y360" s="20"/>
      <c r="Z360" s="21"/>
      <c r="AA360" s="22"/>
      <c r="AB360" s="23"/>
    </row>
    <row r="361" spans="1:28" ht="15.75" customHeight="1" x14ac:dyDescent="0.25">
      <c r="A361" s="45"/>
      <c r="B361" s="45"/>
      <c r="C361" s="46"/>
      <c r="D361" s="46"/>
      <c r="E361" s="45"/>
      <c r="F361" s="45"/>
      <c r="G361" s="47"/>
      <c r="H361" s="45"/>
      <c r="I361" s="45"/>
      <c r="J361" s="45"/>
      <c r="K361" s="45"/>
      <c r="L361" s="20"/>
      <c r="M361" s="20"/>
      <c r="N361" s="20"/>
      <c r="O361" s="20"/>
      <c r="P361" s="20"/>
      <c r="Q361" s="20"/>
      <c r="R361" s="20"/>
      <c r="S361" s="20"/>
      <c r="T361" s="20"/>
      <c r="U361" s="20"/>
      <c r="V361" s="20"/>
      <c r="W361" s="20"/>
      <c r="X361" s="20"/>
      <c r="Y361" s="20"/>
      <c r="Z361" s="21"/>
      <c r="AA361" s="22"/>
      <c r="AB361" s="23"/>
    </row>
    <row r="362" spans="1:28" ht="15.75" customHeight="1" x14ac:dyDescent="0.25">
      <c r="A362" s="45"/>
      <c r="B362" s="45"/>
      <c r="C362" s="46"/>
      <c r="D362" s="46"/>
      <c r="E362" s="45"/>
      <c r="F362" s="45"/>
      <c r="G362" s="47"/>
      <c r="H362" s="45"/>
      <c r="I362" s="45"/>
      <c r="J362" s="45"/>
      <c r="K362" s="45"/>
      <c r="L362" s="20"/>
      <c r="M362" s="20"/>
      <c r="N362" s="20"/>
      <c r="O362" s="20"/>
      <c r="P362" s="20"/>
      <c r="Q362" s="20"/>
      <c r="R362" s="20"/>
      <c r="S362" s="20"/>
      <c r="T362" s="20"/>
      <c r="U362" s="20"/>
      <c r="V362" s="20"/>
      <c r="W362" s="20"/>
      <c r="X362" s="20"/>
      <c r="Y362" s="20"/>
      <c r="Z362" s="21"/>
      <c r="AA362" s="22"/>
      <c r="AB362" s="23"/>
    </row>
    <row r="363" spans="1:28" ht="15.75" customHeight="1" x14ac:dyDescent="0.25">
      <c r="A363" s="45"/>
      <c r="B363" s="45"/>
      <c r="C363" s="46"/>
      <c r="D363" s="46"/>
      <c r="E363" s="45"/>
      <c r="F363" s="45"/>
      <c r="G363" s="47"/>
      <c r="H363" s="45"/>
      <c r="I363" s="45"/>
      <c r="J363" s="45"/>
      <c r="K363" s="45"/>
      <c r="L363" s="20"/>
      <c r="M363" s="20"/>
      <c r="N363" s="20"/>
      <c r="O363" s="20"/>
      <c r="P363" s="20"/>
      <c r="Q363" s="20"/>
      <c r="R363" s="20"/>
      <c r="S363" s="20"/>
      <c r="T363" s="20"/>
      <c r="U363" s="20"/>
      <c r="V363" s="20"/>
      <c r="W363" s="20"/>
      <c r="X363" s="20"/>
      <c r="Y363" s="20"/>
      <c r="Z363" s="21"/>
      <c r="AA363" s="22"/>
      <c r="AB363" s="23"/>
    </row>
    <row r="364" spans="1:28" ht="15.75" customHeight="1" x14ac:dyDescent="0.25">
      <c r="A364" s="45"/>
      <c r="B364" s="45"/>
      <c r="C364" s="46"/>
      <c r="D364" s="46"/>
      <c r="E364" s="45"/>
      <c r="F364" s="45"/>
      <c r="G364" s="47"/>
      <c r="H364" s="45"/>
      <c r="I364" s="45"/>
      <c r="J364" s="45"/>
      <c r="K364" s="45"/>
      <c r="L364" s="20"/>
      <c r="M364" s="20"/>
      <c r="N364" s="20"/>
      <c r="O364" s="20"/>
      <c r="P364" s="20"/>
      <c r="Q364" s="20"/>
      <c r="R364" s="20"/>
      <c r="S364" s="20"/>
      <c r="T364" s="20"/>
      <c r="U364" s="20"/>
      <c r="V364" s="20"/>
      <c r="W364" s="20"/>
      <c r="X364" s="20"/>
      <c r="Y364" s="20"/>
      <c r="Z364" s="21"/>
      <c r="AA364" s="22"/>
      <c r="AB364" s="23"/>
    </row>
    <row r="365" spans="1:28" ht="15.75" customHeight="1" x14ac:dyDescent="0.25">
      <c r="A365" s="45"/>
      <c r="B365" s="45"/>
      <c r="C365" s="46"/>
      <c r="D365" s="46"/>
      <c r="E365" s="45"/>
      <c r="F365" s="45"/>
      <c r="G365" s="47"/>
      <c r="H365" s="45"/>
      <c r="I365" s="45"/>
      <c r="J365" s="45"/>
      <c r="K365" s="45"/>
      <c r="L365" s="20"/>
      <c r="M365" s="20"/>
      <c r="N365" s="20"/>
      <c r="O365" s="20"/>
      <c r="P365" s="20"/>
      <c r="Q365" s="20"/>
      <c r="R365" s="20"/>
      <c r="S365" s="20"/>
      <c r="T365" s="20"/>
      <c r="U365" s="20"/>
      <c r="V365" s="20"/>
      <c r="W365" s="20"/>
      <c r="X365" s="20"/>
      <c r="Y365" s="20"/>
      <c r="Z365" s="21"/>
      <c r="AA365" s="22"/>
      <c r="AB365" s="23"/>
    </row>
    <row r="366" spans="1:28" ht="15.75" customHeight="1" x14ac:dyDescent="0.25">
      <c r="A366" s="45"/>
      <c r="B366" s="45"/>
      <c r="C366" s="46"/>
      <c r="D366" s="46"/>
      <c r="E366" s="45"/>
      <c r="F366" s="45"/>
      <c r="G366" s="47"/>
      <c r="H366" s="45"/>
      <c r="I366" s="45"/>
      <c r="J366" s="45"/>
      <c r="K366" s="45"/>
      <c r="L366" s="20"/>
      <c r="M366" s="20"/>
      <c r="N366" s="20"/>
      <c r="O366" s="20"/>
      <c r="P366" s="20"/>
      <c r="Q366" s="20"/>
      <c r="R366" s="20"/>
      <c r="S366" s="20"/>
      <c r="T366" s="20"/>
      <c r="U366" s="20"/>
      <c r="V366" s="20"/>
      <c r="W366" s="20"/>
      <c r="X366" s="20"/>
      <c r="Y366" s="20"/>
      <c r="Z366" s="21"/>
      <c r="AA366" s="22"/>
      <c r="AB366" s="23"/>
    </row>
    <row r="367" spans="1:28" ht="15.75" customHeight="1" x14ac:dyDescent="0.25">
      <c r="A367" s="45"/>
      <c r="B367" s="45"/>
      <c r="C367" s="46"/>
      <c r="D367" s="46"/>
      <c r="E367" s="45"/>
      <c r="F367" s="45"/>
      <c r="G367" s="47"/>
      <c r="H367" s="45"/>
      <c r="I367" s="45"/>
      <c r="J367" s="45"/>
      <c r="K367" s="45"/>
      <c r="L367" s="20"/>
      <c r="M367" s="20"/>
      <c r="N367" s="20"/>
      <c r="O367" s="20"/>
      <c r="P367" s="20"/>
      <c r="Q367" s="20"/>
      <c r="R367" s="20"/>
      <c r="S367" s="20"/>
      <c r="T367" s="20"/>
      <c r="U367" s="20"/>
      <c r="V367" s="20"/>
      <c r="W367" s="20"/>
      <c r="X367" s="20"/>
      <c r="Y367" s="20"/>
      <c r="Z367" s="21"/>
      <c r="AA367" s="22"/>
      <c r="AB367" s="23"/>
    </row>
    <row r="368" spans="1:28" ht="15.75" customHeight="1" x14ac:dyDescent="0.25">
      <c r="A368" s="45"/>
      <c r="B368" s="45"/>
      <c r="C368" s="46"/>
      <c r="D368" s="46"/>
      <c r="E368" s="45"/>
      <c r="F368" s="45"/>
      <c r="G368" s="47"/>
      <c r="H368" s="45"/>
      <c r="I368" s="45"/>
      <c r="J368" s="45"/>
      <c r="K368" s="45"/>
      <c r="L368" s="20"/>
      <c r="M368" s="20"/>
      <c r="N368" s="20"/>
      <c r="O368" s="20"/>
      <c r="P368" s="20"/>
      <c r="Q368" s="20"/>
      <c r="R368" s="20"/>
      <c r="S368" s="20"/>
      <c r="T368" s="20"/>
      <c r="U368" s="20"/>
      <c r="V368" s="20"/>
      <c r="W368" s="20"/>
      <c r="X368" s="20"/>
      <c r="Y368" s="20"/>
      <c r="Z368" s="21"/>
      <c r="AA368" s="22"/>
      <c r="AB368" s="23"/>
    </row>
    <row r="369" spans="1:28" ht="15.75" customHeight="1" x14ac:dyDescent="0.25">
      <c r="A369" s="45"/>
      <c r="B369" s="45"/>
      <c r="C369" s="46"/>
      <c r="D369" s="46"/>
      <c r="E369" s="45"/>
      <c r="F369" s="45"/>
      <c r="G369" s="47"/>
      <c r="H369" s="45"/>
      <c r="I369" s="45"/>
      <c r="J369" s="45"/>
      <c r="K369" s="45"/>
      <c r="L369" s="20"/>
      <c r="M369" s="20"/>
      <c r="N369" s="20"/>
      <c r="O369" s="20"/>
      <c r="P369" s="20"/>
      <c r="Q369" s="20"/>
      <c r="R369" s="20"/>
      <c r="S369" s="20"/>
      <c r="T369" s="20"/>
      <c r="U369" s="20"/>
      <c r="V369" s="20"/>
      <c r="W369" s="20"/>
      <c r="X369" s="20"/>
      <c r="Y369" s="20"/>
      <c r="Z369" s="21"/>
      <c r="AA369" s="22"/>
      <c r="AB369" s="23"/>
    </row>
    <row r="370" spans="1:28" ht="15.75" customHeight="1" x14ac:dyDescent="0.25">
      <c r="A370" s="45"/>
      <c r="B370" s="45"/>
      <c r="C370" s="46"/>
      <c r="D370" s="46"/>
      <c r="E370" s="45"/>
      <c r="F370" s="45"/>
      <c r="G370" s="47"/>
      <c r="H370" s="45"/>
      <c r="I370" s="45"/>
      <c r="J370" s="45"/>
      <c r="K370" s="45"/>
      <c r="L370" s="20"/>
      <c r="M370" s="20"/>
      <c r="N370" s="20"/>
      <c r="O370" s="20"/>
      <c r="P370" s="20"/>
      <c r="Q370" s="20"/>
      <c r="R370" s="20"/>
      <c r="S370" s="20"/>
      <c r="T370" s="20"/>
      <c r="U370" s="20"/>
      <c r="V370" s="20"/>
      <c r="W370" s="20"/>
      <c r="X370" s="20"/>
      <c r="Y370" s="20"/>
      <c r="Z370" s="21"/>
      <c r="AA370" s="22"/>
      <c r="AB370" s="23"/>
    </row>
    <row r="371" spans="1:28" ht="15.75" customHeight="1" x14ac:dyDescent="0.25">
      <c r="A371" s="45"/>
      <c r="B371" s="45"/>
      <c r="C371" s="46"/>
      <c r="D371" s="46"/>
      <c r="E371" s="45"/>
      <c r="F371" s="45"/>
      <c r="G371" s="47"/>
      <c r="H371" s="45"/>
      <c r="I371" s="45"/>
      <c r="J371" s="45"/>
      <c r="K371" s="45"/>
      <c r="L371" s="20"/>
      <c r="M371" s="20"/>
      <c r="N371" s="20"/>
      <c r="O371" s="20"/>
      <c r="P371" s="20"/>
      <c r="Q371" s="20"/>
      <c r="R371" s="20"/>
      <c r="S371" s="20"/>
      <c r="T371" s="20"/>
      <c r="U371" s="20"/>
      <c r="V371" s="20"/>
      <c r="W371" s="20"/>
      <c r="X371" s="20"/>
      <c r="Y371" s="20"/>
      <c r="Z371" s="21"/>
      <c r="AA371" s="22"/>
      <c r="AB371" s="23"/>
    </row>
    <row r="372" spans="1:28" ht="15.75" customHeight="1" x14ac:dyDescent="0.25">
      <c r="A372" s="45"/>
      <c r="B372" s="45"/>
      <c r="C372" s="46"/>
      <c r="D372" s="46"/>
      <c r="E372" s="45"/>
      <c r="F372" s="45"/>
      <c r="G372" s="47"/>
      <c r="H372" s="45"/>
      <c r="I372" s="45"/>
      <c r="J372" s="45"/>
      <c r="K372" s="45"/>
      <c r="L372" s="20"/>
      <c r="M372" s="20"/>
      <c r="N372" s="20"/>
      <c r="O372" s="20"/>
      <c r="P372" s="20"/>
      <c r="Q372" s="20"/>
      <c r="R372" s="20"/>
      <c r="S372" s="20"/>
      <c r="T372" s="20"/>
      <c r="U372" s="20"/>
      <c r="V372" s="20"/>
      <c r="W372" s="20"/>
      <c r="X372" s="20"/>
      <c r="Y372" s="20"/>
      <c r="Z372" s="21"/>
      <c r="AA372" s="22"/>
      <c r="AB372" s="23"/>
    </row>
    <row r="373" spans="1:28" ht="15.75" customHeight="1" x14ac:dyDescent="0.25">
      <c r="A373" s="45"/>
      <c r="B373" s="45"/>
      <c r="C373" s="46"/>
      <c r="D373" s="46"/>
      <c r="E373" s="45"/>
      <c r="F373" s="45"/>
      <c r="G373" s="47"/>
      <c r="H373" s="45"/>
      <c r="I373" s="45"/>
      <c r="J373" s="45"/>
      <c r="K373" s="45"/>
      <c r="L373" s="20"/>
      <c r="M373" s="20"/>
      <c r="N373" s="20"/>
      <c r="O373" s="20"/>
      <c r="P373" s="20"/>
      <c r="Q373" s="20"/>
      <c r="R373" s="20"/>
      <c r="S373" s="20"/>
      <c r="T373" s="20"/>
      <c r="U373" s="20"/>
      <c r="V373" s="20"/>
      <c r="W373" s="20"/>
      <c r="X373" s="20"/>
      <c r="Y373" s="20"/>
      <c r="Z373" s="21"/>
      <c r="AA373" s="22"/>
      <c r="AB373" s="23"/>
    </row>
    <row r="374" spans="1:28" ht="15.75" customHeight="1" x14ac:dyDescent="0.25">
      <c r="A374" s="45"/>
      <c r="B374" s="45"/>
      <c r="C374" s="46"/>
      <c r="D374" s="46"/>
      <c r="E374" s="45"/>
      <c r="F374" s="45"/>
      <c r="G374" s="47"/>
      <c r="H374" s="45"/>
      <c r="I374" s="45"/>
      <c r="J374" s="45"/>
      <c r="K374" s="45"/>
      <c r="L374" s="20"/>
      <c r="M374" s="20"/>
      <c r="N374" s="20"/>
      <c r="O374" s="20"/>
      <c r="P374" s="20"/>
      <c r="Q374" s="20"/>
      <c r="R374" s="20"/>
      <c r="S374" s="20"/>
      <c r="T374" s="20"/>
      <c r="U374" s="20"/>
      <c r="V374" s="20"/>
      <c r="W374" s="20"/>
      <c r="X374" s="20"/>
      <c r="Y374" s="20"/>
      <c r="Z374" s="21"/>
      <c r="AA374" s="22"/>
      <c r="AB374" s="23"/>
    </row>
    <row r="375" spans="1:28" ht="15.75" customHeight="1" x14ac:dyDescent="0.25">
      <c r="A375" s="45"/>
      <c r="B375" s="45"/>
      <c r="C375" s="46"/>
      <c r="D375" s="46"/>
      <c r="E375" s="45"/>
      <c r="F375" s="45"/>
      <c r="G375" s="47"/>
      <c r="H375" s="45"/>
      <c r="I375" s="45"/>
      <c r="J375" s="45"/>
      <c r="K375" s="45"/>
      <c r="L375" s="20"/>
      <c r="M375" s="20"/>
      <c r="N375" s="20"/>
      <c r="O375" s="20"/>
      <c r="P375" s="20"/>
      <c r="Q375" s="20"/>
      <c r="R375" s="20"/>
      <c r="S375" s="20"/>
      <c r="T375" s="20"/>
      <c r="U375" s="20"/>
      <c r="V375" s="20"/>
      <c r="W375" s="20"/>
      <c r="X375" s="20"/>
      <c r="Y375" s="20"/>
      <c r="Z375" s="21"/>
      <c r="AA375" s="22"/>
      <c r="AB375" s="23"/>
    </row>
    <row r="376" spans="1:28" ht="15.75" customHeight="1" x14ac:dyDescent="0.25">
      <c r="A376" s="45"/>
      <c r="B376" s="45"/>
      <c r="C376" s="46"/>
      <c r="D376" s="46"/>
      <c r="E376" s="45"/>
      <c r="F376" s="45"/>
      <c r="G376" s="47"/>
      <c r="H376" s="45"/>
      <c r="I376" s="45"/>
      <c r="J376" s="45"/>
      <c r="K376" s="45"/>
      <c r="L376" s="20"/>
      <c r="M376" s="20"/>
      <c r="N376" s="20"/>
      <c r="O376" s="20"/>
      <c r="P376" s="20"/>
      <c r="Q376" s="20"/>
      <c r="R376" s="20"/>
      <c r="S376" s="20"/>
      <c r="T376" s="20"/>
      <c r="U376" s="20"/>
      <c r="V376" s="20"/>
      <c r="W376" s="20"/>
      <c r="X376" s="20"/>
      <c r="Y376" s="20"/>
      <c r="Z376" s="21"/>
      <c r="AA376" s="22"/>
      <c r="AB376" s="23"/>
    </row>
    <row r="377" spans="1:28" ht="15.75" customHeight="1" x14ac:dyDescent="0.25">
      <c r="A377" s="45"/>
      <c r="B377" s="45"/>
      <c r="C377" s="46"/>
      <c r="D377" s="46"/>
      <c r="E377" s="45"/>
      <c r="F377" s="45"/>
      <c r="G377" s="47"/>
      <c r="H377" s="45"/>
      <c r="I377" s="45"/>
      <c r="J377" s="45"/>
      <c r="K377" s="45"/>
      <c r="L377" s="20"/>
      <c r="M377" s="20"/>
      <c r="N377" s="20"/>
      <c r="O377" s="20"/>
      <c r="P377" s="20"/>
      <c r="Q377" s="20"/>
      <c r="R377" s="20"/>
      <c r="S377" s="20"/>
      <c r="T377" s="20"/>
      <c r="U377" s="20"/>
      <c r="V377" s="20"/>
      <c r="W377" s="20"/>
      <c r="X377" s="20"/>
      <c r="Y377" s="20"/>
      <c r="Z377" s="21"/>
      <c r="AA377" s="22"/>
      <c r="AB377" s="23"/>
    </row>
    <row r="378" spans="1:28" ht="15.75" customHeight="1" x14ac:dyDescent="0.25">
      <c r="A378" s="45"/>
      <c r="B378" s="45"/>
      <c r="C378" s="46"/>
      <c r="D378" s="46"/>
      <c r="E378" s="45"/>
      <c r="F378" s="45"/>
      <c r="G378" s="47"/>
      <c r="H378" s="45"/>
      <c r="I378" s="45"/>
      <c r="J378" s="45"/>
      <c r="K378" s="45"/>
      <c r="L378" s="20"/>
      <c r="M378" s="20"/>
      <c r="N378" s="20"/>
      <c r="O378" s="20"/>
      <c r="P378" s="20"/>
      <c r="Q378" s="20"/>
      <c r="R378" s="20"/>
      <c r="S378" s="20"/>
      <c r="T378" s="20"/>
      <c r="U378" s="20"/>
      <c r="V378" s="20"/>
      <c r="W378" s="20"/>
      <c r="X378" s="20"/>
      <c r="Y378" s="20"/>
      <c r="Z378" s="21"/>
      <c r="AA378" s="22"/>
      <c r="AB378" s="23"/>
    </row>
    <row r="379" spans="1:28" ht="15.75" customHeight="1" x14ac:dyDescent="0.25">
      <c r="A379" s="45"/>
      <c r="B379" s="45"/>
      <c r="C379" s="46"/>
      <c r="D379" s="46"/>
      <c r="E379" s="45"/>
      <c r="F379" s="45"/>
      <c r="G379" s="47"/>
      <c r="H379" s="45"/>
      <c r="I379" s="45"/>
      <c r="J379" s="45"/>
      <c r="K379" s="45"/>
      <c r="L379" s="20"/>
      <c r="M379" s="20"/>
      <c r="N379" s="20"/>
      <c r="O379" s="20"/>
      <c r="P379" s="20"/>
      <c r="Q379" s="20"/>
      <c r="R379" s="20"/>
      <c r="S379" s="20"/>
      <c r="T379" s="20"/>
      <c r="U379" s="20"/>
      <c r="V379" s="20"/>
      <c r="W379" s="20"/>
      <c r="X379" s="20"/>
      <c r="Y379" s="20"/>
      <c r="Z379" s="21"/>
      <c r="AA379" s="22"/>
      <c r="AB379" s="23"/>
    </row>
    <row r="380" spans="1:28" ht="15.75" customHeight="1" x14ac:dyDescent="0.25">
      <c r="A380" s="45"/>
      <c r="B380" s="45"/>
      <c r="C380" s="46"/>
      <c r="D380" s="46"/>
      <c r="E380" s="45"/>
      <c r="F380" s="45"/>
      <c r="G380" s="47"/>
      <c r="H380" s="45"/>
      <c r="I380" s="45"/>
      <c r="J380" s="45"/>
      <c r="K380" s="45"/>
      <c r="L380" s="20"/>
      <c r="M380" s="20"/>
      <c r="N380" s="20"/>
      <c r="O380" s="20"/>
      <c r="P380" s="20"/>
      <c r="Q380" s="20"/>
      <c r="R380" s="20"/>
      <c r="S380" s="20"/>
      <c r="T380" s="20"/>
      <c r="U380" s="20"/>
      <c r="V380" s="20"/>
      <c r="W380" s="20"/>
      <c r="X380" s="20"/>
      <c r="Y380" s="20"/>
      <c r="Z380" s="21"/>
      <c r="AA380" s="22"/>
      <c r="AB380" s="23"/>
    </row>
    <row r="381" spans="1:28" ht="15.75" customHeight="1" x14ac:dyDescent="0.25">
      <c r="G381" s="1"/>
    </row>
    <row r="382" spans="1:28" ht="15.75" customHeight="1" x14ac:dyDescent="0.25">
      <c r="G382" s="1"/>
    </row>
    <row r="383" spans="1:28" ht="15.75" customHeight="1" x14ac:dyDescent="0.25">
      <c r="G383" s="1"/>
    </row>
    <row r="384" spans="1:28" ht="15.75" customHeight="1" x14ac:dyDescent="0.25">
      <c r="G384" s="1"/>
    </row>
    <row r="385" spans="7:7" ht="15.75" customHeight="1" x14ac:dyDescent="0.25">
      <c r="G385" s="1"/>
    </row>
    <row r="386" spans="7:7" ht="15.75" customHeight="1" x14ac:dyDescent="0.25">
      <c r="G386" s="1"/>
    </row>
    <row r="387" spans="7:7" ht="15.75" customHeight="1" x14ac:dyDescent="0.25">
      <c r="G387" s="1"/>
    </row>
    <row r="388" spans="7:7" ht="15.75" customHeight="1" x14ac:dyDescent="0.25">
      <c r="G388" s="1"/>
    </row>
    <row r="389" spans="7:7" ht="15.75" customHeight="1" x14ac:dyDescent="0.25">
      <c r="G389" s="1"/>
    </row>
    <row r="390" spans="7:7" ht="15.75" customHeight="1" x14ac:dyDescent="0.25">
      <c r="G390" s="1"/>
    </row>
    <row r="391" spans="7:7" ht="15.75" customHeight="1" x14ac:dyDescent="0.25">
      <c r="G391" s="1"/>
    </row>
    <row r="392" spans="7:7" ht="15.75" customHeight="1" x14ac:dyDescent="0.25">
      <c r="G392" s="1"/>
    </row>
    <row r="393" spans="7:7" ht="15.75" customHeight="1" x14ac:dyDescent="0.25">
      <c r="G393" s="1"/>
    </row>
    <row r="394" spans="7:7" ht="15.75" customHeight="1" x14ac:dyDescent="0.25">
      <c r="G394" s="1"/>
    </row>
    <row r="395" spans="7:7" ht="15.75" customHeight="1" x14ac:dyDescent="0.25">
      <c r="G395" s="1"/>
    </row>
    <row r="396" spans="7:7" ht="15.75" customHeight="1" x14ac:dyDescent="0.25">
      <c r="G396" s="1"/>
    </row>
    <row r="397" spans="7:7" ht="15.75" customHeight="1" x14ac:dyDescent="0.25">
      <c r="G397" s="1"/>
    </row>
    <row r="398" spans="7:7" ht="15.75" customHeight="1" x14ac:dyDescent="0.25">
      <c r="G398" s="1"/>
    </row>
    <row r="399" spans="7:7" ht="15.75" customHeight="1" x14ac:dyDescent="0.25">
      <c r="G399" s="1"/>
    </row>
    <row r="400" spans="7:7" ht="15.75" customHeight="1" x14ac:dyDescent="0.25">
      <c r="G400" s="1"/>
    </row>
    <row r="401" spans="7:7" ht="15.75" customHeight="1" x14ac:dyDescent="0.25">
      <c r="G401" s="1"/>
    </row>
    <row r="402" spans="7:7" ht="15.75" customHeight="1" x14ac:dyDescent="0.25">
      <c r="G402" s="1"/>
    </row>
    <row r="403" spans="7:7" ht="15.75" customHeight="1" x14ac:dyDescent="0.25">
      <c r="G403" s="1"/>
    </row>
    <row r="404" spans="7:7" ht="15.75" customHeight="1" x14ac:dyDescent="0.25">
      <c r="G404" s="1"/>
    </row>
    <row r="405" spans="7:7" ht="15.75" customHeight="1" x14ac:dyDescent="0.25">
      <c r="G405" s="1"/>
    </row>
    <row r="406" spans="7:7" ht="15.75" customHeight="1" x14ac:dyDescent="0.25">
      <c r="G406" s="1"/>
    </row>
    <row r="407" spans="7:7" ht="15.75" customHeight="1" x14ac:dyDescent="0.25">
      <c r="G407" s="1"/>
    </row>
    <row r="408" spans="7:7" ht="15.75" customHeight="1" x14ac:dyDescent="0.25">
      <c r="G408" s="1"/>
    </row>
    <row r="409" spans="7:7" ht="15.75" customHeight="1" x14ac:dyDescent="0.25">
      <c r="G409" s="1"/>
    </row>
    <row r="410" spans="7:7" ht="15.75" customHeight="1" x14ac:dyDescent="0.25">
      <c r="G410" s="1"/>
    </row>
    <row r="411" spans="7:7" ht="15.75" customHeight="1" x14ac:dyDescent="0.25">
      <c r="G411" s="1"/>
    </row>
    <row r="412" spans="7:7" ht="15.75" customHeight="1" x14ac:dyDescent="0.25">
      <c r="G412" s="1"/>
    </row>
    <row r="413" spans="7:7" ht="15.75" customHeight="1" x14ac:dyDescent="0.25">
      <c r="G413" s="1"/>
    </row>
    <row r="414" spans="7:7" ht="15.75" customHeight="1" x14ac:dyDescent="0.25">
      <c r="G414" s="1"/>
    </row>
    <row r="415" spans="7:7" ht="15.75" customHeight="1" x14ac:dyDescent="0.25">
      <c r="G415" s="1"/>
    </row>
    <row r="416" spans="7:7" ht="15.75" customHeight="1" x14ac:dyDescent="0.25">
      <c r="G416" s="1"/>
    </row>
    <row r="417" spans="7:7" ht="15.75" customHeight="1" x14ac:dyDescent="0.25">
      <c r="G417" s="1"/>
    </row>
    <row r="418" spans="7:7" ht="15.75" customHeight="1" x14ac:dyDescent="0.25">
      <c r="G418" s="1"/>
    </row>
    <row r="419" spans="7:7" ht="15.75" customHeight="1" x14ac:dyDescent="0.25">
      <c r="G419" s="1"/>
    </row>
    <row r="420" spans="7:7" ht="15.75" customHeight="1" x14ac:dyDescent="0.25">
      <c r="G420" s="1"/>
    </row>
    <row r="421" spans="7:7" ht="15.75" customHeight="1" x14ac:dyDescent="0.25">
      <c r="G421" s="1"/>
    </row>
    <row r="422" spans="7:7" ht="15.75" customHeight="1" x14ac:dyDescent="0.25">
      <c r="G422" s="1"/>
    </row>
    <row r="423" spans="7:7" ht="15.75" customHeight="1" x14ac:dyDescent="0.25">
      <c r="G423" s="1"/>
    </row>
    <row r="424" spans="7:7" ht="15.75" customHeight="1" x14ac:dyDescent="0.25">
      <c r="G424" s="1"/>
    </row>
    <row r="425" spans="7:7" ht="15.75" customHeight="1" x14ac:dyDescent="0.25">
      <c r="G425" s="1"/>
    </row>
    <row r="426" spans="7:7" ht="15.75" customHeight="1" x14ac:dyDescent="0.25">
      <c r="G426" s="1"/>
    </row>
    <row r="427" spans="7:7" ht="15.75" customHeight="1" x14ac:dyDescent="0.25">
      <c r="G427" s="1"/>
    </row>
    <row r="428" spans="7:7" ht="15.75" customHeight="1" x14ac:dyDescent="0.25">
      <c r="G428" s="1"/>
    </row>
    <row r="429" spans="7:7" ht="15.75" customHeight="1" x14ac:dyDescent="0.25">
      <c r="G429" s="1"/>
    </row>
    <row r="430" spans="7:7" ht="15.75" customHeight="1" x14ac:dyDescent="0.25">
      <c r="G430" s="1"/>
    </row>
    <row r="431" spans="7:7" ht="15.75" customHeight="1" x14ac:dyDescent="0.25">
      <c r="G431" s="1"/>
    </row>
    <row r="432" spans="7:7" ht="15.75" customHeight="1" x14ac:dyDescent="0.25">
      <c r="G432" s="1"/>
    </row>
    <row r="433" spans="7:7" ht="15.75" customHeight="1" x14ac:dyDescent="0.25">
      <c r="G433" s="1"/>
    </row>
    <row r="434" spans="7:7" ht="15.75" customHeight="1" x14ac:dyDescent="0.25">
      <c r="G434" s="1"/>
    </row>
    <row r="435" spans="7:7" ht="15.75" customHeight="1" x14ac:dyDescent="0.25">
      <c r="G435" s="1"/>
    </row>
    <row r="436" spans="7:7" ht="15.75" customHeight="1" x14ac:dyDescent="0.25">
      <c r="G436" s="1"/>
    </row>
    <row r="437" spans="7:7" ht="15.75" customHeight="1" x14ac:dyDescent="0.25">
      <c r="G437" s="1"/>
    </row>
    <row r="438" spans="7:7" ht="15.75" customHeight="1" x14ac:dyDescent="0.25">
      <c r="G438" s="1"/>
    </row>
    <row r="439" spans="7:7" ht="15.75" customHeight="1" x14ac:dyDescent="0.25">
      <c r="G439" s="1"/>
    </row>
    <row r="440" spans="7:7" ht="15.75" customHeight="1" x14ac:dyDescent="0.25">
      <c r="G440" s="1"/>
    </row>
    <row r="441" spans="7:7" ht="15.75" customHeight="1" x14ac:dyDescent="0.25">
      <c r="G441" s="1"/>
    </row>
    <row r="442" spans="7:7" ht="15.75" customHeight="1" x14ac:dyDescent="0.25">
      <c r="G442" s="1"/>
    </row>
    <row r="443" spans="7:7" ht="15.75" customHeight="1" x14ac:dyDescent="0.25">
      <c r="G443" s="1"/>
    </row>
    <row r="444" spans="7:7" ht="15.75" customHeight="1" x14ac:dyDescent="0.25">
      <c r="G444" s="1"/>
    </row>
    <row r="445" spans="7:7" ht="15.75" customHeight="1" x14ac:dyDescent="0.25">
      <c r="G445" s="1"/>
    </row>
    <row r="446" spans="7:7" ht="15.75" customHeight="1" x14ac:dyDescent="0.25">
      <c r="G446" s="1"/>
    </row>
    <row r="447" spans="7:7" ht="15.75" customHeight="1" x14ac:dyDescent="0.25">
      <c r="G447" s="1"/>
    </row>
    <row r="448" spans="7:7" ht="15.75" customHeight="1" x14ac:dyDescent="0.25">
      <c r="G448" s="1"/>
    </row>
    <row r="449" spans="7:7" ht="15.75" customHeight="1" x14ac:dyDescent="0.25">
      <c r="G449" s="1"/>
    </row>
    <row r="450" spans="7:7" ht="15.75" customHeight="1" x14ac:dyDescent="0.25">
      <c r="G450" s="1"/>
    </row>
    <row r="451" spans="7:7" ht="15.75" customHeight="1" x14ac:dyDescent="0.25">
      <c r="G451" s="1"/>
    </row>
    <row r="452" spans="7:7" ht="15.75" customHeight="1" x14ac:dyDescent="0.25">
      <c r="G452" s="1"/>
    </row>
    <row r="453" spans="7:7" ht="15.75" customHeight="1" x14ac:dyDescent="0.25">
      <c r="G453" s="1"/>
    </row>
    <row r="454" spans="7:7" ht="15.75" customHeight="1" x14ac:dyDescent="0.25">
      <c r="G454" s="1"/>
    </row>
    <row r="455" spans="7:7" ht="15.75" customHeight="1" x14ac:dyDescent="0.25">
      <c r="G455" s="1"/>
    </row>
    <row r="456" spans="7:7" ht="15.75" customHeight="1" x14ac:dyDescent="0.25">
      <c r="G456" s="1"/>
    </row>
    <row r="457" spans="7:7" ht="15.75" customHeight="1" x14ac:dyDescent="0.25">
      <c r="G457" s="1"/>
    </row>
    <row r="458" spans="7:7" ht="15.75" customHeight="1" x14ac:dyDescent="0.25">
      <c r="G458" s="1"/>
    </row>
    <row r="459" spans="7:7" ht="15.75" customHeight="1" x14ac:dyDescent="0.25">
      <c r="G459" s="1"/>
    </row>
    <row r="460" spans="7:7" ht="15.75" customHeight="1" x14ac:dyDescent="0.25">
      <c r="G460" s="1"/>
    </row>
    <row r="461" spans="7:7" ht="15.75" customHeight="1" x14ac:dyDescent="0.25">
      <c r="G461" s="1"/>
    </row>
    <row r="462" spans="7:7" ht="15.75" customHeight="1" x14ac:dyDescent="0.25">
      <c r="G462" s="1"/>
    </row>
    <row r="463" spans="7:7" ht="15.75" customHeight="1" x14ac:dyDescent="0.25">
      <c r="G463" s="1"/>
    </row>
    <row r="464" spans="7:7" ht="15.75" customHeight="1" x14ac:dyDescent="0.25">
      <c r="G464" s="1"/>
    </row>
    <row r="465" spans="7:7" ht="15.75" customHeight="1" x14ac:dyDescent="0.25">
      <c r="G465" s="1"/>
    </row>
    <row r="466" spans="7:7" ht="15.75" customHeight="1" x14ac:dyDescent="0.25">
      <c r="G466" s="1"/>
    </row>
    <row r="467" spans="7:7" ht="15.75" customHeight="1" x14ac:dyDescent="0.25">
      <c r="G467" s="1"/>
    </row>
    <row r="468" spans="7:7" ht="15.75" customHeight="1" x14ac:dyDescent="0.25">
      <c r="G468" s="1"/>
    </row>
    <row r="469" spans="7:7" ht="15.75" customHeight="1" x14ac:dyDescent="0.25">
      <c r="G469" s="1"/>
    </row>
    <row r="470" spans="7:7" ht="15.75" customHeight="1" x14ac:dyDescent="0.25">
      <c r="G470" s="1"/>
    </row>
    <row r="471" spans="7:7" ht="15.75" customHeight="1" x14ac:dyDescent="0.25">
      <c r="G471" s="1"/>
    </row>
    <row r="472" spans="7:7" ht="15.75" customHeight="1" x14ac:dyDescent="0.25">
      <c r="G472" s="1"/>
    </row>
    <row r="473" spans="7:7" ht="15.75" customHeight="1" x14ac:dyDescent="0.25">
      <c r="G473" s="1"/>
    </row>
    <row r="474" spans="7:7" ht="15.75" customHeight="1" x14ac:dyDescent="0.25">
      <c r="G474" s="1"/>
    </row>
    <row r="475" spans="7:7" ht="15.75" customHeight="1" x14ac:dyDescent="0.25">
      <c r="G475" s="1"/>
    </row>
    <row r="476" spans="7:7" ht="15.75" customHeight="1" x14ac:dyDescent="0.25">
      <c r="G476" s="1"/>
    </row>
    <row r="477" spans="7:7" ht="15.75" customHeight="1" x14ac:dyDescent="0.25">
      <c r="G477" s="1"/>
    </row>
    <row r="478" spans="7:7" ht="15.75" customHeight="1" x14ac:dyDescent="0.25">
      <c r="G478" s="1"/>
    </row>
    <row r="479" spans="7:7" ht="15.75" customHeight="1" x14ac:dyDescent="0.25">
      <c r="G479" s="1"/>
    </row>
    <row r="480" spans="7:7" ht="15.75" customHeight="1" x14ac:dyDescent="0.25">
      <c r="G480" s="1"/>
    </row>
    <row r="481" spans="7:7" ht="15.75" customHeight="1" x14ac:dyDescent="0.25">
      <c r="G481" s="1"/>
    </row>
    <row r="482" spans="7:7" ht="15.75" customHeight="1" x14ac:dyDescent="0.25">
      <c r="G482" s="1"/>
    </row>
    <row r="483" spans="7:7" ht="15.75" customHeight="1" x14ac:dyDescent="0.25">
      <c r="G483" s="1"/>
    </row>
    <row r="484" spans="7:7" ht="15.75" customHeight="1" x14ac:dyDescent="0.25">
      <c r="G484" s="1"/>
    </row>
    <row r="485" spans="7:7" ht="15.75" customHeight="1" x14ac:dyDescent="0.25">
      <c r="G485" s="1"/>
    </row>
    <row r="486" spans="7:7" ht="15.75" customHeight="1" x14ac:dyDescent="0.25">
      <c r="G486" s="1"/>
    </row>
    <row r="487" spans="7:7" ht="15.75" customHeight="1" x14ac:dyDescent="0.25">
      <c r="G487" s="1"/>
    </row>
    <row r="488" spans="7:7" ht="15.75" customHeight="1" x14ac:dyDescent="0.25">
      <c r="G488" s="1"/>
    </row>
    <row r="489" spans="7:7" ht="15.75" customHeight="1" x14ac:dyDescent="0.25">
      <c r="G489" s="1"/>
    </row>
    <row r="490" spans="7:7" ht="15.75" customHeight="1" x14ac:dyDescent="0.25">
      <c r="G490" s="1"/>
    </row>
    <row r="491" spans="7:7" ht="15.75" customHeight="1" x14ac:dyDescent="0.25">
      <c r="G491" s="1"/>
    </row>
    <row r="492" spans="7:7" ht="15.75" customHeight="1" x14ac:dyDescent="0.25">
      <c r="G492" s="1"/>
    </row>
    <row r="493" spans="7:7" ht="15.75" customHeight="1" x14ac:dyDescent="0.25">
      <c r="G493" s="1"/>
    </row>
    <row r="494" spans="7:7" ht="15.75" customHeight="1" x14ac:dyDescent="0.25">
      <c r="G494" s="1"/>
    </row>
    <row r="495" spans="7:7" ht="15.75" customHeight="1" x14ac:dyDescent="0.25">
      <c r="G495" s="1"/>
    </row>
    <row r="496" spans="7:7" ht="15.75" customHeight="1" x14ac:dyDescent="0.25">
      <c r="G496" s="1"/>
    </row>
    <row r="497" spans="7:7" ht="15.75" customHeight="1" x14ac:dyDescent="0.25">
      <c r="G497" s="1"/>
    </row>
    <row r="498" spans="7:7" ht="15.75" customHeight="1" x14ac:dyDescent="0.25">
      <c r="G498" s="1"/>
    </row>
    <row r="499" spans="7:7" ht="15.75" customHeight="1" x14ac:dyDescent="0.25">
      <c r="G499" s="1"/>
    </row>
    <row r="500" spans="7:7" ht="15.75" customHeight="1" x14ac:dyDescent="0.25">
      <c r="G500" s="1"/>
    </row>
    <row r="501" spans="7:7" ht="15.75" customHeight="1" x14ac:dyDescent="0.25">
      <c r="G501" s="1"/>
    </row>
    <row r="502" spans="7:7" ht="15.75" customHeight="1" x14ac:dyDescent="0.25">
      <c r="G502" s="1"/>
    </row>
    <row r="503" spans="7:7" ht="15.75" customHeight="1" x14ac:dyDescent="0.25">
      <c r="G503" s="1"/>
    </row>
    <row r="504" spans="7:7" ht="15.75" customHeight="1" x14ac:dyDescent="0.25">
      <c r="G504" s="1"/>
    </row>
    <row r="505" spans="7:7" ht="15.75" customHeight="1" x14ac:dyDescent="0.25">
      <c r="G505" s="1"/>
    </row>
    <row r="506" spans="7:7" ht="15.75" customHeight="1" x14ac:dyDescent="0.25">
      <c r="G506" s="1"/>
    </row>
    <row r="507" spans="7:7" ht="15.75" customHeight="1" x14ac:dyDescent="0.25">
      <c r="G507" s="1"/>
    </row>
    <row r="508" spans="7:7" ht="15.75" customHeight="1" x14ac:dyDescent="0.25">
      <c r="G508" s="1"/>
    </row>
    <row r="509" spans="7:7" ht="15.75" customHeight="1" x14ac:dyDescent="0.25">
      <c r="G509" s="1"/>
    </row>
    <row r="510" spans="7:7" ht="15.75" customHeight="1" x14ac:dyDescent="0.25">
      <c r="G510" s="1"/>
    </row>
    <row r="511" spans="7:7" ht="15.75" customHeight="1" x14ac:dyDescent="0.25">
      <c r="G511" s="1"/>
    </row>
    <row r="512" spans="7:7" ht="15.75" customHeight="1" x14ac:dyDescent="0.25">
      <c r="G512" s="1"/>
    </row>
    <row r="513" spans="7:7" ht="15.75" customHeight="1" x14ac:dyDescent="0.25">
      <c r="G513" s="1"/>
    </row>
    <row r="514" spans="7:7" ht="15.75" customHeight="1" x14ac:dyDescent="0.25">
      <c r="G514" s="1"/>
    </row>
    <row r="515" spans="7:7" ht="15.75" customHeight="1" x14ac:dyDescent="0.25">
      <c r="G515" s="1"/>
    </row>
    <row r="516" spans="7:7" ht="15.75" customHeight="1" x14ac:dyDescent="0.25">
      <c r="G516" s="1"/>
    </row>
    <row r="517" spans="7:7" ht="15.75" customHeight="1" x14ac:dyDescent="0.25">
      <c r="G517" s="1"/>
    </row>
    <row r="518" spans="7:7" ht="15.75" customHeight="1" x14ac:dyDescent="0.25">
      <c r="G518" s="1"/>
    </row>
    <row r="519" spans="7:7" ht="15.75" customHeight="1" x14ac:dyDescent="0.25">
      <c r="G519" s="1"/>
    </row>
    <row r="520" spans="7:7" ht="15.75" customHeight="1" x14ac:dyDescent="0.25">
      <c r="G520" s="1"/>
    </row>
    <row r="521" spans="7:7" ht="15.75" customHeight="1" x14ac:dyDescent="0.25">
      <c r="G521" s="1"/>
    </row>
    <row r="522" spans="7:7" ht="15.75" customHeight="1" x14ac:dyDescent="0.25">
      <c r="G522" s="1"/>
    </row>
    <row r="523" spans="7:7" ht="15.75" customHeight="1" x14ac:dyDescent="0.25">
      <c r="G523" s="1"/>
    </row>
    <row r="524" spans="7:7" ht="15.75" customHeight="1" x14ac:dyDescent="0.25">
      <c r="G524" s="1"/>
    </row>
    <row r="525" spans="7:7" ht="15.75" customHeight="1" x14ac:dyDescent="0.25">
      <c r="G525" s="1"/>
    </row>
    <row r="526" spans="7:7" ht="15.75" customHeight="1" x14ac:dyDescent="0.25">
      <c r="G526" s="1"/>
    </row>
    <row r="527" spans="7:7" ht="15.75" customHeight="1" x14ac:dyDescent="0.25">
      <c r="G527" s="1"/>
    </row>
    <row r="528" spans="7:7" ht="15.75" customHeight="1" x14ac:dyDescent="0.25">
      <c r="G528" s="1"/>
    </row>
    <row r="529" spans="7:7" ht="15.75" customHeight="1" x14ac:dyDescent="0.25">
      <c r="G529" s="1"/>
    </row>
    <row r="530" spans="7:7" ht="15.75" customHeight="1" x14ac:dyDescent="0.25">
      <c r="G530" s="1"/>
    </row>
    <row r="531" spans="7:7" ht="15.75" customHeight="1" x14ac:dyDescent="0.25">
      <c r="G531" s="1"/>
    </row>
    <row r="532" spans="7:7" ht="15.75" customHeight="1" x14ac:dyDescent="0.25">
      <c r="G532" s="1"/>
    </row>
    <row r="533" spans="7:7" ht="15.75" customHeight="1" x14ac:dyDescent="0.25">
      <c r="G533" s="1"/>
    </row>
    <row r="534" spans="7:7" ht="15.75" customHeight="1" x14ac:dyDescent="0.25">
      <c r="G534" s="1"/>
    </row>
    <row r="535" spans="7:7" ht="15.75" customHeight="1" x14ac:dyDescent="0.25">
      <c r="G535" s="1"/>
    </row>
    <row r="536" spans="7:7" ht="15.75" customHeight="1" x14ac:dyDescent="0.25">
      <c r="G536" s="1"/>
    </row>
    <row r="537" spans="7:7" ht="15.75" customHeight="1" x14ac:dyDescent="0.25">
      <c r="G537" s="1"/>
    </row>
    <row r="538" spans="7:7" ht="15.75" customHeight="1" x14ac:dyDescent="0.25">
      <c r="G538" s="1"/>
    </row>
    <row r="539" spans="7:7" ht="15.75" customHeight="1" x14ac:dyDescent="0.25">
      <c r="G539" s="1"/>
    </row>
    <row r="540" spans="7:7" ht="15.75" customHeight="1" x14ac:dyDescent="0.25">
      <c r="G540" s="1"/>
    </row>
    <row r="541" spans="7:7" ht="15.75" customHeight="1" x14ac:dyDescent="0.25">
      <c r="G541" s="1"/>
    </row>
    <row r="542" spans="7:7" ht="15.75" customHeight="1" x14ac:dyDescent="0.25">
      <c r="G542" s="1"/>
    </row>
    <row r="543" spans="7:7" ht="15.75" customHeight="1" x14ac:dyDescent="0.25">
      <c r="G543" s="1"/>
    </row>
    <row r="544" spans="7:7" ht="15.75" customHeight="1" x14ac:dyDescent="0.25">
      <c r="G544" s="1"/>
    </row>
    <row r="545" spans="7:7" ht="15.75" customHeight="1" x14ac:dyDescent="0.25">
      <c r="G545" s="1"/>
    </row>
    <row r="546" spans="7:7" ht="15.75" customHeight="1" x14ac:dyDescent="0.25">
      <c r="G546" s="1"/>
    </row>
    <row r="547" spans="7:7" ht="15.75" customHeight="1" x14ac:dyDescent="0.25">
      <c r="G547" s="1"/>
    </row>
    <row r="548" spans="7:7" ht="15.75" customHeight="1" x14ac:dyDescent="0.25">
      <c r="G548" s="1"/>
    </row>
    <row r="549" spans="7:7" ht="15.75" customHeight="1" x14ac:dyDescent="0.25">
      <c r="G549" s="1"/>
    </row>
    <row r="550" spans="7:7" ht="15.75" customHeight="1" x14ac:dyDescent="0.25">
      <c r="G550" s="1"/>
    </row>
    <row r="551" spans="7:7" ht="15.75" customHeight="1" x14ac:dyDescent="0.25">
      <c r="G551" s="1"/>
    </row>
    <row r="552" spans="7:7" ht="15.75" customHeight="1" x14ac:dyDescent="0.25">
      <c r="G552" s="1"/>
    </row>
    <row r="553" spans="7:7" ht="15.75" customHeight="1" x14ac:dyDescent="0.25">
      <c r="G553" s="1"/>
    </row>
    <row r="554" spans="7:7" ht="15.75" customHeight="1" x14ac:dyDescent="0.25">
      <c r="G554" s="1"/>
    </row>
    <row r="555" spans="7:7" ht="15.75" customHeight="1" x14ac:dyDescent="0.25">
      <c r="G555" s="1"/>
    </row>
    <row r="556" spans="7:7" ht="15.75" customHeight="1" x14ac:dyDescent="0.25">
      <c r="G556" s="1"/>
    </row>
    <row r="557" spans="7:7" ht="15.75" customHeight="1" x14ac:dyDescent="0.25">
      <c r="G557" s="1"/>
    </row>
    <row r="558" spans="7:7" ht="15.75" customHeight="1" x14ac:dyDescent="0.25">
      <c r="G558" s="1"/>
    </row>
    <row r="559" spans="7:7" ht="15.75" customHeight="1" x14ac:dyDescent="0.25">
      <c r="G559" s="1"/>
    </row>
    <row r="560" spans="7:7" ht="15.75" customHeight="1" x14ac:dyDescent="0.25">
      <c r="G560" s="1"/>
    </row>
    <row r="561" spans="7:7" ht="15.75" customHeight="1" x14ac:dyDescent="0.25">
      <c r="G561" s="1"/>
    </row>
    <row r="562" spans="7:7" ht="15.75" customHeight="1" x14ac:dyDescent="0.25">
      <c r="G562" s="1"/>
    </row>
    <row r="563" spans="7:7" ht="15.75" customHeight="1" x14ac:dyDescent="0.25">
      <c r="G563" s="1"/>
    </row>
    <row r="564" spans="7:7" ht="15.75" customHeight="1" x14ac:dyDescent="0.25">
      <c r="G564" s="1"/>
    </row>
    <row r="565" spans="7:7" ht="15.75" customHeight="1" x14ac:dyDescent="0.25">
      <c r="G565" s="1"/>
    </row>
    <row r="566" spans="7:7" ht="15.75" customHeight="1" x14ac:dyDescent="0.25">
      <c r="G566" s="1"/>
    </row>
    <row r="567" spans="7:7" ht="15.75" customHeight="1" x14ac:dyDescent="0.25">
      <c r="G567" s="1"/>
    </row>
    <row r="568" spans="7:7" ht="15.75" customHeight="1" x14ac:dyDescent="0.25">
      <c r="G568" s="1"/>
    </row>
    <row r="569" spans="7:7" ht="15.75" customHeight="1" x14ac:dyDescent="0.25">
      <c r="G569" s="1"/>
    </row>
    <row r="570" spans="7:7" ht="15.75" customHeight="1" x14ac:dyDescent="0.25">
      <c r="G570" s="1"/>
    </row>
    <row r="571" spans="7:7" ht="15.75" customHeight="1" x14ac:dyDescent="0.25">
      <c r="G571" s="1"/>
    </row>
    <row r="572" spans="7:7" ht="15.75" customHeight="1" x14ac:dyDescent="0.25">
      <c r="G572" s="1"/>
    </row>
    <row r="573" spans="7:7" ht="15.75" customHeight="1" x14ac:dyDescent="0.25">
      <c r="G573" s="1"/>
    </row>
    <row r="574" spans="7:7" ht="15.75" customHeight="1" x14ac:dyDescent="0.25">
      <c r="G574" s="1"/>
    </row>
    <row r="575" spans="7:7" ht="15.75" customHeight="1" x14ac:dyDescent="0.25">
      <c r="G575" s="1"/>
    </row>
    <row r="576" spans="7:7" ht="15.75" customHeight="1" x14ac:dyDescent="0.25">
      <c r="G576" s="1"/>
    </row>
    <row r="577" spans="7:7" ht="15.75" customHeight="1" x14ac:dyDescent="0.25">
      <c r="G577" s="1"/>
    </row>
    <row r="578" spans="7:7" ht="15.75" customHeight="1" x14ac:dyDescent="0.25">
      <c r="G578" s="1"/>
    </row>
    <row r="579" spans="7:7" ht="15.75" customHeight="1" x14ac:dyDescent="0.25">
      <c r="G579" s="1"/>
    </row>
    <row r="580" spans="7:7" ht="15.75" customHeight="1" x14ac:dyDescent="0.25">
      <c r="G580" s="1"/>
    </row>
    <row r="581" spans="7:7" ht="15.75" customHeight="1" x14ac:dyDescent="0.25">
      <c r="G581" s="1"/>
    </row>
    <row r="582" spans="7:7" ht="15.75" customHeight="1" x14ac:dyDescent="0.25">
      <c r="G582" s="1"/>
    </row>
    <row r="583" spans="7:7" ht="15.75" customHeight="1" x14ac:dyDescent="0.25">
      <c r="G583" s="1"/>
    </row>
    <row r="584" spans="7:7" ht="15.75" customHeight="1" x14ac:dyDescent="0.25">
      <c r="G584" s="1"/>
    </row>
    <row r="585" spans="7:7" ht="15.75" customHeight="1" x14ac:dyDescent="0.25">
      <c r="G585" s="1"/>
    </row>
    <row r="586" spans="7:7" ht="15.75" customHeight="1" x14ac:dyDescent="0.25">
      <c r="G586" s="1"/>
    </row>
    <row r="587" spans="7:7" ht="15.75" customHeight="1" x14ac:dyDescent="0.25">
      <c r="G587" s="1"/>
    </row>
    <row r="588" spans="7:7" ht="15.75" customHeight="1" x14ac:dyDescent="0.25">
      <c r="G588" s="1"/>
    </row>
    <row r="589" spans="7:7" ht="15.75" customHeight="1" x14ac:dyDescent="0.25">
      <c r="G589" s="1"/>
    </row>
    <row r="590" spans="7:7" ht="15.75" customHeight="1" x14ac:dyDescent="0.25">
      <c r="G590" s="1"/>
    </row>
    <row r="591" spans="7:7" ht="15.75" customHeight="1" x14ac:dyDescent="0.25">
      <c r="G591" s="1"/>
    </row>
    <row r="592" spans="7:7" ht="15.75" customHeight="1" x14ac:dyDescent="0.25">
      <c r="G592" s="1"/>
    </row>
    <row r="593" spans="7:7" ht="15.75" customHeight="1" x14ac:dyDescent="0.25">
      <c r="G593" s="1"/>
    </row>
    <row r="594" spans="7:7" ht="15.75" customHeight="1" x14ac:dyDescent="0.25">
      <c r="G594" s="1"/>
    </row>
    <row r="595" spans="7:7" ht="15.75" customHeight="1" x14ac:dyDescent="0.25">
      <c r="G595" s="1"/>
    </row>
    <row r="596" spans="7:7" ht="15.75" customHeight="1" x14ac:dyDescent="0.25">
      <c r="G596" s="1"/>
    </row>
    <row r="597" spans="7:7" ht="15.75" customHeight="1" x14ac:dyDescent="0.25">
      <c r="G597" s="1"/>
    </row>
    <row r="598" spans="7:7" ht="15.75" customHeight="1" x14ac:dyDescent="0.25">
      <c r="G598" s="1"/>
    </row>
    <row r="599" spans="7:7" ht="15.75" customHeight="1" x14ac:dyDescent="0.25">
      <c r="G599" s="1"/>
    </row>
    <row r="600" spans="7:7" ht="15.75" customHeight="1" x14ac:dyDescent="0.25">
      <c r="G600" s="1"/>
    </row>
    <row r="601" spans="7:7" ht="15.75" customHeight="1" x14ac:dyDescent="0.25">
      <c r="G601" s="1"/>
    </row>
    <row r="602" spans="7:7" ht="15.75" customHeight="1" x14ac:dyDescent="0.25">
      <c r="G602" s="1"/>
    </row>
    <row r="603" spans="7:7" ht="15.75" customHeight="1" x14ac:dyDescent="0.25">
      <c r="G603" s="1"/>
    </row>
    <row r="604" spans="7:7" ht="15.75" customHeight="1" x14ac:dyDescent="0.25">
      <c r="G604" s="1"/>
    </row>
    <row r="605" spans="7:7" ht="15.75" customHeight="1" x14ac:dyDescent="0.25">
      <c r="G605" s="1"/>
    </row>
    <row r="606" spans="7:7" ht="15.75" customHeight="1" x14ac:dyDescent="0.25">
      <c r="G606" s="1"/>
    </row>
    <row r="607" spans="7:7" ht="15.75" customHeight="1" x14ac:dyDescent="0.25">
      <c r="G607" s="1"/>
    </row>
    <row r="608" spans="7:7" ht="15.75" customHeight="1" x14ac:dyDescent="0.25">
      <c r="G608" s="1"/>
    </row>
    <row r="609" spans="7:7" ht="15.75" customHeight="1" x14ac:dyDescent="0.25">
      <c r="G609" s="1"/>
    </row>
    <row r="610" spans="7:7" ht="15.75" customHeight="1" x14ac:dyDescent="0.25">
      <c r="G610" s="1"/>
    </row>
    <row r="611" spans="7:7" ht="15.75" customHeight="1" x14ac:dyDescent="0.25">
      <c r="G611" s="1"/>
    </row>
    <row r="612" spans="7:7" ht="15.75" customHeight="1" x14ac:dyDescent="0.25">
      <c r="G612" s="1"/>
    </row>
    <row r="613" spans="7:7" ht="15.75" customHeight="1" x14ac:dyDescent="0.25">
      <c r="G613" s="1"/>
    </row>
    <row r="614" spans="7:7" ht="15.75" customHeight="1" x14ac:dyDescent="0.25">
      <c r="G614" s="1"/>
    </row>
    <row r="615" spans="7:7" ht="15.75" customHeight="1" x14ac:dyDescent="0.25">
      <c r="G615" s="1"/>
    </row>
    <row r="616" spans="7:7" ht="15.75" customHeight="1" x14ac:dyDescent="0.25">
      <c r="G616" s="1"/>
    </row>
    <row r="617" spans="7:7" ht="15.75" customHeight="1" x14ac:dyDescent="0.25">
      <c r="G617" s="1"/>
    </row>
    <row r="618" spans="7:7" ht="15.75" customHeight="1" x14ac:dyDescent="0.25">
      <c r="G618" s="1"/>
    </row>
    <row r="619" spans="7:7" ht="15.75" customHeight="1" x14ac:dyDescent="0.25">
      <c r="G619" s="1"/>
    </row>
    <row r="620" spans="7:7" ht="15.75" customHeight="1" x14ac:dyDescent="0.25">
      <c r="G620" s="1"/>
    </row>
    <row r="621" spans="7:7" ht="15.75" customHeight="1" x14ac:dyDescent="0.25">
      <c r="G621" s="1"/>
    </row>
    <row r="622" spans="7:7" ht="15.75" customHeight="1" x14ac:dyDescent="0.25">
      <c r="G622" s="1"/>
    </row>
    <row r="623" spans="7:7" ht="15.75" customHeight="1" x14ac:dyDescent="0.25">
      <c r="G623" s="1"/>
    </row>
    <row r="624" spans="7:7" ht="15.75" customHeight="1" x14ac:dyDescent="0.25">
      <c r="G624" s="1"/>
    </row>
    <row r="625" spans="7:7" ht="15.75" customHeight="1" x14ac:dyDescent="0.25">
      <c r="G625" s="1"/>
    </row>
    <row r="626" spans="7:7" ht="15.75" customHeight="1" x14ac:dyDescent="0.25">
      <c r="G626" s="1"/>
    </row>
    <row r="627" spans="7:7" ht="15.75" customHeight="1" x14ac:dyDescent="0.25">
      <c r="G627" s="1"/>
    </row>
    <row r="628" spans="7:7" ht="15.75" customHeight="1" x14ac:dyDescent="0.25">
      <c r="G628" s="1"/>
    </row>
    <row r="629" spans="7:7" ht="15.75" customHeight="1" x14ac:dyDescent="0.25">
      <c r="G629" s="1"/>
    </row>
    <row r="630" spans="7:7" ht="15.75" customHeight="1" x14ac:dyDescent="0.25">
      <c r="G630" s="1"/>
    </row>
    <row r="631" spans="7:7" ht="15.75" customHeight="1" x14ac:dyDescent="0.25">
      <c r="G631" s="1"/>
    </row>
    <row r="632" spans="7:7" ht="15.75" customHeight="1" x14ac:dyDescent="0.25">
      <c r="G632" s="1"/>
    </row>
    <row r="633" spans="7:7" ht="15.75" customHeight="1" x14ac:dyDescent="0.25">
      <c r="G633" s="1"/>
    </row>
    <row r="634" spans="7:7" ht="15.75" customHeight="1" x14ac:dyDescent="0.25">
      <c r="G634" s="1"/>
    </row>
    <row r="635" spans="7:7" ht="15.75" customHeight="1" x14ac:dyDescent="0.25">
      <c r="G635" s="1"/>
    </row>
    <row r="636" spans="7:7" ht="15.75" customHeight="1" x14ac:dyDescent="0.25">
      <c r="G636" s="1"/>
    </row>
    <row r="637" spans="7:7" ht="15.75" customHeight="1" x14ac:dyDescent="0.25">
      <c r="G637" s="1"/>
    </row>
    <row r="638" spans="7:7" ht="15.75" customHeight="1" x14ac:dyDescent="0.25">
      <c r="G638" s="1"/>
    </row>
    <row r="639" spans="7:7" ht="15.75" customHeight="1" x14ac:dyDescent="0.25">
      <c r="G639" s="1"/>
    </row>
    <row r="640" spans="7:7" ht="15.75" customHeight="1" x14ac:dyDescent="0.25">
      <c r="G640" s="1"/>
    </row>
    <row r="641" spans="7:7" ht="15.75" customHeight="1" x14ac:dyDescent="0.25">
      <c r="G641" s="1"/>
    </row>
    <row r="642" spans="7:7" ht="15.75" customHeight="1" x14ac:dyDescent="0.25">
      <c r="G642" s="1"/>
    </row>
    <row r="643" spans="7:7" ht="15.75" customHeight="1" x14ac:dyDescent="0.25">
      <c r="G643" s="1"/>
    </row>
    <row r="644" spans="7:7" ht="15.75" customHeight="1" x14ac:dyDescent="0.25">
      <c r="G644" s="1"/>
    </row>
    <row r="645" spans="7:7" ht="15.75" customHeight="1" x14ac:dyDescent="0.25">
      <c r="G645" s="1"/>
    </row>
    <row r="646" spans="7:7" ht="15.75" customHeight="1" x14ac:dyDescent="0.25">
      <c r="G646" s="1"/>
    </row>
    <row r="647" spans="7:7" ht="15.75" customHeight="1" x14ac:dyDescent="0.25">
      <c r="G647" s="1"/>
    </row>
    <row r="648" spans="7:7" ht="15.75" customHeight="1" x14ac:dyDescent="0.25">
      <c r="G648" s="1"/>
    </row>
    <row r="649" spans="7:7" ht="15.75" customHeight="1" x14ac:dyDescent="0.25">
      <c r="G649" s="1"/>
    </row>
    <row r="650" spans="7:7" ht="15.75" customHeight="1" x14ac:dyDescent="0.25">
      <c r="G650" s="1"/>
    </row>
    <row r="651" spans="7:7" ht="15.75" customHeight="1" x14ac:dyDescent="0.25">
      <c r="G651" s="1"/>
    </row>
    <row r="652" spans="7:7" ht="15.75" customHeight="1" x14ac:dyDescent="0.25">
      <c r="G652" s="1"/>
    </row>
    <row r="653" spans="7:7" ht="15.75" customHeight="1" x14ac:dyDescent="0.25">
      <c r="G653" s="1"/>
    </row>
    <row r="654" spans="7:7" ht="15.75" customHeight="1" x14ac:dyDescent="0.25">
      <c r="G654" s="1"/>
    </row>
    <row r="655" spans="7:7" ht="15.75" customHeight="1" x14ac:dyDescent="0.25">
      <c r="G655" s="1"/>
    </row>
    <row r="656" spans="7:7" ht="15.75" customHeight="1" x14ac:dyDescent="0.25">
      <c r="G656" s="1"/>
    </row>
    <row r="657" spans="7:7" ht="15.75" customHeight="1" x14ac:dyDescent="0.25">
      <c r="G657" s="1"/>
    </row>
    <row r="658" spans="7:7" ht="15.75" customHeight="1" x14ac:dyDescent="0.25">
      <c r="G658" s="1"/>
    </row>
    <row r="659" spans="7:7" ht="15.75" customHeight="1" x14ac:dyDescent="0.25">
      <c r="G659" s="1"/>
    </row>
    <row r="660" spans="7:7" ht="15.75" customHeight="1" x14ac:dyDescent="0.25">
      <c r="G660" s="1"/>
    </row>
    <row r="661" spans="7:7" ht="15.75" customHeight="1" x14ac:dyDescent="0.25">
      <c r="G661" s="1"/>
    </row>
    <row r="662" spans="7:7" ht="15.75" customHeight="1" x14ac:dyDescent="0.25">
      <c r="G662" s="1"/>
    </row>
    <row r="663" spans="7:7" ht="15.75" customHeight="1" x14ac:dyDescent="0.25">
      <c r="G663" s="1"/>
    </row>
    <row r="664" spans="7:7" ht="15.75" customHeight="1" x14ac:dyDescent="0.25">
      <c r="G664" s="1"/>
    </row>
    <row r="665" spans="7:7" ht="15.75" customHeight="1" x14ac:dyDescent="0.25">
      <c r="G665" s="1"/>
    </row>
    <row r="666" spans="7:7" ht="15.75" customHeight="1" x14ac:dyDescent="0.25">
      <c r="G666" s="1"/>
    </row>
    <row r="667" spans="7:7" ht="15.75" customHeight="1" x14ac:dyDescent="0.25">
      <c r="G667" s="1"/>
    </row>
    <row r="668" spans="7:7" ht="15.75" customHeight="1" x14ac:dyDescent="0.25">
      <c r="G668" s="1"/>
    </row>
    <row r="669" spans="7:7" ht="15.75" customHeight="1" x14ac:dyDescent="0.25">
      <c r="G669" s="1"/>
    </row>
    <row r="670" spans="7:7" ht="15.75" customHeight="1" x14ac:dyDescent="0.25">
      <c r="G670" s="1"/>
    </row>
    <row r="671" spans="7:7" ht="15.75" customHeight="1" x14ac:dyDescent="0.25">
      <c r="G671" s="1"/>
    </row>
    <row r="672" spans="7:7" ht="15.75" customHeight="1" x14ac:dyDescent="0.25">
      <c r="G672" s="1"/>
    </row>
    <row r="673" spans="7:7" ht="15.75" customHeight="1" x14ac:dyDescent="0.25">
      <c r="G673" s="1"/>
    </row>
    <row r="674" spans="7:7" ht="15.75" customHeight="1" x14ac:dyDescent="0.25">
      <c r="G674" s="1"/>
    </row>
    <row r="675" spans="7:7" ht="15.75" customHeight="1" x14ac:dyDescent="0.25">
      <c r="G675" s="1"/>
    </row>
    <row r="676" spans="7:7" ht="15.75" customHeight="1" x14ac:dyDescent="0.25">
      <c r="G676" s="1"/>
    </row>
    <row r="677" spans="7:7" ht="15.75" customHeight="1" x14ac:dyDescent="0.25">
      <c r="G677" s="1"/>
    </row>
    <row r="678" spans="7:7" ht="15.75" customHeight="1" x14ac:dyDescent="0.25">
      <c r="G678" s="1"/>
    </row>
    <row r="679" spans="7:7" ht="15.75" customHeight="1" x14ac:dyDescent="0.25">
      <c r="G679" s="1"/>
    </row>
    <row r="680" spans="7:7" ht="15.75" customHeight="1" x14ac:dyDescent="0.25">
      <c r="G680" s="1"/>
    </row>
    <row r="681" spans="7:7" ht="15.75" customHeight="1" x14ac:dyDescent="0.25">
      <c r="G681" s="1"/>
    </row>
    <row r="682" spans="7:7" ht="15.75" customHeight="1" x14ac:dyDescent="0.25">
      <c r="G682" s="1"/>
    </row>
    <row r="683" spans="7:7" ht="15.75" customHeight="1" x14ac:dyDescent="0.25">
      <c r="G683" s="1"/>
    </row>
    <row r="684" spans="7:7" ht="15.75" customHeight="1" x14ac:dyDescent="0.25">
      <c r="G684" s="1"/>
    </row>
    <row r="685" spans="7:7" ht="15.75" customHeight="1" x14ac:dyDescent="0.25">
      <c r="G685" s="1"/>
    </row>
    <row r="686" spans="7:7" ht="15.75" customHeight="1" x14ac:dyDescent="0.25">
      <c r="G686" s="1"/>
    </row>
    <row r="687" spans="7:7" ht="15.75" customHeight="1" x14ac:dyDescent="0.25">
      <c r="G687" s="1"/>
    </row>
    <row r="688" spans="7:7" ht="15.75" customHeight="1" x14ac:dyDescent="0.25">
      <c r="G688" s="1"/>
    </row>
    <row r="689" spans="7:7" ht="15.75" customHeight="1" x14ac:dyDescent="0.25">
      <c r="G689" s="1"/>
    </row>
    <row r="690" spans="7:7" ht="15.75" customHeight="1" x14ac:dyDescent="0.25">
      <c r="G690" s="1"/>
    </row>
    <row r="691" spans="7:7" ht="15.75" customHeight="1" x14ac:dyDescent="0.25">
      <c r="G691" s="1"/>
    </row>
    <row r="692" spans="7:7" ht="15.75" customHeight="1" x14ac:dyDescent="0.25">
      <c r="G692" s="1"/>
    </row>
    <row r="693" spans="7:7" ht="15.75" customHeight="1" x14ac:dyDescent="0.25">
      <c r="G693" s="1"/>
    </row>
    <row r="694" spans="7:7" ht="15.75" customHeight="1" x14ac:dyDescent="0.25">
      <c r="G694" s="1"/>
    </row>
    <row r="695" spans="7:7" ht="15.75" customHeight="1" x14ac:dyDescent="0.25">
      <c r="G695" s="1"/>
    </row>
    <row r="696" spans="7:7" ht="15.75" customHeight="1" x14ac:dyDescent="0.25">
      <c r="G696" s="1"/>
    </row>
    <row r="697" spans="7:7" ht="15.75" customHeight="1" x14ac:dyDescent="0.25">
      <c r="G697" s="1"/>
    </row>
    <row r="698" spans="7:7" ht="15.75" customHeight="1" x14ac:dyDescent="0.25">
      <c r="G698" s="1"/>
    </row>
    <row r="699" spans="7:7" ht="15.75" customHeight="1" x14ac:dyDescent="0.25">
      <c r="G699" s="1"/>
    </row>
    <row r="700" spans="7:7" ht="15.75" customHeight="1" x14ac:dyDescent="0.25">
      <c r="G700" s="1"/>
    </row>
    <row r="701" spans="7:7" ht="15.75" customHeight="1" x14ac:dyDescent="0.25">
      <c r="G701" s="1"/>
    </row>
    <row r="702" spans="7:7" ht="15.75" customHeight="1" x14ac:dyDescent="0.25">
      <c r="G702" s="1"/>
    </row>
    <row r="703" spans="7:7" ht="15.75" customHeight="1" x14ac:dyDescent="0.25">
      <c r="G703" s="1"/>
    </row>
    <row r="704" spans="7:7" ht="15.75" customHeight="1" x14ac:dyDescent="0.25">
      <c r="G704" s="1"/>
    </row>
    <row r="705" spans="7:7" ht="15.75" customHeight="1" x14ac:dyDescent="0.25">
      <c r="G705" s="1"/>
    </row>
    <row r="706" spans="7:7" ht="15.75" customHeight="1" x14ac:dyDescent="0.25">
      <c r="G706" s="1"/>
    </row>
    <row r="707" spans="7:7" ht="15.75" customHeight="1" x14ac:dyDescent="0.25">
      <c r="G707" s="1"/>
    </row>
    <row r="708" spans="7:7" ht="15.75" customHeight="1" x14ac:dyDescent="0.25">
      <c r="G708" s="1"/>
    </row>
    <row r="709" spans="7:7" ht="15.75" customHeight="1" x14ac:dyDescent="0.25">
      <c r="G709" s="1"/>
    </row>
    <row r="710" spans="7:7" ht="15.75" customHeight="1" x14ac:dyDescent="0.25">
      <c r="G710" s="1"/>
    </row>
    <row r="711" spans="7:7" ht="15.75" customHeight="1" x14ac:dyDescent="0.25">
      <c r="G711" s="1"/>
    </row>
    <row r="712" spans="7:7" ht="15.75" customHeight="1" x14ac:dyDescent="0.25">
      <c r="G712" s="1"/>
    </row>
    <row r="713" spans="7:7" ht="15.75" customHeight="1" x14ac:dyDescent="0.25">
      <c r="G713" s="1"/>
    </row>
    <row r="714" spans="7:7" ht="15.75" customHeight="1" x14ac:dyDescent="0.25">
      <c r="G714" s="1"/>
    </row>
    <row r="715" spans="7:7" ht="15.75" customHeight="1" x14ac:dyDescent="0.25">
      <c r="G715" s="1"/>
    </row>
    <row r="716" spans="7:7" ht="15.75" customHeight="1" x14ac:dyDescent="0.25">
      <c r="G716" s="1"/>
    </row>
    <row r="717" spans="7:7" ht="15.75" customHeight="1" x14ac:dyDescent="0.25">
      <c r="G717" s="1"/>
    </row>
    <row r="718" spans="7:7" ht="15.75" customHeight="1" x14ac:dyDescent="0.25">
      <c r="G718" s="1"/>
    </row>
    <row r="719" spans="7:7" ht="15.75" customHeight="1" x14ac:dyDescent="0.25">
      <c r="G719" s="1"/>
    </row>
    <row r="720" spans="7:7" ht="15.75" customHeight="1" x14ac:dyDescent="0.25">
      <c r="G720" s="1"/>
    </row>
    <row r="721" spans="7:7" ht="15.75" customHeight="1" x14ac:dyDescent="0.25">
      <c r="G721" s="1"/>
    </row>
    <row r="722" spans="7:7" ht="15.75" customHeight="1" x14ac:dyDescent="0.25">
      <c r="G722" s="1"/>
    </row>
    <row r="723" spans="7:7" ht="15.75" customHeight="1" x14ac:dyDescent="0.25">
      <c r="G723" s="1"/>
    </row>
    <row r="724" spans="7:7" ht="15.75" customHeight="1" x14ac:dyDescent="0.25">
      <c r="G724" s="1"/>
    </row>
    <row r="725" spans="7:7" ht="15.75" customHeight="1" x14ac:dyDescent="0.25">
      <c r="G725" s="1"/>
    </row>
    <row r="726" spans="7:7" ht="15.75" customHeight="1" x14ac:dyDescent="0.25">
      <c r="G726" s="1"/>
    </row>
    <row r="727" spans="7:7" ht="15.75" customHeight="1" x14ac:dyDescent="0.25">
      <c r="G727" s="1"/>
    </row>
    <row r="728" spans="7:7" ht="15.75" customHeight="1" x14ac:dyDescent="0.25">
      <c r="G728" s="1"/>
    </row>
    <row r="729" spans="7:7" ht="15.75" customHeight="1" x14ac:dyDescent="0.25">
      <c r="G729" s="1"/>
    </row>
    <row r="730" spans="7:7" ht="15.75" customHeight="1" x14ac:dyDescent="0.25">
      <c r="G730" s="1"/>
    </row>
    <row r="731" spans="7:7" ht="15.75" customHeight="1" x14ac:dyDescent="0.25">
      <c r="G731" s="1"/>
    </row>
    <row r="732" spans="7:7" ht="15.75" customHeight="1" x14ac:dyDescent="0.25">
      <c r="G732" s="1"/>
    </row>
    <row r="733" spans="7:7" ht="15.75" customHeight="1" x14ac:dyDescent="0.25">
      <c r="G733" s="1"/>
    </row>
    <row r="734" spans="7:7" ht="15.75" customHeight="1" x14ac:dyDescent="0.25">
      <c r="G734" s="1"/>
    </row>
    <row r="735" spans="7:7" ht="15.75" customHeight="1" x14ac:dyDescent="0.25">
      <c r="G735" s="1"/>
    </row>
    <row r="736" spans="7:7" ht="15.75" customHeight="1" x14ac:dyDescent="0.25">
      <c r="G736" s="1"/>
    </row>
    <row r="737" spans="7:7" ht="15.75" customHeight="1" x14ac:dyDescent="0.25">
      <c r="G737" s="1"/>
    </row>
    <row r="738" spans="7:7" ht="15.75" customHeight="1" x14ac:dyDescent="0.25">
      <c r="G738" s="1"/>
    </row>
    <row r="739" spans="7:7" ht="15.75" customHeight="1" x14ac:dyDescent="0.25">
      <c r="G739" s="1"/>
    </row>
    <row r="740" spans="7:7" ht="15.75" customHeight="1" x14ac:dyDescent="0.25">
      <c r="G740" s="1"/>
    </row>
    <row r="741" spans="7:7" ht="15.75" customHeight="1" x14ac:dyDescent="0.25">
      <c r="G741" s="1"/>
    </row>
    <row r="742" spans="7:7" ht="15.75" customHeight="1" x14ac:dyDescent="0.25">
      <c r="G742" s="1"/>
    </row>
    <row r="743" spans="7:7" ht="15.75" customHeight="1" x14ac:dyDescent="0.25">
      <c r="G743" s="1"/>
    </row>
    <row r="744" spans="7:7" ht="15.75" customHeight="1" x14ac:dyDescent="0.25">
      <c r="G744" s="1"/>
    </row>
    <row r="745" spans="7:7" ht="15.75" customHeight="1" x14ac:dyDescent="0.25">
      <c r="G745" s="1"/>
    </row>
    <row r="746" spans="7:7" ht="15.75" customHeight="1" x14ac:dyDescent="0.25">
      <c r="G746" s="1"/>
    </row>
    <row r="747" spans="7:7" ht="15.75" customHeight="1" x14ac:dyDescent="0.25">
      <c r="G747" s="1"/>
    </row>
    <row r="748" spans="7:7" ht="15.75" customHeight="1" x14ac:dyDescent="0.25">
      <c r="G748" s="1"/>
    </row>
    <row r="749" spans="7:7" ht="15.75" customHeight="1" x14ac:dyDescent="0.25">
      <c r="G749" s="1"/>
    </row>
    <row r="750" spans="7:7" ht="15.75" customHeight="1" x14ac:dyDescent="0.25">
      <c r="G750" s="1"/>
    </row>
    <row r="751" spans="7:7" ht="15.75" customHeight="1" x14ac:dyDescent="0.25">
      <c r="G751" s="1"/>
    </row>
    <row r="752" spans="7:7" ht="15.75" customHeight="1" x14ac:dyDescent="0.25">
      <c r="G752" s="1"/>
    </row>
    <row r="753" spans="7:7" ht="15.75" customHeight="1" x14ac:dyDescent="0.25">
      <c r="G753" s="1"/>
    </row>
    <row r="754" spans="7:7" ht="15.75" customHeight="1" x14ac:dyDescent="0.25">
      <c r="G754" s="1"/>
    </row>
    <row r="755" spans="7:7" ht="15.75" customHeight="1" x14ac:dyDescent="0.25">
      <c r="G755" s="1"/>
    </row>
    <row r="756" spans="7:7" ht="15.75" customHeight="1" x14ac:dyDescent="0.25">
      <c r="G756" s="1"/>
    </row>
    <row r="757" spans="7:7" ht="15.75" customHeight="1" x14ac:dyDescent="0.25">
      <c r="G757" s="1"/>
    </row>
    <row r="758" spans="7:7" ht="15.75" customHeight="1" x14ac:dyDescent="0.25">
      <c r="G758" s="1"/>
    </row>
    <row r="759" spans="7:7" ht="15.75" customHeight="1" x14ac:dyDescent="0.25">
      <c r="G759" s="1"/>
    </row>
    <row r="760" spans="7:7" ht="15.75" customHeight="1" x14ac:dyDescent="0.25">
      <c r="G760" s="1"/>
    </row>
    <row r="761" spans="7:7" ht="15.75" customHeight="1" x14ac:dyDescent="0.25">
      <c r="G761" s="1"/>
    </row>
    <row r="762" spans="7:7" ht="15.75" customHeight="1" x14ac:dyDescent="0.25">
      <c r="G762" s="1"/>
    </row>
    <row r="763" spans="7:7" ht="15.75" customHeight="1" x14ac:dyDescent="0.25">
      <c r="G763" s="1"/>
    </row>
    <row r="764" spans="7:7" ht="15.75" customHeight="1" x14ac:dyDescent="0.25">
      <c r="G764" s="1"/>
    </row>
    <row r="765" spans="7:7" ht="15.75" customHeight="1" x14ac:dyDescent="0.25">
      <c r="G765" s="1"/>
    </row>
    <row r="766" spans="7:7" ht="15.75" customHeight="1" x14ac:dyDescent="0.25">
      <c r="G766" s="1"/>
    </row>
    <row r="767" spans="7:7" ht="15.75" customHeight="1" x14ac:dyDescent="0.25">
      <c r="G767" s="1"/>
    </row>
    <row r="768" spans="7:7" ht="15.75" customHeight="1" x14ac:dyDescent="0.25">
      <c r="G768" s="1"/>
    </row>
    <row r="769" spans="7:7" ht="15.75" customHeight="1" x14ac:dyDescent="0.25">
      <c r="G769" s="1"/>
    </row>
    <row r="770" spans="7:7" ht="15.75" customHeight="1" x14ac:dyDescent="0.25">
      <c r="G770" s="1"/>
    </row>
    <row r="771" spans="7:7" ht="15.75" customHeight="1" x14ac:dyDescent="0.25">
      <c r="G771" s="1"/>
    </row>
    <row r="772" spans="7:7" ht="15.75" customHeight="1" x14ac:dyDescent="0.25">
      <c r="G772" s="1"/>
    </row>
    <row r="773" spans="7:7" ht="15.75" customHeight="1" x14ac:dyDescent="0.25">
      <c r="G773" s="1"/>
    </row>
    <row r="774" spans="7:7" ht="15.75" customHeight="1" x14ac:dyDescent="0.25">
      <c r="G774" s="1"/>
    </row>
    <row r="775" spans="7:7" ht="15.75" customHeight="1" x14ac:dyDescent="0.25">
      <c r="G775" s="1"/>
    </row>
    <row r="776" spans="7:7" ht="15.75" customHeight="1" x14ac:dyDescent="0.25">
      <c r="G776" s="1"/>
    </row>
    <row r="777" spans="7:7" ht="15.75" customHeight="1" x14ac:dyDescent="0.25">
      <c r="G777" s="1"/>
    </row>
    <row r="778" spans="7:7" ht="15.75" customHeight="1" x14ac:dyDescent="0.25">
      <c r="G778" s="1"/>
    </row>
    <row r="779" spans="7:7" ht="15.75" customHeight="1" x14ac:dyDescent="0.25">
      <c r="G779" s="1"/>
    </row>
    <row r="780" spans="7:7" ht="15.75" customHeight="1" x14ac:dyDescent="0.25">
      <c r="G780" s="1"/>
    </row>
    <row r="781" spans="7:7" ht="15.75" customHeight="1" x14ac:dyDescent="0.25">
      <c r="G781" s="1"/>
    </row>
    <row r="782" spans="7:7" ht="15.75" customHeight="1" x14ac:dyDescent="0.25">
      <c r="G782" s="1"/>
    </row>
    <row r="783" spans="7:7" ht="15.75" customHeight="1" x14ac:dyDescent="0.25">
      <c r="G783" s="1"/>
    </row>
    <row r="784" spans="7:7" ht="15.75" customHeight="1" x14ac:dyDescent="0.25">
      <c r="G784" s="1"/>
    </row>
    <row r="785" spans="7:7" ht="15.75" customHeight="1" x14ac:dyDescent="0.25">
      <c r="G785" s="1"/>
    </row>
    <row r="786" spans="7:7" ht="15.75" customHeight="1" x14ac:dyDescent="0.25">
      <c r="G786" s="1"/>
    </row>
    <row r="787" spans="7:7" ht="15.75" customHeight="1" x14ac:dyDescent="0.25">
      <c r="G787" s="1"/>
    </row>
    <row r="788" spans="7:7" ht="15.75" customHeight="1" x14ac:dyDescent="0.25">
      <c r="G788" s="1"/>
    </row>
    <row r="789" spans="7:7" ht="15.75" customHeight="1" x14ac:dyDescent="0.25">
      <c r="G789" s="1"/>
    </row>
    <row r="790" spans="7:7" ht="15.75" customHeight="1" x14ac:dyDescent="0.25">
      <c r="G790" s="1"/>
    </row>
    <row r="791" spans="7:7" ht="15.75" customHeight="1" x14ac:dyDescent="0.25">
      <c r="G791" s="1"/>
    </row>
    <row r="792" spans="7:7" ht="15.75" customHeight="1" x14ac:dyDescent="0.25">
      <c r="G792" s="1"/>
    </row>
    <row r="793" spans="7:7" ht="15.75" customHeight="1" x14ac:dyDescent="0.25">
      <c r="G793" s="1"/>
    </row>
    <row r="794" spans="7:7" ht="15.75" customHeight="1" x14ac:dyDescent="0.25">
      <c r="G794" s="1"/>
    </row>
    <row r="795" spans="7:7" ht="15.75" customHeight="1" x14ac:dyDescent="0.25">
      <c r="G795" s="1"/>
    </row>
    <row r="796" spans="7:7" ht="15.75" customHeight="1" x14ac:dyDescent="0.25">
      <c r="G796" s="1"/>
    </row>
    <row r="797" spans="7:7" ht="15.75" customHeight="1" x14ac:dyDescent="0.25">
      <c r="G797" s="1"/>
    </row>
    <row r="798" spans="7:7" ht="15.75" customHeight="1" x14ac:dyDescent="0.25">
      <c r="G798" s="1"/>
    </row>
    <row r="799" spans="7:7" ht="15.75" customHeight="1" x14ac:dyDescent="0.25">
      <c r="G799" s="1"/>
    </row>
    <row r="800" spans="7:7" ht="15.75" customHeight="1" x14ac:dyDescent="0.25">
      <c r="G800" s="1"/>
    </row>
    <row r="801" spans="7:7" ht="15.75" customHeight="1" x14ac:dyDescent="0.25">
      <c r="G801" s="1"/>
    </row>
    <row r="802" spans="7:7" ht="15.75" customHeight="1" x14ac:dyDescent="0.25">
      <c r="G802" s="1"/>
    </row>
    <row r="803" spans="7:7" ht="15.75" customHeight="1" x14ac:dyDescent="0.25">
      <c r="G803" s="1"/>
    </row>
    <row r="804" spans="7:7" ht="15.75" customHeight="1" x14ac:dyDescent="0.25">
      <c r="G804" s="1"/>
    </row>
    <row r="805" spans="7:7" ht="15.75" customHeight="1" x14ac:dyDescent="0.25">
      <c r="G805" s="1"/>
    </row>
    <row r="806" spans="7:7" ht="15.75" customHeight="1" x14ac:dyDescent="0.25">
      <c r="G806" s="1"/>
    </row>
    <row r="807" spans="7:7" ht="15.75" customHeight="1" x14ac:dyDescent="0.25">
      <c r="G807" s="1"/>
    </row>
    <row r="808" spans="7:7" ht="15.75" customHeight="1" x14ac:dyDescent="0.25">
      <c r="G808" s="1"/>
    </row>
    <row r="809" spans="7:7" ht="15.75" customHeight="1" x14ac:dyDescent="0.25">
      <c r="G809" s="1"/>
    </row>
    <row r="810" spans="7:7" ht="15.75" customHeight="1" x14ac:dyDescent="0.25">
      <c r="G810" s="1"/>
    </row>
    <row r="811" spans="7:7" ht="15.75" customHeight="1" x14ac:dyDescent="0.25">
      <c r="G811" s="1"/>
    </row>
    <row r="812" spans="7:7" ht="15.75" customHeight="1" x14ac:dyDescent="0.25">
      <c r="G812" s="1"/>
    </row>
    <row r="813" spans="7:7" ht="15.75" customHeight="1" x14ac:dyDescent="0.25">
      <c r="G813" s="1"/>
    </row>
    <row r="814" spans="7:7" ht="15.75" customHeight="1" x14ac:dyDescent="0.25">
      <c r="G814" s="1"/>
    </row>
    <row r="815" spans="7:7" ht="15.75" customHeight="1" x14ac:dyDescent="0.25">
      <c r="G815" s="1"/>
    </row>
    <row r="816" spans="7:7" ht="15.75" customHeight="1" x14ac:dyDescent="0.25">
      <c r="G816" s="1"/>
    </row>
    <row r="817" spans="7:7" ht="15.75" customHeight="1" x14ac:dyDescent="0.25">
      <c r="G817" s="1"/>
    </row>
    <row r="818" spans="7:7" ht="15.75" customHeight="1" x14ac:dyDescent="0.25">
      <c r="G818" s="1"/>
    </row>
    <row r="819" spans="7:7" ht="15.75" customHeight="1" x14ac:dyDescent="0.25">
      <c r="G819" s="1"/>
    </row>
    <row r="820" spans="7:7" ht="15.75" customHeight="1" x14ac:dyDescent="0.25">
      <c r="G820" s="1"/>
    </row>
    <row r="821" spans="7:7" ht="15.75" customHeight="1" x14ac:dyDescent="0.25">
      <c r="G821" s="1"/>
    </row>
    <row r="822" spans="7:7" ht="15.75" customHeight="1" x14ac:dyDescent="0.25">
      <c r="G822" s="1"/>
    </row>
    <row r="823" spans="7:7" ht="15.75" customHeight="1" x14ac:dyDescent="0.25">
      <c r="G823" s="1"/>
    </row>
    <row r="824" spans="7:7" ht="15.75" customHeight="1" x14ac:dyDescent="0.25">
      <c r="G824" s="1"/>
    </row>
    <row r="825" spans="7:7" ht="15.75" customHeight="1" x14ac:dyDescent="0.25">
      <c r="G825" s="1"/>
    </row>
    <row r="826" spans="7:7" ht="15.75" customHeight="1" x14ac:dyDescent="0.25">
      <c r="G826" s="1"/>
    </row>
    <row r="827" spans="7:7" ht="15.75" customHeight="1" x14ac:dyDescent="0.25">
      <c r="G827" s="1"/>
    </row>
    <row r="828" spans="7:7" ht="15.75" customHeight="1" x14ac:dyDescent="0.25">
      <c r="G828" s="1"/>
    </row>
    <row r="829" spans="7:7" ht="15.75" customHeight="1" x14ac:dyDescent="0.25">
      <c r="G829" s="1"/>
    </row>
    <row r="830" spans="7:7" ht="15.75" customHeight="1" x14ac:dyDescent="0.25">
      <c r="G830" s="1"/>
    </row>
    <row r="831" spans="7:7" ht="15.75" customHeight="1" x14ac:dyDescent="0.25">
      <c r="G831" s="1"/>
    </row>
    <row r="832" spans="7:7" ht="15.75" customHeight="1" x14ac:dyDescent="0.25">
      <c r="G832" s="1"/>
    </row>
    <row r="833" spans="7:7" ht="15.75" customHeight="1" x14ac:dyDescent="0.25">
      <c r="G833" s="1"/>
    </row>
    <row r="834" spans="7:7" ht="15.75" customHeight="1" x14ac:dyDescent="0.25">
      <c r="G834" s="1"/>
    </row>
    <row r="835" spans="7:7" ht="15.75" customHeight="1" x14ac:dyDescent="0.25">
      <c r="G835" s="1"/>
    </row>
    <row r="836" spans="7:7" ht="15.75" customHeight="1" x14ac:dyDescent="0.25">
      <c r="G836" s="1"/>
    </row>
    <row r="837" spans="7:7" ht="15.75" customHeight="1" x14ac:dyDescent="0.25">
      <c r="G837" s="1"/>
    </row>
    <row r="838" spans="7:7" ht="15.75" customHeight="1" x14ac:dyDescent="0.25">
      <c r="G838" s="1"/>
    </row>
    <row r="839" spans="7:7" ht="15.75" customHeight="1" x14ac:dyDescent="0.25">
      <c r="G839" s="1"/>
    </row>
    <row r="840" spans="7:7" ht="15.75" customHeight="1" x14ac:dyDescent="0.25">
      <c r="G840" s="1"/>
    </row>
    <row r="841" spans="7:7" ht="15.75" customHeight="1" x14ac:dyDescent="0.25">
      <c r="G841" s="1"/>
    </row>
    <row r="842" spans="7:7" ht="15.75" customHeight="1" x14ac:dyDescent="0.25">
      <c r="G842" s="1"/>
    </row>
    <row r="843" spans="7:7" ht="15.75" customHeight="1" x14ac:dyDescent="0.25">
      <c r="G843" s="1"/>
    </row>
    <row r="844" spans="7:7" ht="15.75" customHeight="1" x14ac:dyDescent="0.25">
      <c r="G844" s="1"/>
    </row>
    <row r="845" spans="7:7" ht="15.75" customHeight="1" x14ac:dyDescent="0.25">
      <c r="G845" s="1"/>
    </row>
    <row r="846" spans="7:7" ht="15.75" customHeight="1" x14ac:dyDescent="0.25">
      <c r="G846" s="1"/>
    </row>
    <row r="847" spans="7:7" ht="15.75" customHeight="1" x14ac:dyDescent="0.25">
      <c r="G847" s="1"/>
    </row>
    <row r="848" spans="7:7" ht="15.75" customHeight="1" x14ac:dyDescent="0.25">
      <c r="G848" s="1"/>
    </row>
    <row r="849" spans="7:7" ht="15.75" customHeight="1" x14ac:dyDescent="0.25">
      <c r="G849" s="1"/>
    </row>
    <row r="850" spans="7:7" ht="15.75" customHeight="1" x14ac:dyDescent="0.25">
      <c r="G850" s="1"/>
    </row>
    <row r="851" spans="7:7" ht="15.75" customHeight="1" x14ac:dyDescent="0.25">
      <c r="G851" s="1"/>
    </row>
    <row r="852" spans="7:7" ht="15.75" customHeight="1" x14ac:dyDescent="0.25">
      <c r="G852" s="1"/>
    </row>
    <row r="853" spans="7:7" ht="15.75" customHeight="1" x14ac:dyDescent="0.25">
      <c r="G853" s="1"/>
    </row>
    <row r="854" spans="7:7" ht="15.75" customHeight="1" x14ac:dyDescent="0.25">
      <c r="G854" s="1"/>
    </row>
    <row r="855" spans="7:7" ht="15.75" customHeight="1" x14ac:dyDescent="0.25">
      <c r="G855" s="1"/>
    </row>
    <row r="856" spans="7:7" ht="15.75" customHeight="1" x14ac:dyDescent="0.25">
      <c r="G856" s="1"/>
    </row>
    <row r="857" spans="7:7" ht="15.75" customHeight="1" x14ac:dyDescent="0.25">
      <c r="G857" s="1"/>
    </row>
    <row r="858" spans="7:7" ht="15.75" customHeight="1" x14ac:dyDescent="0.25">
      <c r="G858" s="1"/>
    </row>
    <row r="859" spans="7:7" ht="15.75" customHeight="1" x14ac:dyDescent="0.25">
      <c r="G859" s="1"/>
    </row>
    <row r="860" spans="7:7" ht="15.75" customHeight="1" x14ac:dyDescent="0.25">
      <c r="G860" s="1"/>
    </row>
    <row r="861" spans="7:7" ht="15.75" customHeight="1" x14ac:dyDescent="0.25">
      <c r="G861" s="1"/>
    </row>
    <row r="862" spans="7:7" ht="15.75" customHeight="1" x14ac:dyDescent="0.25">
      <c r="G862" s="1"/>
    </row>
    <row r="863" spans="7:7" ht="15.75" customHeight="1" x14ac:dyDescent="0.25">
      <c r="G863" s="1"/>
    </row>
    <row r="864" spans="7:7" ht="15.75" customHeight="1" x14ac:dyDescent="0.25">
      <c r="G864" s="1"/>
    </row>
    <row r="865" spans="7:7" ht="15.75" customHeight="1" x14ac:dyDescent="0.25">
      <c r="G865" s="1"/>
    </row>
    <row r="866" spans="7:7" ht="15.75" customHeight="1" x14ac:dyDescent="0.25">
      <c r="G866" s="1"/>
    </row>
    <row r="867" spans="7:7" ht="15.75" customHeight="1" x14ac:dyDescent="0.25">
      <c r="G867" s="1"/>
    </row>
    <row r="868" spans="7:7" ht="15.75" customHeight="1" x14ac:dyDescent="0.25">
      <c r="G868" s="1"/>
    </row>
    <row r="869" spans="7:7" ht="15.75" customHeight="1" x14ac:dyDescent="0.25">
      <c r="G869" s="1"/>
    </row>
    <row r="870" spans="7:7" ht="15.75" customHeight="1" x14ac:dyDescent="0.25">
      <c r="G870" s="1"/>
    </row>
    <row r="871" spans="7:7" ht="15.75" customHeight="1" x14ac:dyDescent="0.25">
      <c r="G871" s="1"/>
    </row>
    <row r="872" spans="7:7" ht="15.75" customHeight="1" x14ac:dyDescent="0.25">
      <c r="G872" s="1"/>
    </row>
    <row r="873" spans="7:7" ht="15.75" customHeight="1" x14ac:dyDescent="0.25">
      <c r="G873" s="1"/>
    </row>
    <row r="874" spans="7:7" ht="15.75" customHeight="1" x14ac:dyDescent="0.25">
      <c r="G874" s="1"/>
    </row>
    <row r="875" spans="7:7" ht="15.75" customHeight="1" x14ac:dyDescent="0.25">
      <c r="G875" s="1"/>
    </row>
    <row r="876" spans="7:7" ht="15.75" customHeight="1" x14ac:dyDescent="0.25">
      <c r="G876" s="1"/>
    </row>
    <row r="877" spans="7:7" ht="15.75" customHeight="1" x14ac:dyDescent="0.25">
      <c r="G877" s="1"/>
    </row>
    <row r="878" spans="7:7" ht="15.75" customHeight="1" x14ac:dyDescent="0.25">
      <c r="G878" s="1"/>
    </row>
    <row r="879" spans="7:7" ht="15.75" customHeight="1" x14ac:dyDescent="0.25">
      <c r="G879" s="1"/>
    </row>
    <row r="880" spans="7:7" ht="15.75" customHeight="1" x14ac:dyDescent="0.25">
      <c r="G880" s="1"/>
    </row>
    <row r="881" spans="7:7" ht="15.75" customHeight="1" x14ac:dyDescent="0.25">
      <c r="G881" s="1"/>
    </row>
    <row r="882" spans="7:7" ht="15.75" customHeight="1" x14ac:dyDescent="0.25">
      <c r="G882" s="1"/>
    </row>
    <row r="883" spans="7:7" ht="15.75" customHeight="1" x14ac:dyDescent="0.25">
      <c r="G883" s="1"/>
    </row>
    <row r="884" spans="7:7" ht="15.75" customHeight="1" x14ac:dyDescent="0.25">
      <c r="G884" s="1"/>
    </row>
    <row r="885" spans="7:7" ht="15.75" customHeight="1" x14ac:dyDescent="0.25">
      <c r="G885" s="1"/>
    </row>
    <row r="886" spans="7:7" ht="15.75" customHeight="1" x14ac:dyDescent="0.25">
      <c r="G886" s="1"/>
    </row>
    <row r="887" spans="7:7" ht="15.75" customHeight="1" x14ac:dyDescent="0.25">
      <c r="G887" s="1"/>
    </row>
    <row r="888" spans="7:7" ht="15.75" customHeight="1" x14ac:dyDescent="0.25">
      <c r="G888" s="1"/>
    </row>
    <row r="889" spans="7:7" ht="15.75" customHeight="1" x14ac:dyDescent="0.25">
      <c r="G889" s="1"/>
    </row>
    <row r="890" spans="7:7" ht="15.75" customHeight="1" x14ac:dyDescent="0.25">
      <c r="G890" s="1"/>
    </row>
    <row r="891" spans="7:7" ht="15.75" customHeight="1" x14ac:dyDescent="0.25">
      <c r="G891" s="1"/>
    </row>
    <row r="892" spans="7:7" ht="15.75" customHeight="1" x14ac:dyDescent="0.25">
      <c r="G892" s="1"/>
    </row>
    <row r="893" spans="7:7" ht="15.75" customHeight="1" x14ac:dyDescent="0.25">
      <c r="G893" s="1"/>
    </row>
    <row r="894" spans="7:7" ht="15.75" customHeight="1" x14ac:dyDescent="0.25">
      <c r="G894" s="1"/>
    </row>
    <row r="895" spans="7:7" ht="15.75" customHeight="1" x14ac:dyDescent="0.25">
      <c r="G895" s="1"/>
    </row>
    <row r="896" spans="7:7" ht="15.75" customHeight="1" x14ac:dyDescent="0.25">
      <c r="G896" s="1"/>
    </row>
    <row r="897" spans="7:7" ht="15.75" customHeight="1" x14ac:dyDescent="0.25">
      <c r="G897" s="1"/>
    </row>
    <row r="898" spans="7:7" ht="15.75" customHeight="1" x14ac:dyDescent="0.25">
      <c r="G898" s="1"/>
    </row>
    <row r="899" spans="7:7" ht="15.75" customHeight="1" x14ac:dyDescent="0.25">
      <c r="G899" s="1"/>
    </row>
    <row r="900" spans="7:7" ht="15.75" customHeight="1" x14ac:dyDescent="0.25">
      <c r="G900" s="1"/>
    </row>
    <row r="901" spans="7:7" ht="15.75" customHeight="1" x14ac:dyDescent="0.25">
      <c r="G901" s="1"/>
    </row>
    <row r="902" spans="7:7" ht="15.75" customHeight="1" x14ac:dyDescent="0.25">
      <c r="G902" s="1"/>
    </row>
    <row r="903" spans="7:7" ht="15.75" customHeight="1" x14ac:dyDescent="0.25">
      <c r="G903" s="1"/>
    </row>
    <row r="904" spans="7:7" ht="15.75" customHeight="1" x14ac:dyDescent="0.25">
      <c r="G904" s="1"/>
    </row>
    <row r="905" spans="7:7" ht="15.75" customHeight="1" x14ac:dyDescent="0.25">
      <c r="G905" s="1"/>
    </row>
    <row r="906" spans="7:7" ht="15.75" customHeight="1" x14ac:dyDescent="0.25">
      <c r="G906" s="1"/>
    </row>
    <row r="907" spans="7:7" ht="15.75" customHeight="1" x14ac:dyDescent="0.25">
      <c r="G907" s="1"/>
    </row>
    <row r="908" spans="7:7" ht="15.75" customHeight="1" x14ac:dyDescent="0.25">
      <c r="G908" s="1"/>
    </row>
    <row r="909" spans="7:7" ht="15.75" customHeight="1" x14ac:dyDescent="0.25">
      <c r="G909" s="1"/>
    </row>
    <row r="910" spans="7:7" ht="15.75" customHeight="1" x14ac:dyDescent="0.25">
      <c r="G910" s="1"/>
    </row>
    <row r="911" spans="7:7" ht="15.75" customHeight="1" x14ac:dyDescent="0.25">
      <c r="G911" s="1"/>
    </row>
    <row r="912" spans="7:7" ht="15.75" customHeight="1" x14ac:dyDescent="0.25">
      <c r="G912" s="1"/>
    </row>
    <row r="913" spans="7:7" ht="15.75" customHeight="1" x14ac:dyDescent="0.25">
      <c r="G913" s="1"/>
    </row>
    <row r="914" spans="7:7" ht="15.75" customHeight="1" x14ac:dyDescent="0.25">
      <c r="G914" s="1"/>
    </row>
    <row r="915" spans="7:7" ht="15.75" customHeight="1" x14ac:dyDescent="0.25">
      <c r="G915" s="1"/>
    </row>
    <row r="916" spans="7:7" ht="15.75" customHeight="1" x14ac:dyDescent="0.25">
      <c r="G916" s="1"/>
    </row>
    <row r="917" spans="7:7" ht="15.75" customHeight="1" x14ac:dyDescent="0.25">
      <c r="G917" s="1"/>
    </row>
    <row r="918" spans="7:7" ht="15.75" customHeight="1" x14ac:dyDescent="0.25">
      <c r="G918" s="1"/>
    </row>
    <row r="919" spans="7:7" ht="15.75" customHeight="1" x14ac:dyDescent="0.25">
      <c r="G919" s="1"/>
    </row>
    <row r="920" spans="7:7" ht="15.75" customHeight="1" x14ac:dyDescent="0.25">
      <c r="G920" s="1"/>
    </row>
    <row r="921" spans="7:7" ht="15.75" customHeight="1" x14ac:dyDescent="0.25">
      <c r="G921" s="1"/>
    </row>
    <row r="922" spans="7:7" ht="15.75" customHeight="1" x14ac:dyDescent="0.25">
      <c r="G922" s="1"/>
    </row>
    <row r="923" spans="7:7" ht="15.75" customHeight="1" x14ac:dyDescent="0.25">
      <c r="G923" s="1"/>
    </row>
    <row r="924" spans="7:7" ht="15.75" customHeight="1" x14ac:dyDescent="0.25">
      <c r="G924" s="1"/>
    </row>
    <row r="925" spans="7:7" ht="15.75" customHeight="1" x14ac:dyDescent="0.25">
      <c r="G925" s="1"/>
    </row>
    <row r="926" spans="7:7" ht="15.75" customHeight="1" x14ac:dyDescent="0.25">
      <c r="G926" s="1"/>
    </row>
    <row r="927" spans="7:7" ht="15.75" customHeight="1" x14ac:dyDescent="0.25">
      <c r="G927" s="1"/>
    </row>
    <row r="928" spans="7:7" ht="15.75" customHeight="1" x14ac:dyDescent="0.25">
      <c r="G928" s="1"/>
    </row>
    <row r="929" spans="7:7" ht="15.75" customHeight="1" x14ac:dyDescent="0.25">
      <c r="G929" s="1"/>
    </row>
    <row r="930" spans="7:7" ht="15.75" customHeight="1" x14ac:dyDescent="0.25">
      <c r="G930" s="1"/>
    </row>
    <row r="931" spans="7:7" ht="15.75" customHeight="1" x14ac:dyDescent="0.25">
      <c r="G931" s="1"/>
    </row>
    <row r="932" spans="7:7" ht="15.75" customHeight="1" x14ac:dyDescent="0.25">
      <c r="G932" s="1"/>
    </row>
    <row r="933" spans="7:7" ht="15.75" customHeight="1" x14ac:dyDescent="0.25">
      <c r="G933" s="1"/>
    </row>
    <row r="934" spans="7:7" ht="15.75" customHeight="1" x14ac:dyDescent="0.25">
      <c r="G934" s="1"/>
    </row>
    <row r="935" spans="7:7" ht="15.75" customHeight="1" x14ac:dyDescent="0.25">
      <c r="G935" s="1"/>
    </row>
    <row r="936" spans="7:7" ht="15.75" customHeight="1" x14ac:dyDescent="0.25">
      <c r="G936" s="1"/>
    </row>
    <row r="937" spans="7:7" ht="15.75" customHeight="1" x14ac:dyDescent="0.25">
      <c r="G937" s="1"/>
    </row>
    <row r="938" spans="7:7" ht="15.75" customHeight="1" x14ac:dyDescent="0.25">
      <c r="G938" s="1"/>
    </row>
    <row r="939" spans="7:7" ht="15.75" customHeight="1" x14ac:dyDescent="0.25">
      <c r="G939" s="1"/>
    </row>
    <row r="940" spans="7:7" ht="15.75" customHeight="1" x14ac:dyDescent="0.25">
      <c r="G940" s="1"/>
    </row>
    <row r="941" spans="7:7" ht="15.75" customHeight="1" x14ac:dyDescent="0.25">
      <c r="G941" s="1"/>
    </row>
    <row r="942" spans="7:7" ht="15.75" customHeight="1" x14ac:dyDescent="0.25">
      <c r="G942" s="1"/>
    </row>
    <row r="943" spans="7:7" ht="15.75" customHeight="1" x14ac:dyDescent="0.25">
      <c r="G943" s="1"/>
    </row>
    <row r="944" spans="7:7" ht="15.75" customHeight="1" x14ac:dyDescent="0.25">
      <c r="G944" s="1"/>
    </row>
    <row r="945" spans="7:7" ht="15.75" customHeight="1" x14ac:dyDescent="0.25">
      <c r="G945" s="1"/>
    </row>
    <row r="946" spans="7:7" ht="15.75" customHeight="1" x14ac:dyDescent="0.25">
      <c r="G946" s="1"/>
    </row>
    <row r="947" spans="7:7" ht="15.75" customHeight="1" x14ac:dyDescent="0.25">
      <c r="G947" s="1"/>
    </row>
    <row r="948" spans="7:7" ht="15.75" customHeight="1" x14ac:dyDescent="0.25">
      <c r="G948" s="1"/>
    </row>
    <row r="949" spans="7:7" ht="15.75" customHeight="1" x14ac:dyDescent="0.25">
      <c r="G949" s="1"/>
    </row>
    <row r="950" spans="7:7" ht="15.75" customHeight="1" x14ac:dyDescent="0.25">
      <c r="G950" s="1"/>
    </row>
    <row r="951" spans="7:7" ht="15.75" customHeight="1" x14ac:dyDescent="0.25">
      <c r="G951" s="1"/>
    </row>
    <row r="952" spans="7:7" ht="15.75" customHeight="1" x14ac:dyDescent="0.25">
      <c r="G952" s="1"/>
    </row>
    <row r="953" spans="7:7" ht="15.75" customHeight="1" x14ac:dyDescent="0.25">
      <c r="G953" s="1"/>
    </row>
    <row r="954" spans="7:7" ht="15.75" customHeight="1" x14ac:dyDescent="0.25">
      <c r="G954" s="1"/>
    </row>
    <row r="955" spans="7:7" ht="15.75" customHeight="1" x14ac:dyDescent="0.25">
      <c r="G955" s="1"/>
    </row>
    <row r="956" spans="7:7" ht="15.75" customHeight="1" x14ac:dyDescent="0.25">
      <c r="G956" s="1"/>
    </row>
    <row r="957" spans="7:7" ht="15.75" customHeight="1" x14ac:dyDescent="0.25">
      <c r="G957" s="1"/>
    </row>
    <row r="958" spans="7:7" ht="15.75" customHeight="1" x14ac:dyDescent="0.25">
      <c r="G958" s="1"/>
    </row>
    <row r="959" spans="7:7" ht="15.75" customHeight="1" x14ac:dyDescent="0.25">
      <c r="G959" s="1"/>
    </row>
    <row r="960" spans="7:7" ht="15.75" customHeight="1" x14ac:dyDescent="0.25">
      <c r="G960" s="1"/>
    </row>
    <row r="961" spans="7:7" ht="15.75" customHeight="1" x14ac:dyDescent="0.25">
      <c r="G961" s="1"/>
    </row>
    <row r="962" spans="7:7" ht="15.75" customHeight="1" x14ac:dyDescent="0.25">
      <c r="G962" s="1"/>
    </row>
    <row r="963" spans="7:7" ht="15.75" customHeight="1" x14ac:dyDescent="0.25">
      <c r="G963" s="1"/>
    </row>
    <row r="964" spans="7:7" ht="15.75" customHeight="1" x14ac:dyDescent="0.25">
      <c r="G964" s="1"/>
    </row>
    <row r="965" spans="7:7" ht="15.75" customHeight="1" x14ac:dyDescent="0.25">
      <c r="G965" s="1"/>
    </row>
    <row r="966" spans="7:7" ht="15.75" customHeight="1" x14ac:dyDescent="0.25">
      <c r="G966" s="1"/>
    </row>
    <row r="967" spans="7:7" ht="15.75" customHeight="1" x14ac:dyDescent="0.25">
      <c r="G967" s="1"/>
    </row>
    <row r="968" spans="7:7" ht="15.75" customHeight="1" x14ac:dyDescent="0.25">
      <c r="G968" s="1"/>
    </row>
    <row r="969" spans="7:7" ht="15.75" customHeight="1" x14ac:dyDescent="0.25">
      <c r="G969" s="1"/>
    </row>
    <row r="970" spans="7:7" ht="15.75" customHeight="1" x14ac:dyDescent="0.25">
      <c r="G970" s="1"/>
    </row>
    <row r="971" spans="7:7" ht="15.75" customHeight="1" x14ac:dyDescent="0.25">
      <c r="G971" s="1"/>
    </row>
    <row r="972" spans="7:7" ht="15.75" customHeight="1" x14ac:dyDescent="0.25">
      <c r="G972" s="1"/>
    </row>
    <row r="973" spans="7:7" ht="15.75" customHeight="1" x14ac:dyDescent="0.25">
      <c r="G973" s="1"/>
    </row>
    <row r="974" spans="7:7" ht="15.75" customHeight="1" x14ac:dyDescent="0.25">
      <c r="G974" s="1"/>
    </row>
    <row r="975" spans="7:7" ht="15.75" customHeight="1" x14ac:dyDescent="0.25">
      <c r="G975" s="1"/>
    </row>
    <row r="976" spans="7:7" ht="15.75" customHeight="1" x14ac:dyDescent="0.25">
      <c r="G976" s="1"/>
    </row>
    <row r="977" spans="7:7" ht="15.75" customHeight="1" x14ac:dyDescent="0.25">
      <c r="G977" s="1"/>
    </row>
    <row r="978" spans="7:7" ht="15.75" customHeight="1" x14ac:dyDescent="0.25">
      <c r="G978" s="1"/>
    </row>
    <row r="979" spans="7:7" ht="15.75" customHeight="1" x14ac:dyDescent="0.25">
      <c r="G979" s="1"/>
    </row>
    <row r="980" spans="7:7" ht="15.75" customHeight="1" x14ac:dyDescent="0.25">
      <c r="G980" s="1"/>
    </row>
    <row r="981" spans="7:7" ht="15.75" customHeight="1" x14ac:dyDescent="0.25">
      <c r="G981" s="1"/>
    </row>
    <row r="982" spans="7:7" ht="15.75" customHeight="1" x14ac:dyDescent="0.25">
      <c r="G982" s="1"/>
    </row>
    <row r="983" spans="7:7" ht="15.75" customHeight="1" x14ac:dyDescent="0.25">
      <c r="G983" s="1"/>
    </row>
    <row r="984" spans="7:7" ht="15.75" customHeight="1" x14ac:dyDescent="0.25">
      <c r="G984" s="1"/>
    </row>
    <row r="985" spans="7:7" ht="15.75" customHeight="1" x14ac:dyDescent="0.25">
      <c r="G985" s="1"/>
    </row>
    <row r="986" spans="7:7" ht="15.75" customHeight="1" x14ac:dyDescent="0.25">
      <c r="G986" s="1"/>
    </row>
    <row r="987" spans="7:7" ht="15.75" customHeight="1" x14ac:dyDescent="0.25">
      <c r="G987" s="1"/>
    </row>
    <row r="988" spans="7:7" ht="15.75" customHeight="1" x14ac:dyDescent="0.25">
      <c r="G988" s="1"/>
    </row>
    <row r="989" spans="7:7" ht="15.75" customHeight="1" x14ac:dyDescent="0.25">
      <c r="G989" s="1"/>
    </row>
    <row r="990" spans="7:7" ht="15.75" customHeight="1" x14ac:dyDescent="0.25">
      <c r="G990" s="1"/>
    </row>
    <row r="991" spans="7:7" ht="15.75" customHeight="1" x14ac:dyDescent="0.25">
      <c r="G991" s="1"/>
    </row>
    <row r="992" spans="7:7" ht="15.75" customHeight="1" x14ac:dyDescent="0.25">
      <c r="G992" s="1"/>
    </row>
    <row r="993" spans="7:7" ht="15.75" customHeight="1" x14ac:dyDescent="0.25">
      <c r="G993" s="1"/>
    </row>
    <row r="994" spans="7:7" ht="15.75" customHeight="1" x14ac:dyDescent="0.25">
      <c r="G994" s="1"/>
    </row>
    <row r="995" spans="7:7" ht="15.75" customHeight="1" x14ac:dyDescent="0.25">
      <c r="G995" s="1"/>
    </row>
    <row r="996" spans="7:7" ht="15.75" customHeight="1" x14ac:dyDescent="0.25">
      <c r="G996" s="1"/>
    </row>
    <row r="997" spans="7:7" ht="15.75" customHeight="1" x14ac:dyDescent="0.25">
      <c r="G997" s="1"/>
    </row>
    <row r="998" spans="7:7" ht="15.75" customHeight="1" x14ac:dyDescent="0.25">
      <c r="G998" s="1"/>
    </row>
    <row r="999" spans="7:7" ht="15.75" customHeight="1" x14ac:dyDescent="0.25">
      <c r="G999" s="1"/>
    </row>
    <row r="1000" spans="7:7" ht="15.75" customHeight="1" x14ac:dyDescent="0.25">
      <c r="G1000" s="1"/>
    </row>
  </sheetData>
  <conditionalFormatting sqref="A2:K180">
    <cfRule type="containsBlanks" dxfId="0" priority="1">
      <formula>LEN(TRIM(A2))=0</formula>
    </cfRule>
  </conditionalFormatting>
  <printOptions horizontalCentered="1"/>
  <pageMargins left="0.7" right="0.7" top="0.75" bottom="0.75" header="0" footer="0"/>
  <pageSetup paperSize="9" orientation="landscape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7</vt:i4>
      </vt:variant>
    </vt:vector>
  </HeadingPairs>
  <TitlesOfParts>
    <vt:vector size="7" baseType="lpstr">
      <vt:lpstr>Général</vt:lpstr>
      <vt:lpstr>H</vt:lpstr>
      <vt:lpstr>F</vt:lpstr>
      <vt:lpstr>SH</vt:lpstr>
      <vt:lpstr>SF</vt:lpstr>
      <vt:lpstr>MH</vt:lpstr>
      <vt:lpstr>MF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modified xsi:type="dcterms:W3CDTF">2026-04-02T07:34:41Z</dcterms:modified>
</cp:coreProperties>
</file>